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26.xml"/>
  <Override ContentType="application/vnd.openxmlformats-officedocument.drawingml.chart+xml" PartName="/xl/charts/chart35.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37.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troduction" sheetId="1" r:id="rId3"/>
    <sheet state="visible" name="Data - basis" sheetId="2" r:id="rId4"/>
    <sheet state="hidden" name="TO DELETEHIDE" sheetId="3" r:id="rId5"/>
    <sheet state="visible" name="Data - districts in tons" sheetId="4" r:id="rId6"/>
    <sheet state="visible" name="Visuals" sheetId="5" r:id="rId7"/>
    <sheet state="visible" name="Monetary value" sheetId="6" r:id="rId8"/>
    <sheet state="visible" name="References" sheetId="7" r:id="rId9"/>
    <sheet state="visible" name="Form Responses" sheetId="8" r:id="rId10"/>
    <sheet state="visible" name="Archive Data in related article" sheetId="9" r:id="rId11"/>
  </sheets>
  <definedNames/>
  <calcPr/>
</workbook>
</file>

<file path=xl/comments1.xml><?xml version="1.0" encoding="utf-8"?>
<comments xmlns="http://schemas.openxmlformats.org/spreadsheetml/2006/main">
  <authors>
    <author/>
  </authors>
  <commentList>
    <comment authorId="0" ref="P62">
      <text>
        <t xml:space="preserve">http://www.gvb.nl/feiten-en-cijfers/metro info on different models, details for amounts in report</t>
      </text>
    </comment>
    <comment authorId="0" ref="C65">
      <text>
        <t xml:space="preserve">88 Eeuro 5-EEV of Euro 6-EEV, 12 other 'sustainable' buses
</t>
      </text>
    </comment>
    <comment authorId="0" ref="G52">
      <text>
        <t xml:space="preserve">Assumed is the thickness of the slide is the same as the thickness for the moneybars. For the weight of the slide: 3050mm/1000*1500mm/1000*3.25mm*7.85=117kg. Assumed is that all other parts and foundation are made of other materials
	-Elena Hooijschuur</t>
      </text>
    </comment>
    <comment authorId="0" ref="G51">
      <text>
        <t xml:space="preserve">For the weight of the bars: 8.4m*17mm=907920mm2. 1mm/1000*907920mm/1000*3.25mm*7.85=23kg. Assumed is that the foundation for the bars are made of concrete.
	-Elena Hooijschuur</t>
      </text>
    </comment>
    <comment authorId="0" ref="K49">
      <text>
        <t xml:space="preserve">Assumed is that an ATM contains a normal computer so therefore this data is used for AL and Copper
	-Elena Hooijschuur</t>
      </text>
    </comment>
    <comment authorId="0" ref="H49">
      <text>
        <t xml:space="preserve">Assumed is that an ATM contains a normal computer so therefore this data is used for AL and Copper
	-Elena Hooijschuur</t>
      </text>
    </comment>
    <comment authorId="0" ref="C38">
      <text>
        <t xml:space="preserve">Assumed is that a market has 20 stands (for example, Albert Kuyp has 25)
	-Elena Hooijschuur</t>
      </text>
    </comment>
    <comment authorId="0" ref="H36">
      <text>
        <t xml:space="preserve">For the weight of the urinoir: 4000mm/1000*2000mm/1000*2mm*7.85
	-Elena Hooijschuur</t>
      </text>
    </comment>
    <comment authorId="0" ref="H34">
      <text>
        <t xml:space="preserve">For the weight of the bin: 10mm/1000*115360mm/1000*2mm*7.85
	-Elena Hooijschuur</t>
      </text>
    </comment>
    <comment authorId="0" ref="P23">
      <text>
        <t xml:space="preserve">assumed same as trainrails
	-Elena Hooijschuur</t>
      </text>
    </comment>
    <comment authorId="0" ref="P22">
      <text>
        <t xml:space="preserve">assumed same as trainrails
	-Elena Hooijschuur</t>
      </text>
    </comment>
    <comment authorId="0" ref="P21">
      <text>
        <t xml:space="preserve">assumed same as trainrails
	-Elena Hooijschuur</t>
      </text>
    </comment>
    <comment authorId="0" ref="P18">
      <text>
        <t xml:space="preserve">assumed same as electricity grid
	-Elena Hooijschuur</t>
      </text>
    </comment>
    <comment authorId="0" ref="P17">
      <text>
        <t xml:space="preserve">assumed same as electricity grid
	-Elena Hooijschuur</t>
      </text>
    </comment>
    <comment authorId="0" ref="P16">
      <text>
        <t xml:space="preserve">assumed same as electricity grid
	-Elena Hooijschuur</t>
      </text>
    </comment>
    <comment authorId="0" ref="P4">
      <text>
        <t xml:space="preserve">assumed similar to streetlight pole
	-Elena Hooijschuur</t>
      </text>
    </comment>
    <comment authorId="0" ref="K8">
      <text>
        <t xml:space="preserve">Amsterdam uses 16350 terajoules a year, being 518 MW
	-Elena Hooijschuur</t>
      </text>
    </comment>
    <comment authorId="0" ref="G19">
      <text>
        <t xml:space="preserve">30% assumed to have a steel streetlight attached, leading to7350000/ 237000
	-Elena Hooijschuur</t>
      </text>
    </comment>
    <comment authorId="0" ref="G7">
      <text>
        <t xml:space="preserve">average 59,7 kg per meter
	-Elena Hooijschuur</t>
      </text>
    </comment>
    <comment authorId="0" ref="G6">
      <text>
        <t xml:space="preserve">assumed type UIC54
	-Elena Hooijschuur</t>
      </text>
    </comment>
    <comment authorId="0" ref="G5">
      <text>
        <t xml:space="preserve">assumed to have same content as street light
	-Elena Hooijschuur</t>
      </text>
    </comment>
    <comment authorId="0" ref="C103">
      <text>
        <t xml:space="preserve">70.45% of dutch households (adoption percentage)
	-Elena Hooijschuur</t>
      </text>
    </comment>
    <comment authorId="0" ref="C101">
      <text>
        <t xml:space="preserve">65.91% of dutch households (adoption percentage)
	-Elena Hooijschuur</t>
      </text>
    </comment>
    <comment authorId="0" ref="C98">
      <text>
        <t xml:space="preserve">100% penetration dutch households
	-Elena Hooijschuur</t>
      </text>
    </comment>
    <comment authorId="0" ref="C97">
      <text>
        <t xml:space="preserve">105% of dutch households (adoption percentage)
	-Elena Hooijschuur</t>
      </text>
    </comment>
    <comment authorId="0" ref="C96">
      <text>
        <t xml:space="preserve">Assume one per household
	-Elena Hooijschuur</t>
      </text>
    </comment>
    <comment authorId="0" ref="C95">
      <text>
        <t xml:space="preserve">84% penetration dutch households
	-Elena Hooijschuur</t>
      </text>
    </comment>
    <comment authorId="0" ref="C94">
      <text>
        <t xml:space="preserve">70.45% in dutch households (adoption percentage)
	-Elena Hooijschuur</t>
      </text>
    </comment>
    <comment authorId="0" ref="C92">
      <text>
        <t xml:space="preserve">62% penetration dutch household
	-Elena Hooijschuur</t>
      </text>
    </comment>
    <comment authorId="0" ref="C91">
      <text>
        <t xml:space="preserve">100% of dutch households (adoption percentage)
	-Elena Hooijschuur</t>
      </text>
    </comment>
    <comment authorId="0" ref="C89">
      <text>
        <t xml:space="preserve">96% penetration dutch households
	-Elena Hooijschuur</t>
      </text>
    </comment>
    <comment authorId="0" ref="C88">
      <text>
        <t xml:space="preserve">95.45% of dutch households (adoption percentage)
	-Elena Hooijschuur</t>
      </text>
    </comment>
    <comment authorId="0" ref="C86">
      <text>
        <t xml:space="preserve">59% penetration dutch households
	-Elena Hooijschuur</t>
      </text>
    </comment>
    <comment authorId="0" ref="C85">
      <text>
        <t xml:space="preserve">43.18% of dutch households (adoption percentage)
	-Elena Hooijschuur</t>
      </text>
    </comment>
    <comment authorId="0" ref="C84">
      <text>
        <t xml:space="preserve">47% penetration dutch households
	-Elena Hooijschuur</t>
      </text>
    </comment>
    <comment authorId="0" ref="C83">
      <text>
        <t xml:space="preserve">43% of dutch households (adoption percentage)
	-Elena Hooijschuur</t>
      </text>
    </comment>
    <comment authorId="0" ref="C82">
      <text>
        <t xml:space="preserve">125% of dutch households (adoption percentage)
	-Elena Hooijschuur</t>
      </text>
    </comment>
    <comment authorId="0" ref="C81">
      <text>
        <t xml:space="preserve">98% penetration dutch households
	-Elena Hooijschuur</t>
      </text>
    </comment>
    <comment authorId="0" ref="C80">
      <text>
        <t xml:space="preserve">944.22 TVs per 1000 population, 99.42% of households have a TV
	-Elena Hooijschuur</t>
      </text>
    </comment>
    <comment authorId="0" ref="C79">
      <text>
        <t xml:space="preserve">50% in dutch households (adoption percentage)
	-Elena Hooijschuur</t>
      </text>
    </comment>
    <comment authorId="0" ref="C78">
      <text>
        <t xml:space="preserve">166% laptops in dutch households
	-Elena Hooijschuur</t>
      </text>
    </comment>
    <comment authorId="0" ref="C77">
      <text>
        <t xml:space="preserve">682.36 personal compters per 1000 people
	-Elena Hooijschuur</t>
      </text>
    </comment>
    <comment authorId="0" ref="C76">
      <text>
        <t xml:space="preserve">1 056.72 mobile phones per 1000 people
	-Elena Hooijschuur</t>
      </text>
    </comment>
    <comment authorId="0" ref="C72">
      <text>
        <t xml:space="preserve">67% penetration dutch households
	-Elena Hooijschuur</t>
      </text>
    </comment>
    <comment authorId="0" ref="C71">
      <text>
        <t xml:space="preserve">431 dwellings per thousand inhabitants
	-Elena Hooijschuur</t>
      </text>
    </comment>
    <comment authorId="0" ref="A71">
      <text>
        <t xml:space="preserve">(=houses/flats, basically households)
	-Elena Hooijschuur</t>
      </text>
    </comment>
    <comment authorId="0" ref="A67">
      <text>
        <t xml:space="preserve">(assumed max 20M, weight 8000kg (double of leasure boats)
	-Elena Hooijschuur</t>
      </text>
    </comment>
    <comment authorId="0" ref="A67">
      <text>
        <t xml:space="preserve">Veren + ponten, 220 tons from Rauch
	-Elena Hooijschuur</t>
      </text>
    </comment>
    <comment authorId="0" ref="A66">
      <text>
        <t xml:space="preserve">(62 of 48 ton, 28 of 190 ton!)
	-Elena Hooijschuur</t>
      </text>
    </comment>
    <comment authorId="0" ref="A65">
      <text>
        <t xml:space="preserve">assumed 70 hybrid, 102 Diesel
	-Elena Hooijschuur</t>
      </text>
    </comment>
    <comment authorId="0" ref="A62">
      <text>
        <t xml:space="preserve">(151 are combino's of 34 ton mostly Al+plastics)
	-Elena Hooijschuur</t>
      </text>
    </comment>
    <comment authorId="0" ref="A64">
      <text>
        <t xml:space="preserve">(1/4 e-scooter on &gt;50cc scooters estimation)
	-Elena Hooijschuur</t>
      </text>
    </comment>
    <comment authorId="0" ref="C64">
      <text>
        <t xml:space="preserve">31900(50cc),  908 (E-scooter+brommobielen) 23445 (&gt;50cc)
	-Elena Hooijschuur</t>
      </text>
    </comment>
    <comment authorId="0" ref="C62">
      <text>
        <t xml:space="preserve">(31-38 tonnes per tram specifics can be found on the site)
	-Elena Hooijschuur</t>
      </text>
    </comment>
    <comment authorId="0" ref="C30">
      <text>
        <t xml:space="preserve">assumed copper telecommunication cables are still going towards every household, 30m per house for 432610 households.
	-Elena Hooijschuur</t>
      </text>
    </comment>
    <comment authorId="0" ref="C23">
      <text>
        <t xml:space="preserve">5% of total roads assumed to be reinforced concrete
	-Elena Hooijschuur</t>
      </text>
    </comment>
    <comment authorId="0" ref="C4">
      <text>
        <t xml:space="preserve">175x single bike stance, 10349x double bike stance, 3704x multiple bike stance (assumed being 5 stances)
	-Elena Hooijschuur</t>
      </text>
    </comment>
    <comment authorId="0" ref="A28">
      <text>
        <t xml:space="preserve">perhaps not used in NL
	-Elena Hooijschuur</t>
      </text>
    </comment>
    <comment authorId="0" ref="P79">
      <text>
        <t xml:space="preserve">what references did you use here? B/c i am taking some of your values over :D
	-Michelle Steenmeijer
I actually don't remember if I forgot the reference or if it's the EPA 2015 one... my bad
	-Ella Baz</t>
      </text>
    </comment>
    <comment authorId="0" ref="C24">
      <text>
        <t xml:space="preserve">piet heijntunnel (1,5 km), ijtunnel (1,139 km), Michiel de Ruijtertunnel (300m), Spaarndammertunnel (to be built this year), Arenatunnel, Coentunnel, Zeeburgertunnel
----
piet heijntunnel (1900 m, 3 tubes, 5 lanes), ijtunnel (1682 m, 2 tubes, 4 lanes), Michiel de Ruijtertunnel (500m, 2 tubes, 4 lanes), 
Arenatunnel (240 m, 2 tubes, 4 lanes), Coentunnel (1283 m, 4 lanes, 2 tubes), Zeeburgertunnel (946 m, 6 lanes, 2 tubes)
	-Elena Hooijschuur</t>
      </text>
    </comment>
    <comment authorId="0" ref="K2">
      <text>
        <t xml:space="preserve">systems with considerable amount of copper are water sup-
ply and distribution, electric power generation, electric power
transmission and distribution, telecommunications, broadcast and
television network, rail lines and urban rail transit system, and
streetscapes and traffic lights. (Zhang et al 2011)
	-Elena Hooijschuur</t>
      </text>
    </comment>
    <comment authorId="0" ref="N2">
      <text>
        <t xml:space="preserve">hotspots according to Wang en Greadel 2010: electrical distribution and transmission (&amp; buildings &amp; vehicles, especially motors)
	-Elena Hooijschuur
in connecticut light poles are a big one as well, but that's a state so that might make a difference
	-Elena Hooijschuur</t>
      </text>
    </comment>
    <comment authorId="0" ref="A19">
      <text>
        <t xml:space="preserve">was planning on doing this one, but it is indeed infrastructure. Would you mind if make the estimations for this one, or have you already started?
	-Michelle Steenmeijer
no don't worry :) did you do it already? otherwise i'll work on it sunday anyways
	-Elena Hooijschuur</t>
      </text>
    </comment>
  </commentList>
</comments>
</file>

<file path=xl/comments2.xml><?xml version="1.0" encoding="utf-8"?>
<comments xmlns="http://schemas.openxmlformats.org/spreadsheetml/2006/main">
  <authors>
    <author/>
  </authors>
  <commentList>
    <comment authorId="0" ref="A84">
      <text>
        <t xml:space="preserve">data for 2013 or so: https://www.waternet.nl/media/575284/nota_varen_in_amsterdam.pdf
</t>
      </text>
    </comment>
    <comment authorId="0" ref="A88">
      <text>
        <t xml:space="preserve">perhaps for boats just ask detailed info at the 'binnenwaterbeheer Amsterdam'</t>
      </text>
    </comment>
  </commentList>
</comments>
</file>

<file path=xl/comments3.xml><?xml version="1.0" encoding="utf-8"?>
<comments xmlns="http://schemas.openxmlformats.org/spreadsheetml/2006/main">
  <authors>
    <author/>
  </authors>
  <commentList>
    <comment authorId="0" ref="G14">
      <text>
        <t xml:space="preserve">households
	-Elena Hooijschuur</t>
      </text>
    </comment>
    <comment authorId="0" ref="G12">
      <text>
        <t xml:space="preserve">km
	-Elena Hooijschuur</t>
      </text>
    </comment>
    <comment authorId="0" ref="E14">
      <text>
        <t xml:space="preserve">ton per household
	-Elena Hooijschuur</t>
      </text>
    </comment>
    <comment authorId="0" ref="G24">
      <text>
        <t xml:space="preserve">km
	-Elena Hooijschuur</t>
      </text>
    </comment>
    <comment authorId="0" ref="G27">
      <text>
        <t xml:space="preserve">based on road length
	-Elena Hooijschuur</t>
      </text>
    </comment>
    <comment authorId="0" ref="G13">
      <text>
        <t xml:space="preserve">based on road length
	-Elena Hooijschuur</t>
      </text>
    </comment>
    <comment authorId="0" ref="G33">
      <text>
        <t xml:space="preserve">based on road length
	-Elena Hooijschuur</t>
      </text>
    </comment>
    <comment authorId="0" ref="G26">
      <text>
        <t xml:space="preserve">based on road length
	-Elena Hooijschuur</t>
      </text>
    </comment>
    <comment authorId="0" ref="G32">
      <text>
        <t xml:space="preserve">households
	-Elena Hooijschuur</t>
      </text>
    </comment>
    <comment authorId="0" ref="G29">
      <text>
        <t xml:space="preserve">km
	-Elena Hooijschuur</t>
      </text>
    </comment>
    <comment authorId="0" ref="G25">
      <text>
        <t xml:space="preserve">km
	-Elena Hooijschuur</t>
      </text>
    </comment>
    <comment authorId="0" ref="G23">
      <text>
        <t xml:space="preserve">km
	-Elena Hooijschuur</t>
      </text>
    </comment>
    <comment authorId="0" ref="G21">
      <text>
        <t xml:space="preserve">km
	-Elena Hooijschuur</t>
      </text>
    </comment>
    <comment authorId="0" ref="G19">
      <text>
        <t xml:space="preserve">km
	-Elena Hooijschuur</t>
      </text>
    </comment>
    <comment authorId="0" ref="G18">
      <text>
        <t xml:space="preserve">km
	-Elena Hooijschuur</t>
      </text>
    </comment>
    <comment authorId="0" ref="G17">
      <text>
        <t xml:space="preserve">km
	-Elena Hooijschuur</t>
      </text>
    </comment>
    <comment authorId="0" ref="G9">
      <text>
        <t xml:space="preserve">MW
	-Elena Hooijschuur</t>
      </text>
    </comment>
    <comment authorId="0" ref="G8">
      <text>
        <t xml:space="preserve">km
	-Elena Hooijschuur</t>
      </text>
    </comment>
    <comment authorId="0" ref="G7">
      <text>
        <t xml:space="preserve">km
	-Elena Hooijschuur</t>
      </text>
    </comment>
  </commentList>
</comments>
</file>

<file path=xl/comments4.xml><?xml version="1.0" encoding="utf-8"?>
<comments xmlns="http://schemas.openxmlformats.org/spreadsheetml/2006/main">
  <authors>
    <author/>
  </authors>
  <commentList>
    <comment authorId="0" ref="A1">
      <text>
        <t xml:space="preserve">What is this tab for ?
	-Ella Baz</t>
      </text>
    </comment>
  </commentList>
</comments>
</file>

<file path=xl/comments5.xml><?xml version="1.0" encoding="utf-8"?>
<comments xmlns="http://schemas.openxmlformats.org/spreadsheetml/2006/main">
  <authors>
    <author/>
  </authors>
  <commentList>
    <comment authorId="0" ref="B68">
      <text>
        <t xml:space="preserve">This value seems large as 1300 kg is the weight of an averge car itself
	-Sidney Niccolson</t>
      </text>
    </comment>
    <comment authorId="0" ref="B64">
      <text>
        <t xml:space="preserve">where can i find the 85% in the Wang article, t make a good choice?
	-Elena Hooijschuur</t>
      </text>
    </comment>
    <comment authorId="0" ref="A263">
      <text>
        <t xml:space="preserve">For Eckelman data, is the stock also available?
	-Elena Hooijschuur</t>
      </text>
    </comment>
    <comment authorId="0" ref="B184">
      <text>
        <t xml:space="preserve">if this one is available total for connecticut as well we can calculate the percentage of the stock that gets available each year
	-Elena Hooijschuur</t>
      </text>
    </comment>
    <comment authorId="0" ref="B183">
      <text>
        <t xml:space="preserve">if this one is available total for connecticut as well we can calculate the percentage of the stock that gets available each year
	-Elena Hooijschuur</t>
      </text>
    </comment>
  </commentList>
</comments>
</file>

<file path=xl/sharedStrings.xml><?xml version="1.0" encoding="utf-8"?>
<sst xmlns="http://schemas.openxmlformats.org/spreadsheetml/2006/main" count="2664" uniqueCount="1270">
  <si>
    <t>Welcome!</t>
  </si>
  <si>
    <t>Data - basis</t>
  </si>
  <si>
    <t>Name</t>
  </si>
  <si>
    <t>Surface area</t>
  </si>
  <si>
    <t>Amount of products in AMS</t>
  </si>
  <si>
    <t>Period of results</t>
  </si>
  <si>
    <t>District of AMS</t>
  </si>
  <si>
    <t>Reference of # of products</t>
  </si>
  <si>
    <t>Amount of Iron per product/area</t>
  </si>
  <si>
    <t>Amount of Iron</t>
  </si>
  <si>
    <t>Reference for iron</t>
  </si>
  <si>
    <t>Amount of Copper per product/area</t>
  </si>
  <si>
    <t>Amount of Copper</t>
  </si>
  <si>
    <t>reference for copper</t>
  </si>
  <si>
    <t>Amount of Aluminum per product/area</t>
  </si>
  <si>
    <t>Amount of Al</t>
  </si>
  <si>
    <t>Reference for Al</t>
  </si>
  <si>
    <t>Lifetime</t>
  </si>
  <si>
    <t>Ref. lifetime</t>
  </si>
  <si>
    <t>other referencing</t>
  </si>
  <si>
    <t>Infrastructure (Elena)</t>
  </si>
  <si>
    <t>Bicycle parkingspots</t>
  </si>
  <si>
    <t>Amsterdam</t>
  </si>
  <si>
    <t>Gemeente Amsterdam 2016</t>
  </si>
  <si>
    <t>48,9 kg steel and 2,1 kg stainless steel</t>
  </si>
  <si>
    <t>TNO 2014</t>
  </si>
  <si>
    <t>25 years</t>
  </si>
  <si>
    <t>Van Beers &amp; Graedel 2003</t>
  </si>
  <si>
    <t>Traffic lights</t>
  </si>
  <si>
    <t xml:space="preserve">98 kg </t>
  </si>
  <si>
    <t>701680 kg</t>
  </si>
  <si>
    <t>Eckelman et al. 2007</t>
  </si>
  <si>
    <t>distance assumed to be 1000m between traffic lights, 5 m high with 4 cores of copper in the wire of 0.75 mm2 (Zhang et al), meaning we have ((1000+5)*7160)*4*0,00000075=21.59 m3 of wire. Copper is 8900 kg/m3, so we get 192128 kg of copper.</t>
  </si>
  <si>
    <t>192128 kg for wire</t>
  </si>
  <si>
    <t>Zhang et al. 2011</t>
  </si>
  <si>
    <t>Wang &amp; Graedel 2009</t>
  </si>
  <si>
    <t>Metrolines</t>
  </si>
  <si>
    <t>42.5 km</t>
  </si>
  <si>
    <t>Wikipedia 2016</t>
  </si>
  <si>
    <t>4590000 kg</t>
  </si>
  <si>
    <t>Tata Steel 2016</t>
  </si>
  <si>
    <t xml:space="preserve">insignificant </t>
  </si>
  <si>
    <t>Tramlines</t>
  </si>
  <si>
    <t>200 km</t>
  </si>
  <si>
    <t>GVB no year</t>
  </si>
  <si>
    <t>2388000 kg</t>
  </si>
  <si>
    <t>23880000 kg</t>
  </si>
  <si>
    <t>Alom no year</t>
  </si>
  <si>
    <t>Distribution cables for electricity</t>
  </si>
  <si>
    <t>-</t>
  </si>
  <si>
    <t>48000kg/MW</t>
  </si>
  <si>
    <t>24864000 kg</t>
  </si>
  <si>
    <t>40 years</t>
  </si>
  <si>
    <t>Transmission transformers for electricity</t>
  </si>
  <si>
    <t>not found</t>
  </si>
  <si>
    <t>1400 kg on average</t>
  </si>
  <si>
    <t>18-1987 kg</t>
  </si>
  <si>
    <t>30 years</t>
  </si>
  <si>
    <t>Distribution transformers for electricity</t>
  </si>
  <si>
    <t>20 kg on average</t>
  </si>
  <si>
    <t>Wang&amp;Graedel 2009</t>
  </si>
  <si>
    <t xml:space="preserve">Drinking water pipes </t>
  </si>
  <si>
    <t>2800 km</t>
  </si>
  <si>
    <t>Gemeente Amsterdam 2008</t>
  </si>
  <si>
    <t>45% is made of cast iron or steel and has a diameter of 125 mm. this means it weights 19 kg/m</t>
  </si>
  <si>
    <t>23940000 kg</t>
  </si>
  <si>
    <t>Reinstra 2016</t>
  </si>
  <si>
    <t>6.71% is of copper 54, weighting 2.2 kg/m, being 0.0671*2800*2,2=413 tons</t>
  </si>
  <si>
    <t>Hamel no year</t>
  </si>
  <si>
    <t xml:space="preserve">80 years </t>
  </si>
  <si>
    <t>Vloerbergh and Beuken 2011</t>
  </si>
  <si>
    <t>hydrants</t>
  </si>
  <si>
    <t>1849 km road</t>
  </si>
  <si>
    <t>Centraal buro voor de Statistiek no year</t>
  </si>
  <si>
    <t>100% iron, 400 pounds per unit being 181 kg</t>
  </si>
  <si>
    <t xml:space="preserve">3346690 kg </t>
  </si>
  <si>
    <t>Rauch et al. 2007</t>
  </si>
  <si>
    <t xml:space="preserve">30 years </t>
  </si>
  <si>
    <t>pumps</t>
  </si>
  <si>
    <t>100% rvs, 2 tons per pump</t>
  </si>
  <si>
    <t>8000 kg</t>
  </si>
  <si>
    <t>manhole covers on highways</t>
  </si>
  <si>
    <t>296 km road</t>
  </si>
  <si>
    <t>Rauch et al 2007</t>
  </si>
  <si>
    <t>100 pounds, 100% iron</t>
  </si>
  <si>
    <t>469220 kg</t>
  </si>
  <si>
    <t>grates on local roads</t>
  </si>
  <si>
    <t>50 pounds, 100% iron</t>
  </si>
  <si>
    <t xml:space="preserve">573023 kg </t>
  </si>
  <si>
    <t xml:space="preserve">natural gas distribution pipes </t>
  </si>
  <si>
    <t>2000 km</t>
  </si>
  <si>
    <t>cityheating pipes</t>
  </si>
  <si>
    <t>150 km</t>
  </si>
  <si>
    <t>city cooling pipes</t>
  </si>
  <si>
    <t>12 km</t>
  </si>
  <si>
    <t>Streetlights</t>
  </si>
  <si>
    <t>Gemeente Amsterdam - Dienst Infrastructuur Verkeer en Vervoer 2007</t>
  </si>
  <si>
    <t>31 kg per streetlight</t>
  </si>
  <si>
    <t>4138500 kg</t>
  </si>
  <si>
    <t>distance assumed to be 35m between streetlights, 9 m high with 3 cores of copper in the wire of 16 mm2 (Zhang et al), meaning we have ((35+9)*116000)*3*0,000016=245 m3 of wire. Copper is 8900 kg/m3, so we get 2180500 kg of copper.</t>
  </si>
  <si>
    <t>2180500 kg</t>
  </si>
  <si>
    <t>Trainrails</t>
  </si>
  <si>
    <t>334 km</t>
  </si>
  <si>
    <t>Koncak 2016</t>
  </si>
  <si>
    <t xml:space="preserve">33473786 kg </t>
  </si>
  <si>
    <t>50 years</t>
  </si>
  <si>
    <t>Bolidt Ballastloze Kunststoftoepassing no year</t>
  </si>
  <si>
    <t>overhead contact system of railroad: poles</t>
  </si>
  <si>
    <t>238 km rail</t>
  </si>
  <si>
    <t xml:space="preserve">48 kg per linear foot  </t>
  </si>
  <si>
    <t>37259453 kg</t>
  </si>
  <si>
    <t xml:space="preserve">Rauch et al. 2007 </t>
  </si>
  <si>
    <t>assumed same as trainrails</t>
  </si>
  <si>
    <t>overhead contact system of railroad: wires</t>
  </si>
  <si>
    <t>238 km</t>
  </si>
  <si>
    <t xml:space="preserve">1,79 ton per km </t>
  </si>
  <si>
    <t>425.78 ton</t>
  </si>
  <si>
    <t>reinforced concrete roads</t>
  </si>
  <si>
    <t>296 km</t>
  </si>
  <si>
    <t>14.8 km</t>
  </si>
  <si>
    <t>0.5% steel in reinforced concrete for highways, being 230 mm high and 12 feet per lane 6 lanes broad and 14,8 km long. this gives a road volume of 74703 m3 and a steel amount of 374 m3. Steel has a density of 7800 kg/m3.</t>
  </si>
  <si>
    <t>2917000 kg</t>
  </si>
  <si>
    <t>assumed average infrastructure</t>
  </si>
  <si>
    <t>Tunnels</t>
  </si>
  <si>
    <t>7.361 km</t>
  </si>
  <si>
    <t>Gemeente Amsterdam no year, Schrijver 2015, Wikipedia 2016, Wikipedia 2016, Wikipedia 2016, Wikipedia 2016</t>
  </si>
  <si>
    <t>assumed 12,6 ton steel for reinforcement per km, like willem alexander tunnel</t>
  </si>
  <si>
    <t>92700 kg</t>
  </si>
  <si>
    <t>A2 Maastricht no year</t>
  </si>
  <si>
    <t>100 years</t>
  </si>
  <si>
    <t>InfraQuest no year</t>
  </si>
  <si>
    <t>Street signs small</t>
  </si>
  <si>
    <t>35 pounds of steel for supporting post</t>
  </si>
  <si>
    <t>421976 kg</t>
  </si>
  <si>
    <t xml:space="preserve">25 years </t>
  </si>
  <si>
    <t xml:space="preserve">street signs big (highway) </t>
  </si>
  <si>
    <t>50 pounds of steel for supporting post</t>
  </si>
  <si>
    <t>141747 kg</t>
  </si>
  <si>
    <t>overhead trusses (highway)</t>
  </si>
  <si>
    <t>6740 pounds of steel</t>
  </si>
  <si>
    <t>2809578 kg</t>
  </si>
  <si>
    <t>Assumed similar to streetsigns</t>
  </si>
  <si>
    <t>guard rail</t>
  </si>
  <si>
    <t>74 km (own measurement)</t>
  </si>
  <si>
    <t>Bonhof no year</t>
  </si>
  <si>
    <t xml:space="preserve">48 kg steel per 4,3 m </t>
  </si>
  <si>
    <t>3088695 kg</t>
  </si>
  <si>
    <t>15 years</t>
  </si>
  <si>
    <t>Eindhovens dagblad 2009</t>
  </si>
  <si>
    <t>Public transport stops-stations; abri</t>
  </si>
  <si>
    <t>JC Decaux 2016</t>
  </si>
  <si>
    <t>690000 kg</t>
  </si>
  <si>
    <t>Bubberman 2016</t>
  </si>
  <si>
    <t>Gemeente Amsterdam no year</t>
  </si>
  <si>
    <t>Copper cables for telecommunication</t>
  </si>
  <si>
    <t>12978 km</t>
  </si>
  <si>
    <t>Zhang 2011</t>
  </si>
  <si>
    <t>Thickness is assumed to be the same as in Zhang 2011, 0.13 mm2. This same study assumes 30 m cable per household and 4 wires. This means we have 432610 households needing  432610 *30 * 0.00000013 * 4= 6,7 m2 copper, being 8900*6,7 = 59630 kg copper.</t>
  </si>
  <si>
    <t>59630 kg</t>
  </si>
  <si>
    <t>60 years</t>
  </si>
  <si>
    <t>Bosch 2012</t>
  </si>
  <si>
    <t>Manholes for telecommunication</t>
  </si>
  <si>
    <t>GVB no year, Rauch et al 2007</t>
  </si>
  <si>
    <t>100 pounds per cover</t>
  </si>
  <si>
    <t>Public goods</t>
  </si>
  <si>
    <t>Bins</t>
  </si>
  <si>
    <t>Amsterdam centre</t>
  </si>
  <si>
    <t>Publicspaceinfo.nl 2016</t>
  </si>
  <si>
    <t>11536 cm2</t>
  </si>
  <si>
    <t>Afvalcontainerkopen.nl 2016</t>
  </si>
  <si>
    <t>Statues</t>
  </si>
  <si>
    <t>Within the Ring, 7200 ha</t>
  </si>
  <si>
    <t>Forever</t>
  </si>
  <si>
    <t>Urinoirs</t>
  </si>
  <si>
    <t>Data.overheid.nl 2016</t>
  </si>
  <si>
    <t>204,1 kg</t>
  </si>
  <si>
    <t>Urilift.nl 2016</t>
  </si>
  <si>
    <t>Security camera's</t>
  </si>
  <si>
    <t>Amstedam</t>
  </si>
  <si>
    <t>0.4 kg</t>
  </si>
  <si>
    <t>Camerainstallatie.nl 2016</t>
  </si>
  <si>
    <t>Markets</t>
  </si>
  <si>
    <t>Maps.amsterdam.nl 2016</t>
  </si>
  <si>
    <t>60 kg per stand</t>
  </si>
  <si>
    <t>87600 kg</t>
  </si>
  <si>
    <t>Albert Cuyp markt 2016</t>
  </si>
  <si>
    <t>Markt Leiden 2016</t>
  </si>
  <si>
    <t>Bulky canal waste</t>
  </si>
  <si>
    <t>260t</t>
  </si>
  <si>
    <t>Waternet 2016</t>
  </si>
  <si>
    <t>260000 kg</t>
  </si>
  <si>
    <t>€2</t>
  </si>
  <si>
    <t>Tradingeconomics.com 2016; Statline.nl 2016</t>
  </si>
  <si>
    <t>6.375 gr/coin</t>
  </si>
  <si>
    <t>Koninklijke Nederlandse Munt 2016</t>
  </si>
  <si>
    <t>Rijksoverheid.nl 2016</t>
  </si>
  <si>
    <t>€1</t>
  </si>
  <si>
    <t>5.625 gr/coin</t>
  </si>
  <si>
    <t>€0.50</t>
  </si>
  <si>
    <t>6.942 gr/coin</t>
  </si>
  <si>
    <t>0.39 gr/coin</t>
  </si>
  <si>
    <t>€0.20</t>
  </si>
  <si>
    <t>5.11 gr/coin</t>
  </si>
  <si>
    <t>0.29 gr/coin</t>
  </si>
  <si>
    <t>€0.10</t>
  </si>
  <si>
    <t>3.65 gr/coin</t>
  </si>
  <si>
    <t>0.205 gr/coin</t>
  </si>
  <si>
    <t>€0.05</t>
  </si>
  <si>
    <t>3.699 gr/coin</t>
  </si>
  <si>
    <t>0.2215 gr/coin</t>
  </si>
  <si>
    <t>€0.02</t>
  </si>
  <si>
    <t>2.887 gr/coin</t>
  </si>
  <si>
    <t>0.173 gr/coin</t>
  </si>
  <si>
    <t>€0.01</t>
  </si>
  <si>
    <t>2.17 gr/coin</t>
  </si>
  <si>
    <t>0.129 gr/coin</t>
  </si>
  <si>
    <t>Fuel station equipment</t>
  </si>
  <si>
    <t>Detelefoongids.nl 2016</t>
  </si>
  <si>
    <t>250 kg</t>
  </si>
  <si>
    <t>Gilbarco 2016</t>
  </si>
  <si>
    <t>Tankstationinstallaties.nl 2016</t>
  </si>
  <si>
    <t>ATM's</t>
  </si>
  <si>
    <t>Mastercard.com 2016</t>
  </si>
  <si>
    <t xml:space="preserve">Assumed: 500kg </t>
  </si>
  <si>
    <t>Sahni, Boustani et al. 2010</t>
  </si>
  <si>
    <t>75.2g</t>
  </si>
  <si>
    <t>37.9 gr</t>
  </si>
  <si>
    <t>Economically: 5-7, Technically: 10-20 (https://www.computable.nl/artikel/achtergrond/ict-branche/3295206/1444691/geldautomaten-slikken-floppys.html)</t>
  </si>
  <si>
    <t>Computable.nl 2016</t>
  </si>
  <si>
    <t>soccerfields</t>
  </si>
  <si>
    <t>38 kg</t>
  </si>
  <si>
    <t>Voetbalgoals.nl 2016</t>
  </si>
  <si>
    <t>Knvb 2016</t>
  </si>
  <si>
    <t>monkeybars</t>
  </si>
  <si>
    <t>Kidsproof.nl 2016</t>
  </si>
  <si>
    <t>23.16 kg</t>
  </si>
  <si>
    <t>Klimrek.nl 2016</t>
  </si>
  <si>
    <t>slide</t>
  </si>
  <si>
    <t>117 kg</t>
  </si>
  <si>
    <t>Bol.com 2016</t>
  </si>
  <si>
    <t>Gotsis et al. 2003</t>
  </si>
  <si>
    <t>Amsterdammertjes</t>
  </si>
  <si>
    <t>2003 extrapolated to 2016</t>
  </si>
  <si>
    <t>Allesoveramsterdammertjes.nl 2016</t>
  </si>
  <si>
    <t>Mokums.nl 2016</t>
  </si>
  <si>
    <t>Billboards</t>
  </si>
  <si>
    <t>JCDecaux 2016</t>
  </si>
  <si>
    <t>Transport</t>
  </si>
  <si>
    <t>Personal cars</t>
  </si>
  <si>
    <t>840 kg steel (60% of weight) on average 1300 kg car</t>
  </si>
  <si>
    <t>Factbox 2010</t>
  </si>
  <si>
    <t>15-28kg (small-large cars)</t>
  </si>
  <si>
    <t>European Copper institute 2016</t>
  </si>
  <si>
    <t>114.12 kg/per fiat 500, 124.238950143 kg/per ford focus, 300 kg body/per tesla http://www.torquenews.com/119/tesla-model-s-illuminates-aluminum-body-structure-2011-detroit-auto-show</t>
  </si>
  <si>
    <t>Ducker Worldwide</t>
  </si>
  <si>
    <t xml:space="preserve">14 years </t>
  </si>
  <si>
    <t>Business cars</t>
  </si>
  <si>
    <t>114.12 kg/per fiat 500, 124.238950143 kg/per ford focus</t>
  </si>
  <si>
    <t>14 years</t>
  </si>
  <si>
    <t>Business vans</t>
  </si>
  <si>
    <t>123.831 kg/per van</t>
  </si>
  <si>
    <t>7 years</t>
  </si>
  <si>
    <t>Nevada Department of Taxation 2011</t>
  </si>
  <si>
    <t>Business trucks</t>
  </si>
  <si>
    <t>78% iron of weight, assuming weight of 10.000 kg , kg iron: (10000*1096)*0.78</t>
  </si>
  <si>
    <t>20kg on average per truck</t>
  </si>
  <si>
    <t>Van Beers, D., &amp; Graedel, T. E. (2003).</t>
  </si>
  <si>
    <t>150kg-375 kg &gt; average 262.5 kg</t>
  </si>
  <si>
    <t>10 years</t>
  </si>
  <si>
    <t>Ducker Worldwide 2015</t>
  </si>
  <si>
    <t>motorcycles</t>
  </si>
  <si>
    <t>assuming weight of 190kg, 55.4%steel (105 kg)</t>
  </si>
  <si>
    <t>Tatemichi &amp; Yoshida 2001</t>
  </si>
  <si>
    <t>3 kg per motorcycle</t>
  </si>
  <si>
    <t xml:space="preserve">Van Beers, D., &amp; Graedel, T. E. (2003). </t>
  </si>
  <si>
    <t>Assuming weight of 190kg, 45 kg Al</t>
  </si>
  <si>
    <t>Tatemich &amp; Yoshida 2001</t>
  </si>
  <si>
    <t>120700.8 km</t>
  </si>
  <si>
    <t>Chester &amp; Horvath 2009</t>
  </si>
  <si>
    <t>Trams</t>
  </si>
  <si>
    <t>GVB 2016</t>
  </si>
  <si>
    <t>We assume for old trams 65%, for combino's almost none.</t>
  </si>
  <si>
    <t>assumed with GVB data</t>
  </si>
  <si>
    <t>3% of tram</t>
  </si>
  <si>
    <t>Siemens A. 2006</t>
  </si>
  <si>
    <t>1% according to rauch, but we assume for Combino's 65%</t>
  </si>
  <si>
    <t>before 2017 13 out, before 2020 45 out &gt; 30yr contracts &gt; avg 20 years</t>
  </si>
  <si>
    <t xml:space="preserve">Bikes </t>
  </si>
  <si>
    <t>IAmsterdam: cycling facts and figures</t>
  </si>
  <si>
    <t>assuming weight 17kg,  6.16 kg steel (alloy&amp;stainless)</t>
  </si>
  <si>
    <t>Marianne Leuenberger &amp; Rolf Frischknech 2010</t>
  </si>
  <si>
    <t>5.47 kg, assuming weight 17kg, 7.54 kg Al, Rauch says 20% then it would be 3.4 kg. We take the average</t>
  </si>
  <si>
    <t>Leuenberger &amp; Frishknech 2010</t>
  </si>
  <si>
    <t>8 for Al</t>
  </si>
  <si>
    <t>Scooters</t>
  </si>
  <si>
    <t>40.8kg steel per e-scooter total weight 106 kg, 53.7 kg per conv. scooter, total weight of 90kg &gt;40.8*908=37046kg SteeleScoooter, 53.7*55345=2972027</t>
  </si>
  <si>
    <t>Braconi (2014): 7.68 kg per Escooter total weight 106 kg, (Rauch et al) 1.33% (1.41kg) &gt;50cc and normalised for &lt;50cc to 1.06 % (1.12kg)
&gt;  908*7.68=6973kgEscooter,  1.41*23445=33058kg&gt;50cc, 1.12*31900=35728</t>
  </si>
  <si>
    <t>Braconi 2014</t>
  </si>
  <si>
    <t>25.1 kg for e-scooter total weight 106 kg, 15kg for conventional total weight of 90kg &gt; 25.1*908=22790kgAlEscooter, 15*55345=830175kgConv.scooter</t>
  </si>
  <si>
    <t>Leuenberger &amp; Frishchknech 2010</t>
  </si>
  <si>
    <t>
50000 km</t>
  </si>
  <si>
    <t>Leuenberger &amp; Frischknecht 2010</t>
  </si>
  <si>
    <t>Buses</t>
  </si>
  <si>
    <t>Amsterdam + surroundings</t>
  </si>
  <si>
    <t>Diesel: 6251 kg Fe/steel/stainless altogether
, Hybrid: 5142 kg</t>
  </si>
  <si>
    <t>Kärnä 2012</t>
  </si>
  <si>
    <t>Diesel: 163 kg Cu, hybrid: 212 kg Cu</t>
  </si>
  <si>
    <t xml:space="preserve">Diesel: 1525 kg Al, hybrid 1541 kg Al TO HIGH? &gt; from Rauch it is 200 kg Al </t>
  </si>
  <si>
    <t>Low(34400)High(263420)</t>
  </si>
  <si>
    <t>before 2018 40 out, before 2020 10 out, before 2021 33 out, before 2022 70 out avg&gt; 15 years</t>
  </si>
  <si>
    <t xml:space="preserve">Metro's </t>
  </si>
  <si>
    <t>48.5% Steel High+low allow</t>
  </si>
  <si>
    <t>Struckl &amp; Wimmer 2007</t>
  </si>
  <si>
    <t>Struckl &amp; Wimme 2007</t>
  </si>
  <si>
    <t>before 2017 24 out, 15 in, before 2020 13 out, before 2024 12 out, before 2027 37 out (details in models in document) &gt; avg 20 years</t>
  </si>
  <si>
    <t>Siemens AG 2006</t>
  </si>
  <si>
    <t>Household appliances </t>
  </si>
  <si>
    <t>in tonnes</t>
  </si>
  <si>
    <t xml:space="preserve">Number of households </t>
  </si>
  <si>
    <t xml:space="preserve">Amsterdam  </t>
  </si>
  <si>
    <t>Stadindex 2016</t>
  </si>
  <si>
    <t xml:space="preserve">Population of Amsterdam </t>
  </si>
  <si>
    <t>Dwellings</t>
  </si>
  <si>
    <t>Papachristos 2015</t>
  </si>
  <si>
    <t>Printers (inkjet)</t>
  </si>
  <si>
    <t xml:space="preserve">289 849 </t>
  </si>
  <si>
    <t>42.31% Fe (1.27kg for 3kg printer)</t>
  </si>
  <si>
    <t>WRAP UK 2012</t>
  </si>
  <si>
    <t xml:space="preserve">8.92% Cu </t>
  </si>
  <si>
    <t xml:space="preserve">4% Al </t>
  </si>
  <si>
    <t>http://eco3e.eu/products/printer/</t>
  </si>
  <si>
    <t>19% steel (0.95kg for 5kg printer)</t>
  </si>
  <si>
    <t>Eco3e 2016</t>
  </si>
  <si>
    <t>1% Cu</t>
  </si>
  <si>
    <t>19.81% Al (0.6kg for 3 kg printer)</t>
  </si>
  <si>
    <t>8 years</t>
  </si>
  <si>
    <t>estimations</t>
  </si>
  <si>
    <t>Air conditioning unit (portable)</t>
  </si>
  <si>
    <t>46% iron of total weight</t>
  </si>
  <si>
    <t>Nakamura &amp; Kondo 2001</t>
  </si>
  <si>
    <t xml:space="preserve">6.6 kg per unit </t>
  </si>
  <si>
    <t>Zhang et al. 2012</t>
  </si>
  <si>
    <t>2.5 kg Al per portable air conditiner</t>
  </si>
  <si>
    <t>Recalde et al. 2008</t>
  </si>
  <si>
    <t xml:space="preserve">1 to 15 years </t>
  </si>
  <si>
    <t xml:space="preserve">19% copper of total weight </t>
  </si>
  <si>
    <t xml:space="preserve">9% of total weight </t>
  </si>
  <si>
    <t>Cellphones</t>
  </si>
  <si>
    <t xml:space="preserve">834 925 </t>
  </si>
  <si>
    <t>Nation Master 2016</t>
  </si>
  <si>
    <t>25 g stainless steel (iPhone 6)</t>
  </si>
  <si>
    <t>Apple 2014</t>
  </si>
  <si>
    <t>26g Al (iPhone 6)</t>
  </si>
  <si>
    <t>https://www.apple.com/environment/reports/docs/iPhone6_PER_Sept2014.pdf</t>
  </si>
  <si>
    <t xml:space="preserve">3 years </t>
  </si>
  <si>
    <t>Eugster et al. 2007</t>
  </si>
  <si>
    <t>Computer (laptop)</t>
  </si>
  <si>
    <t xml:space="preserve">539 139  </t>
  </si>
  <si>
    <t>489.23 g steel (sheet galvanised) per notebook PC</t>
  </si>
  <si>
    <t xml:space="preserve">60g (Cu wire) + 15.2 g (Cu tube/sheet) per notebook PC </t>
  </si>
  <si>
    <t xml:space="preserve">37.9 g Al (sheet/extrusion) per notebook PC </t>
  </si>
  <si>
    <t xml:space="preserve">1 to 11 years </t>
  </si>
  <si>
    <t xml:space="preserve"> 718 133 </t>
  </si>
  <si>
    <t>Tselekis 2012</t>
  </si>
  <si>
    <t>1.4 kg copper per unit</t>
  </si>
  <si>
    <t>5.0% of total weight is Al</t>
  </si>
  <si>
    <t xml:space="preserve">5 years </t>
  </si>
  <si>
    <t xml:space="preserve">Desktop PC </t>
  </si>
  <si>
    <t xml:space="preserve">216 305 </t>
  </si>
  <si>
    <t>28.6% (steel, CPU case/CRT shield) of total weight. (average weight desktop PC 9.9kg from Eugster et al. 2007)</t>
  </si>
  <si>
    <t>EPA 2015 for WARM</t>
  </si>
  <si>
    <t>6.6% of total weight (PWB conducto/wiring)</t>
  </si>
  <si>
    <t>9.5% of total weight (structural components/ PWB conductor)</t>
  </si>
  <si>
    <t xml:space="preserve">8 years </t>
  </si>
  <si>
    <t>Television</t>
  </si>
  <si>
    <t xml:space="preserve">746 028 </t>
  </si>
  <si>
    <t>17% steel (5.1 kg for 30 kg TV)</t>
  </si>
  <si>
    <t>Truttman &amp; Rechberger 2006</t>
  </si>
  <si>
    <t>5% (1.5 kg for 30kg TV)</t>
  </si>
  <si>
    <t>1% Al weight wise (2%, 0.6kg for 30kg TV according to Truttman &amp; Rechberger 2006)</t>
  </si>
  <si>
    <t>1 to 25 years (15 yrs from Truttman &amp; Rechberger 2006)</t>
  </si>
  <si>
    <t xml:space="preserve">423 958 </t>
  </si>
  <si>
    <t>540 762</t>
  </si>
  <si>
    <t xml:space="preserve">10% of weight </t>
  </si>
  <si>
    <t xml:space="preserve">2% of weight </t>
  </si>
  <si>
    <t xml:space="preserve">0% of weight </t>
  </si>
  <si>
    <t>Nakamura &amp; kondo 2001</t>
  </si>
  <si>
    <t>Dishwasher</t>
  </si>
  <si>
    <t>186 022</t>
  </si>
  <si>
    <t>50% steel (25kg for 50kg dishwasher)</t>
  </si>
  <si>
    <t>2.5% of total (1.25kg in 50 kg machine)</t>
  </si>
  <si>
    <t>1.4 kg Al per dishwasher</t>
  </si>
  <si>
    <t xml:space="preserve">203 327 </t>
  </si>
  <si>
    <t xml:space="preserve">2.3 kg copper per dishwasher </t>
  </si>
  <si>
    <t>van Beers &amp; Graedel 2003</t>
  </si>
  <si>
    <t>2.5% (1.25 kg for 50kg machine)</t>
  </si>
  <si>
    <t>Dryer</t>
  </si>
  <si>
    <t>186 801</t>
  </si>
  <si>
    <t>57.5% stainless steel + 5.8% steel shete galvanised + 4% cast iron (weight of avg tumble dryer is 49kg by Kunzler Bossert &amp; Partner GmbH 2001)</t>
  </si>
  <si>
    <t>Oeko Institut 2011</t>
  </si>
  <si>
    <t xml:space="preserve">4.3% Cu wire </t>
  </si>
  <si>
    <t>Oeko Intitut 2011</t>
  </si>
  <si>
    <t>1.4 kg Al per clothes dryer</t>
  </si>
  <si>
    <t xml:space="preserve">10 years </t>
  </si>
  <si>
    <t>255 240</t>
  </si>
  <si>
    <t>1.5% Al = 0.735 kg per 49kg machine</t>
  </si>
  <si>
    <t>Oeko Insitut 2011</t>
  </si>
  <si>
    <t>Washing machine</t>
  </si>
  <si>
    <t>15.2% steel and 35.5% iron of total mass (avg75kg, so 38kg ferrous)</t>
  </si>
  <si>
    <t>2.4% of total mass (1.8kg in 75kg machine)</t>
  </si>
  <si>
    <t xml:space="preserve">1.9 kg Al per washing machine </t>
  </si>
  <si>
    <t xml:space="preserve">1 to 20 years </t>
  </si>
  <si>
    <t>412 926</t>
  </si>
  <si>
    <t>56% iron in weight</t>
  </si>
  <si>
    <t xml:space="preserve">3% of weight </t>
  </si>
  <si>
    <t xml:space="preserve">1% of weight </t>
  </si>
  <si>
    <t>415 306</t>
  </si>
  <si>
    <t xml:space="preserve">2 kg copper  per washing machine </t>
  </si>
  <si>
    <t>12 years</t>
  </si>
  <si>
    <t xml:space="preserve">1.1 kg per unit </t>
  </si>
  <si>
    <t>2.6% of total mass (1.95kg if 75kg machine)</t>
  </si>
  <si>
    <t xml:space="preserve">15 years </t>
  </si>
  <si>
    <t>Hoover</t>
  </si>
  <si>
    <t>432 610</t>
  </si>
  <si>
    <t>40.31% iron (for 8kg vacuum cleaner = 3.2 kg)</t>
  </si>
  <si>
    <t>WRAP 2012</t>
  </si>
  <si>
    <t>6.92% Cu (0.55 kg for 8kg hoover)</t>
  </si>
  <si>
    <t>14.1% Al (1.1 kg for 8kg hoover)</t>
  </si>
  <si>
    <t>Ovens (electric, stove)</t>
  </si>
  <si>
    <t xml:space="preserve">268 218 </t>
  </si>
  <si>
    <t>72% steel (assumption based on commercial oven content) + assume 100kg oven</t>
  </si>
  <si>
    <t>0.2% Cu (assumption based on commercial oven content)</t>
  </si>
  <si>
    <t>0.5 kg Al per stove/ domestic cooking ranges</t>
  </si>
  <si>
    <t>2% (assumption based on commercial oven content)</t>
  </si>
  <si>
    <t>Microwave ovens</t>
  </si>
  <si>
    <t>304 774</t>
  </si>
  <si>
    <t>71.3% steel (16.4 kg steel per 23 kg microwave) Microwave more like 15kg!!!!</t>
  </si>
  <si>
    <t>3.9% (1kg copper for 23kg microwave) 0.58kg for 15kg microwave</t>
  </si>
  <si>
    <t>0.5 kg Al per microwave (1kg according to Truttman &amp; Rechberger 2006)</t>
  </si>
  <si>
    <t xml:space="preserve">363 392 </t>
  </si>
  <si>
    <t>71.3% of 15kg microwave: 10.7kg</t>
  </si>
  <si>
    <t xml:space="preserve">0.2 kg per unit </t>
  </si>
  <si>
    <t>Refrigerators- freezers</t>
  </si>
  <si>
    <t>Estimate</t>
  </si>
  <si>
    <t>51.5kg per fridge (61% ferrous metal - mostly steel- in 84.5 kg refrigerator)</t>
  </si>
  <si>
    <t>Kim et al. 2006</t>
  </si>
  <si>
    <t xml:space="preserve">2.5 kg copper per fridge (3% x 84.5kg) </t>
  </si>
  <si>
    <t>2.5 kg Al per fridge (3% Al for 84.5kg fridge)</t>
  </si>
  <si>
    <t>http://eco3e.eu/products/refrigerator/</t>
  </si>
  <si>
    <t>1 to 20 years (average of 13 years from CBS article http://www.cbsnews.com/news/kitchen-appliances-how-long-do-they-last/)</t>
  </si>
  <si>
    <t>454 241</t>
  </si>
  <si>
    <t>43% steel and 4% iron (avg weight of fridge 50 kg)</t>
  </si>
  <si>
    <t>4% copper (2 kg if 50 kg fridge)</t>
  </si>
  <si>
    <t>2.1 kg Al per refrigerator/ freezer</t>
  </si>
  <si>
    <t xml:space="preserve">432 610 </t>
  </si>
  <si>
    <t xml:space="preserve">49% iron in weight </t>
  </si>
  <si>
    <t xml:space="preserve">0.8 kg copper per unit </t>
  </si>
  <si>
    <t>2% Al of total mass (1kg if 50 kg fridge)</t>
  </si>
  <si>
    <t xml:space="preserve">3% in weight </t>
  </si>
  <si>
    <t xml:space="preserve">1% in weight </t>
  </si>
  <si>
    <t xml:space="preserve">13 years </t>
  </si>
  <si>
    <t>Cutlery</t>
  </si>
  <si>
    <t>Clothes iron</t>
  </si>
  <si>
    <t>285 133</t>
  </si>
  <si>
    <t>Pots and pans</t>
  </si>
  <si>
    <t>Coffee maker</t>
  </si>
  <si>
    <t>Commercial appliances</t>
  </si>
  <si>
    <t>Refrigerators/freezers</t>
  </si>
  <si>
    <t>Eckelman et al., 2007; Ams database-# bars, cafes, hotels, restaurents</t>
  </si>
  <si>
    <t>10 kg</t>
  </si>
  <si>
    <t>Recalde et al., 2008</t>
  </si>
  <si>
    <t>Nevada Dpt. of Taxation, 2010</t>
  </si>
  <si>
    <t>Mini fridges (hotels)</t>
  </si>
  <si>
    <t>Washing machines (heavy duty)</t>
  </si>
  <si>
    <t>Ams database: #hotelbeds</t>
  </si>
  <si>
    <t>Dryers (heavy duty)</t>
  </si>
  <si>
    <t>Dishwashers (heavy duty)</t>
  </si>
  <si>
    <t>Ams database-# bars, cafes, hotels, restaurents</t>
  </si>
  <si>
    <t>50% steel</t>
  </si>
  <si>
    <t>Stove/oven</t>
  </si>
  <si>
    <t>Horecaworld 2016; Oko-institut 2011</t>
  </si>
  <si>
    <t>Horecaworld 2016; Rauch et al. 2007</t>
  </si>
  <si>
    <t>Microwaves</t>
  </si>
  <si>
    <t>Eckelman et al., 2007 - Ams database-# bars, cafes, hotels, restaurents + #employees and students</t>
  </si>
  <si>
    <t>Eckelman et al., 2007</t>
  </si>
  <si>
    <t>Rauch et al., 2007</t>
  </si>
  <si>
    <t>0.5 kg</t>
  </si>
  <si>
    <t>Computers</t>
  </si>
  <si>
    <t>Ams database - education &amp; employees; http://www.trouw.nl/tr/nl/4556/Onderwijs/article/detail/4142779/2015/09/15/Slechtere-onderwijsresultaten-door-verkeerd-gebruik-computers.dhtml; http://www.dutchcowboys.nl/opleidingen/23166</t>
  </si>
  <si>
    <t xml:space="preserve">EPA 2015 </t>
  </si>
  <si>
    <t>Televisions</t>
  </si>
  <si>
    <t>Ams database - Eckelman et al., 2007</t>
  </si>
  <si>
    <t>Telephones</t>
  </si>
  <si>
    <t>Ams database</t>
  </si>
  <si>
    <t>Stereo/Radio</t>
  </si>
  <si>
    <t>Copiers/Printers</t>
  </si>
  <si>
    <t>Ams database - field research for proxy</t>
  </si>
  <si>
    <t>5 kg</t>
  </si>
  <si>
    <t>Beds</t>
  </si>
  <si>
    <t>Ams database - hotelbeds; for hospital beds: http://www.sintlucasandreasziekenhuis.nl/sites/default/files/ziekenhuizen_vergeleken_in_cijfers_editie_2014.pdf</t>
  </si>
  <si>
    <t>8 kg</t>
  </si>
  <si>
    <t>Woon Express 2016</t>
  </si>
  <si>
    <t>Filing cabinet</t>
  </si>
  <si>
    <t>Ams database - # employees; Eckelman et al., 2008</t>
  </si>
  <si>
    <t>90 kg</t>
  </si>
  <si>
    <t>Corcraft no year</t>
  </si>
  <si>
    <t>Shelving</t>
  </si>
  <si>
    <t>2015/2007</t>
  </si>
  <si>
    <t>Ams database- # shops; avg floor area/shop: http://www.ois.amsterdam.nl/pdf/2007_winkelaanbod_in_amsterdam.pdf
</t>
  </si>
  <si>
    <t>61.3 kg</t>
  </si>
  <si>
    <t>Ikea #1 2016</t>
  </si>
  <si>
    <t>Office desks</t>
  </si>
  <si>
    <t>Ams database- #employees, #students</t>
  </si>
  <si>
    <t>21.7 kg</t>
  </si>
  <si>
    <t>Ikea #2 2016</t>
  </si>
  <si>
    <t>Office chairs</t>
  </si>
  <si>
    <t>Ikea #3 2016</t>
  </si>
  <si>
    <t>Restaurant equipment by # of restaurants</t>
  </si>
  <si>
    <t>Ams database- # restaurants
</t>
  </si>
  <si>
    <t>2000 kg</t>
  </si>
  <si>
    <t>Eckelman et al. 2007; Nickel institute 2005</t>
  </si>
  <si>
    <t>Automotive tools by # repair shops</t>
  </si>
  <si>
    <t>Ams database- # repair shops</t>
  </si>
  <si>
    <t>Laboratory/hospital equipment by % share hospital beds</t>
  </si>
  <si>
    <t>n.a.</t>
  </si>
  <si>
    <t>Ams database- #hospital beds</t>
  </si>
  <si>
    <t>5.1 kg/capita</t>
  </si>
  <si>
    <t>0.1 kg/capita</t>
  </si>
  <si>
    <t>Industrial equipments</t>
  </si>
  <si>
    <t>Tractors</t>
  </si>
  <si>
    <t>29 kg</t>
  </si>
  <si>
    <t>Agricultural machinery</t>
  </si>
  <si>
    <t>Vehicles</t>
  </si>
  <si>
    <t>Large cranes</t>
  </si>
  <si>
    <t>10500 kg</t>
  </si>
  <si>
    <t>Small cranes</t>
  </si>
  <si>
    <t>Google Maps</t>
  </si>
  <si>
    <t>3500 kg</t>
  </si>
  <si>
    <t>Toolsets of employees in construction</t>
  </si>
  <si>
    <t>Forklifts</t>
  </si>
  <si>
    <t>Drible 2016; European Commission - Eurostat 2016</t>
  </si>
  <si>
    <t>63 kg</t>
  </si>
  <si>
    <t>30 kg</t>
  </si>
  <si>
    <t>Shelving (#racks)</t>
  </si>
  <si>
    <t>Supply Chain Magazine 2007</t>
  </si>
  <si>
    <t>Tanks</t>
  </si>
  <si>
    <t>537059 kg</t>
  </si>
  <si>
    <t xml:space="preserve">Small machinery </t>
  </si>
  <si>
    <t>19887575m2</t>
  </si>
  <si>
    <t>see surface area</t>
  </si>
  <si>
    <t>67.6 kg/capita</t>
  </si>
  <si>
    <t>4.6 kg/capita</t>
  </si>
  <si>
    <t>1.7 kg/capita</t>
  </si>
  <si>
    <t>15-20</t>
  </si>
  <si>
    <t xml:space="preserve">Large machinery </t>
  </si>
  <si>
    <t xml:space="preserve"> 60.2 kg/capita</t>
  </si>
  <si>
    <t>3.5 kg/capita</t>
  </si>
  <si>
    <t>1.3 kg/capita</t>
  </si>
  <si>
    <t>Windmills</t>
  </si>
  <si>
    <t>234961 kg</t>
  </si>
  <si>
    <t>Haapala and Prempreeda, 2014</t>
  </si>
  <si>
    <t>2123 kg</t>
  </si>
  <si>
    <t>490 kg</t>
  </si>
  <si>
    <t>Windmeasurementinternational no year</t>
  </si>
  <si>
    <t>Datacenters in 1m unit</t>
  </si>
  <si>
    <t>Datacentrumgids 2016</t>
  </si>
  <si>
    <t>87.3 kg</t>
  </si>
  <si>
    <t>Meza et al., 2010</t>
  </si>
  <si>
    <t>44.5 kg</t>
  </si>
  <si>
    <t>51.7 kg</t>
  </si>
  <si>
    <t>Weight of product (if applicable)</t>
  </si>
  <si>
    <t>Fe content in product</t>
  </si>
  <si>
    <t>Al content in product</t>
  </si>
  <si>
    <t>Cu content in product</t>
  </si>
  <si>
    <t>Total nb Objects Amsterdam</t>
  </si>
  <si>
    <t>Noord:TotalObjects</t>
  </si>
  <si>
    <t>Noord:Fe</t>
  </si>
  <si>
    <t>Noord:Al</t>
  </si>
  <si>
    <t>Noord:Cu</t>
  </si>
  <si>
    <t>Centrum:TotalObjects</t>
  </si>
  <si>
    <t>Centrum:Fe</t>
  </si>
  <si>
    <t>Centrum:Al</t>
  </si>
  <si>
    <t>Centrum:Cu</t>
  </si>
  <si>
    <t>WestPoort:TotalObjects</t>
  </si>
  <si>
    <t>WestPoort:Fe</t>
  </si>
  <si>
    <t>WestPoort:Al</t>
  </si>
  <si>
    <t>WestPoort:Cu</t>
  </si>
  <si>
    <t>West:TotalObjects</t>
  </si>
  <si>
    <t>West:Fe</t>
  </si>
  <si>
    <t>West:Al</t>
  </si>
  <si>
    <t>West:Cu</t>
  </si>
  <si>
    <t>NieuwWest:TotalObjects</t>
  </si>
  <si>
    <t>NieuwWest:Fe</t>
  </si>
  <si>
    <t>NieuwWest:Al</t>
  </si>
  <si>
    <t>NieuwWest:Cu</t>
  </si>
  <si>
    <t>Zuid:TotalObjects</t>
  </si>
  <si>
    <t>Zuid:Fe</t>
  </si>
  <si>
    <t>Zuid:Al</t>
  </si>
  <si>
    <t>Zuid:Cu</t>
  </si>
  <si>
    <t>Oost:TotalObjects</t>
  </si>
  <si>
    <t>Oost:Fe</t>
  </si>
  <si>
    <t>Oost:Al</t>
  </si>
  <si>
    <t>Oost:Cu</t>
  </si>
  <si>
    <t>ZuidOost:TotalObjects</t>
  </si>
  <si>
    <t>ZuidOost:Fe</t>
  </si>
  <si>
    <t>ZuidOost:Al</t>
  </si>
  <si>
    <t>ZuidOost:Cu</t>
  </si>
  <si>
    <t>Fe total</t>
  </si>
  <si>
    <t>Al total</t>
  </si>
  <si>
    <t>Cu total</t>
  </si>
  <si>
    <t>Bycicle parkingspots</t>
  </si>
  <si>
    <t>Drinking water pipes</t>
  </si>
  <si>
    <t>Waste water pipes/sewage</t>
  </si>
  <si>
    <t xml:space="preserve">Streetlights </t>
  </si>
  <si>
    <t>roads</t>
  </si>
  <si>
    <t>Street signs big (highway)</t>
  </si>
  <si>
    <t>Overhead trusses (highway)</t>
  </si>
  <si>
    <t>Public transport stops-stations; sign</t>
  </si>
  <si>
    <t>Districtal TOTAL</t>
  </si>
  <si>
    <t>Ticket machines GVB</t>
  </si>
  <si>
    <t>Canal waste</t>
  </si>
  <si>
    <t>Coins/money</t>
  </si>
  <si>
    <t xml:space="preserve">     €2</t>
  </si>
  <si>
    <t xml:space="preserve">     €1</t>
  </si>
  <si>
    <t xml:space="preserve">     €0.50</t>
  </si>
  <si>
    <t xml:space="preserve">     €0.20</t>
  </si>
  <si>
    <t xml:space="preserve">     €0.10</t>
  </si>
  <si>
    <t xml:space="preserve">     €0.05</t>
  </si>
  <si>
    <t xml:space="preserve">     €0.02</t>
  </si>
  <si>
    <t xml:space="preserve">     €0.01</t>
  </si>
  <si>
    <t>Dentists</t>
  </si>
  <si>
    <t>Public sportfacilities (fields)</t>
  </si>
  <si>
    <t>Sportfacilities</t>
  </si>
  <si>
    <t>Children playground itemts</t>
  </si>
  <si>
    <t>Amsterdammertjes, 25 kg per stuk https://www.amsterdam.nl/gemeente/organisatie/ruimte-economie/materiaalbureau/team-infra/#h38dfdb95-8ccc-490a-bd15-34472f6c4b80</t>
  </si>
  <si>
    <t>Average car in general (may be needed if no info is found)</t>
  </si>
  <si>
    <t>Fe</t>
  </si>
  <si>
    <t>Al</t>
  </si>
  <si>
    <t>Cu</t>
  </si>
  <si>
    <t xml:space="preserve">Scooters </t>
  </si>
  <si>
    <t>E-scooters-Microcars/mopad</t>
  </si>
  <si>
    <t xml:space="preserve">Buses </t>
  </si>
  <si>
    <t>50 cc scooters</t>
  </si>
  <si>
    <t xml:space="preserve">Metro's  </t>
  </si>
  <si>
    <t>&gt; 50 cc scooters</t>
  </si>
  <si>
    <t>Total Scooters</t>
  </si>
  <si>
    <t>Trains</t>
  </si>
  <si>
    <t>Helicopters (police)</t>
  </si>
  <si>
    <t>Helicopters general</t>
  </si>
  <si>
    <t>Trauma helicopter</t>
  </si>
  <si>
    <t>Ferries (Veren + ponten) 220 tons from Rauch</t>
  </si>
  <si>
    <t xml:space="preserve">Houseboats </t>
  </si>
  <si>
    <t>waterbikes</t>
  </si>
  <si>
    <t>passengertransport (tourism also) (assumed max 20M, weight 8000kg (double of leasure boats)</t>
  </si>
  <si>
    <t>beroepsvaart aangiften'</t>
  </si>
  <si>
    <t>leasure boats (up to 25 M, assumed 8 M, weight 4000kg</t>
  </si>
  <si>
    <t>lost bikes</t>
  </si>
  <si>
    <t>Districtal TOTAL with scooters</t>
  </si>
  <si>
    <t>Printers</t>
  </si>
  <si>
    <t xml:space="preserve">Laptop computers </t>
  </si>
  <si>
    <t xml:space="preserve">Televisions </t>
  </si>
  <si>
    <t>Dishwashers</t>
  </si>
  <si>
    <t>Dryers</t>
  </si>
  <si>
    <t>Washing machines</t>
  </si>
  <si>
    <t>Hoovers</t>
  </si>
  <si>
    <t xml:space="preserve">Ovens </t>
  </si>
  <si>
    <t>Refrigerator-freezers</t>
  </si>
  <si>
    <t>White goods</t>
  </si>
  <si>
    <t>EEE</t>
  </si>
  <si>
    <t>Other</t>
  </si>
  <si>
    <t>Restaurant equipment</t>
  </si>
  <si>
    <t>Automotive tools</t>
  </si>
  <si>
    <t>Dumpsters</t>
  </si>
  <si>
    <t>Laboratory/hospital equipment per % share hospital beds</t>
  </si>
  <si>
    <t>Construction</t>
  </si>
  <si>
    <t>Tools</t>
  </si>
  <si>
    <t>Logistics and warehousing</t>
  </si>
  <si>
    <t>Small machinery</t>
  </si>
  <si>
    <t>Large machinery</t>
  </si>
  <si>
    <t>Data - districts in tons</t>
  </si>
  <si>
    <t>Total nb Objects Amsterdam (tons)</t>
  </si>
  <si>
    <t>Noord:TotalObjects (tons)</t>
  </si>
  <si>
    <t>Noord:Fe (tons)</t>
  </si>
  <si>
    <t>Noord:Al (tons)</t>
  </si>
  <si>
    <t>Noord:Cu (tons)</t>
  </si>
  <si>
    <t>POPULATION</t>
  </si>
  <si>
    <t xml:space="preserve">Infrastructure </t>
  </si>
  <si>
    <t>0.018 t</t>
  </si>
  <si>
    <t>60 kg</t>
  </si>
  <si>
    <t>260 t</t>
  </si>
  <si>
    <t>500kg</t>
  </si>
  <si>
    <t>Public sportfacilities</t>
  </si>
  <si>
    <t>Soccerfields</t>
  </si>
  <si>
    <t>Children playground</t>
  </si>
  <si>
    <t>Monkeybars</t>
  </si>
  <si>
    <t>Slides</t>
  </si>
  <si>
    <t>Small machinery per % share of industrial offices</t>
  </si>
  <si>
    <t>Large machinery per % share of industrial offices</t>
  </si>
  <si>
    <t>Visuals</t>
  </si>
  <si>
    <t>Totals</t>
  </si>
  <si>
    <t>amounts on this sheet are in tons</t>
  </si>
  <si>
    <t>District</t>
  </si>
  <si>
    <t>Noord</t>
  </si>
  <si>
    <t>Centrum</t>
  </si>
  <si>
    <t>West-Poort</t>
  </si>
  <si>
    <t>West</t>
  </si>
  <si>
    <t>Nieuw-West</t>
  </si>
  <si>
    <t>Zuid</t>
  </si>
  <si>
    <t>Oost</t>
  </si>
  <si>
    <t>Zuid-Oost</t>
  </si>
  <si>
    <t>Category</t>
  </si>
  <si>
    <t>Infrastructure</t>
  </si>
  <si>
    <t>Public Goods</t>
  </si>
  <si>
    <t>Household appliances</t>
  </si>
  <si>
    <t>Commercial goods</t>
  </si>
  <si>
    <t>Industrial machinery &amp; facilities</t>
  </si>
  <si>
    <t>Districts</t>
  </si>
  <si>
    <t>Product</t>
  </si>
  <si>
    <t xml:space="preserve">Household appliances </t>
  </si>
  <si>
    <t>Commercial equipment</t>
  </si>
  <si>
    <t>Laboratory/hospital equipment</t>
  </si>
  <si>
    <t>Industial equipment</t>
  </si>
  <si>
    <t>in Amsterdam (tonnes)</t>
  </si>
  <si>
    <t>Monetary value</t>
  </si>
  <si>
    <t>Price per ton scrap</t>
  </si>
  <si>
    <t>Reference</t>
  </si>
  <si>
    <t xml:space="preserve">Date: May 1st 2016 </t>
  </si>
  <si>
    <t>Krommenhoek Metals 2016</t>
  </si>
  <si>
    <t>Monetary values in million euros</t>
  </si>
  <si>
    <t xml:space="preserve">Fe </t>
  </si>
  <si>
    <t xml:space="preserve">Cu </t>
  </si>
  <si>
    <t>All of Amsterdam</t>
  </si>
  <si>
    <t>Million euros</t>
  </si>
  <si>
    <t>TOTAL</t>
  </si>
  <si>
    <t>Timestamp</t>
  </si>
  <si>
    <t>Untitled Question</t>
  </si>
  <si>
    <t>Data in related articles</t>
  </si>
  <si>
    <t>Aluminium</t>
  </si>
  <si>
    <t>Object</t>
  </si>
  <si>
    <t>Metal content</t>
  </si>
  <si>
    <t>Year of true research</t>
  </si>
  <si>
    <t>Lifetime?</t>
  </si>
  <si>
    <t>notes</t>
  </si>
  <si>
    <t>China AL level per capita 2000</t>
  </si>
  <si>
    <t>23 kg/pcapita</t>
  </si>
  <si>
    <t>Jinlong Wang &amp; Thomas E. Graedel (2009)</t>
  </si>
  <si>
    <t>China AL level per capita 2005</t>
  </si>
  <si>
    <t>37 kg/capita</t>
  </si>
  <si>
    <t>In-stock AL level China 2000</t>
  </si>
  <si>
    <t>29 Tg</t>
  </si>
  <si>
    <t>In-stock AL level China 2005</t>
  </si>
  <si>
    <t>49 Tg</t>
  </si>
  <si>
    <t>China primary aluminum production, 2008</t>
  </si>
  <si>
    <t>13,2 million metric tons</t>
  </si>
  <si>
    <t>Total global primary aluminum production, 2008</t>
  </si>
  <si>
    <t>39,6 milion metric tons</t>
  </si>
  <si>
    <t>China aluminum metal consumption, 2008</t>
  </si>
  <si>
    <t>13 milion tons</t>
  </si>
  <si>
    <t xml:space="preserve">Motor vehicles </t>
  </si>
  <si>
    <t xml:space="preserve">Bicycles </t>
  </si>
  <si>
    <t xml:space="preserve">Air and aerospace </t>
  </si>
  <si>
    <t xml:space="preserve">Marine and freshwater transport </t>
  </si>
  <si>
    <t xml:space="preserve">Railroads and subways </t>
  </si>
  <si>
    <t>25 year</t>
  </si>
  <si>
    <t>Cargo containers</t>
  </si>
  <si>
    <t>15 year</t>
  </si>
  <si>
    <t xml:space="preserve">Residential buildings </t>
  </si>
  <si>
    <t>40 year</t>
  </si>
  <si>
    <t xml:space="preserve">Nonresidential buildings </t>
  </si>
  <si>
    <t xml:space="preserve">Road signs </t>
  </si>
  <si>
    <t xml:space="preserve">Street lights </t>
  </si>
  <si>
    <t xml:space="preserve">Electrical wires and cables </t>
  </si>
  <si>
    <t xml:space="preserve">Electrical transformation </t>
  </si>
  <si>
    <t>30 year</t>
  </si>
  <si>
    <t xml:space="preserve">Electrical generation </t>
  </si>
  <si>
    <t xml:space="preserve">White goods </t>
  </si>
  <si>
    <t>10 year</t>
  </si>
  <si>
    <t xml:space="preserve">Electrical and electronic devices </t>
  </si>
  <si>
    <t>Ofﬁ ce machines</t>
  </si>
  <si>
    <t xml:space="preserve">Other consumer durables </t>
  </si>
  <si>
    <t xml:space="preserve">Manufacturing machinery </t>
  </si>
  <si>
    <t>20 year</t>
  </si>
  <si>
    <t xml:space="preserve">Construction machinery </t>
  </si>
  <si>
    <t xml:space="preserve">Agricultural machinery </t>
  </si>
  <si>
    <t xml:space="preserve">Beverage cans </t>
  </si>
  <si>
    <t>0.25 year</t>
  </si>
  <si>
    <t xml:space="preserve">Other packaging </t>
  </si>
  <si>
    <t>1 year</t>
  </si>
  <si>
    <t>Passenger vehicles China, 2000</t>
  </si>
  <si>
    <t>500 Gg AL</t>
  </si>
  <si>
    <t>2000</t>
  </si>
  <si>
    <t>Passenger vehicles China, 2005</t>
  </si>
  <si>
    <t>1500 Gg AL</t>
  </si>
  <si>
    <t>2005</t>
  </si>
  <si>
    <t>Estimated end-of-life aluminum ﬂows, China, 2000</t>
  </si>
  <si>
    <t xml:space="preserve">          Transportation </t>
  </si>
  <si>
    <t xml:space="preserve">          Building </t>
  </si>
  <si>
    <t xml:space="preserve">          Electrical </t>
  </si>
  <si>
    <t xml:space="preserve">          Consumer durables </t>
  </si>
  <si>
    <t xml:space="preserve">          Machinery </t>
  </si>
  <si>
    <t xml:space="preserve">          Packaging </t>
  </si>
  <si>
    <t xml:space="preserve">    Total</t>
  </si>
  <si>
    <t>Estimated end-of-life aluminum ﬂows, China, 2005</t>
  </si>
  <si>
    <t>In-use aluminium stocks Europe 2004</t>
  </si>
  <si>
    <t>130 Tg</t>
  </si>
  <si>
    <t>Top down</t>
  </si>
  <si>
    <t>197,6 kg/capita</t>
  </si>
  <si>
    <t>Appendix B in for all AL data per product for Conneticut</t>
  </si>
  <si>
    <t>Recalde, Jinlong Wang, Graedel (2008)</t>
  </si>
  <si>
    <t>Iron</t>
  </si>
  <si>
    <t xml:space="preserve">Machinery and appliances non-electrical parts </t>
  </si>
  <si>
    <t>75% Fe</t>
  </si>
  <si>
    <t>Wang et al. (2007) from IISI, Belgium 1996 (international iron and steel institute)</t>
  </si>
  <si>
    <t>Lorries and trucks, incl ambulances etc.</t>
  </si>
  <si>
    <t>80% Fe</t>
  </si>
  <si>
    <t>Ships and boats</t>
  </si>
  <si>
    <t>90% Fe  OR 95%</t>
  </si>
  <si>
    <t>Wang et al. (2007) from IISI, Belgium 1996 (international iron and steel institute) OR Rauch et al (2007)</t>
  </si>
  <si>
    <t>according to rauch marine vessel is 95%, fishing boats 90% and other ships 95%</t>
  </si>
  <si>
    <t xml:space="preserve">Domestic electrical equipment </t>
  </si>
  <si>
    <t xml:space="preserve">65% Fe </t>
  </si>
  <si>
    <t>Rail and tram cars not mechanically propelled</t>
  </si>
  <si>
    <t>85% Fe OR 95%</t>
  </si>
  <si>
    <t>35 years (Eckelman 2007)</t>
  </si>
  <si>
    <t xml:space="preserve">Telecommunications apparatus </t>
  </si>
  <si>
    <t xml:space="preserve">25% Fe </t>
  </si>
  <si>
    <t xml:space="preserve">Municipal solid waste </t>
  </si>
  <si>
    <t>3% to 7% iron for developed countries</t>
  </si>
  <si>
    <t>Wang et al. (2007) - supporting info</t>
  </si>
  <si>
    <t>Passenger car</t>
  </si>
  <si>
    <t>975 kg Fe content OR 70% of weight</t>
  </si>
  <si>
    <t>Wang et al. (2007) - supporting info OR Rauch et al (2007)</t>
  </si>
  <si>
    <t xml:space="preserve">Commercial vehicle </t>
  </si>
  <si>
    <t xml:space="preserve">1920 kg Fe content </t>
  </si>
  <si>
    <t>WEEE</t>
  </si>
  <si>
    <t>410 kg Fe / kg WEEE for all countries OR 6%</t>
  </si>
  <si>
    <t xml:space="preserve">Netherlands level iron cycle, ca. 2000 </t>
  </si>
  <si>
    <t>See diagram below from STAF project</t>
  </si>
  <si>
    <t xml:space="preserve">Cuttings/ defective products (industrial or scrap) from manufacturing </t>
  </si>
  <si>
    <t>10-15% of finished iron castings and steel mill products</t>
  </si>
  <si>
    <t>Wang et al. (2007)</t>
  </si>
  <si>
    <t>Medium or heavy truck</t>
  </si>
  <si>
    <t>78% of weight</t>
  </si>
  <si>
    <t>Rauch et al (2007)</t>
  </si>
  <si>
    <t>2002 and 2004</t>
  </si>
  <si>
    <t>iron per connecticut capita also available</t>
  </si>
  <si>
    <t>Bus</t>
  </si>
  <si>
    <t>assumed same as medium/heavy truck</t>
  </si>
  <si>
    <t>Bicycles</t>
  </si>
  <si>
    <t>80% for steel framed bikes (being 75% of total bikes)</t>
  </si>
  <si>
    <t>assumed 75% of bicycles is steel framed and 80% of weight of these bycicles is steel</t>
  </si>
  <si>
    <t>Domestic refrigerators/freezers</t>
  </si>
  <si>
    <t>47,7 kg Iron/capita</t>
  </si>
  <si>
    <t>1996 for ownership data</t>
  </si>
  <si>
    <t>american data</t>
  </si>
  <si>
    <t>domestic washing machines</t>
  </si>
  <si>
    <t>17,2 kg iron/capita</t>
  </si>
  <si>
    <t>domestic clothes dryers</t>
  </si>
  <si>
    <t>12,7 kg iron/capita</t>
  </si>
  <si>
    <t>domestic dishwasher</t>
  </si>
  <si>
    <t>4,8 kg iron/capita</t>
  </si>
  <si>
    <t>domestic stoves/domestic cooking ranges</t>
  </si>
  <si>
    <t>20,1 kg iron/capita</t>
  </si>
  <si>
    <t>domestic microwave ovens</t>
  </si>
  <si>
    <t>4,2 kg iron/capita</t>
  </si>
  <si>
    <t>domestic portable air conditioners</t>
  </si>
  <si>
    <t>5,6 kg iron/capita</t>
  </si>
  <si>
    <t>domestic computers</t>
  </si>
  <si>
    <t>19% Fe or 1.9 kg iron/capita</t>
  </si>
  <si>
    <t>domestic tv's</t>
  </si>
  <si>
    <t>10% Fe or 2.6 kg iron/capita</t>
  </si>
  <si>
    <t>domestic mobile phones</t>
  </si>
  <si>
    <t>6% Fe or 0.1 kg iron/capita (together with mainline)</t>
  </si>
  <si>
    <t>domestic mainline phones</t>
  </si>
  <si>
    <t>7% Fe</t>
  </si>
  <si>
    <t>domestic stereos/radios</t>
  </si>
  <si>
    <t>0.8 kg iron/capita</t>
  </si>
  <si>
    <t>domestic fax machines</t>
  </si>
  <si>
    <t>0.1 kg iron/capita</t>
  </si>
  <si>
    <t>domestic copiers</t>
  </si>
  <si>
    <t>0.3 kg iron/capita</t>
  </si>
  <si>
    <t>domestic sewing machines</t>
  </si>
  <si>
    <t>15% Fe, 33% of households owns one, 0.1 kg iron/capita</t>
  </si>
  <si>
    <t>domestic irons</t>
  </si>
  <si>
    <t>50% Fe, 49,5% of households owns one, 0.1 kg iron/capita</t>
  </si>
  <si>
    <t>domestic tableware</t>
  </si>
  <si>
    <t>70% stainless steel, which has 74% iron content, or 0.7 kg iron/capita</t>
  </si>
  <si>
    <t>70% in US tableware market stainless steel (2001), stainless assumed to have 74% iron content. Also total amount of tableware is assumed with eight eating utensils per person, five serving utensils per household, seven cooking utensils (including knives) per household</t>
  </si>
  <si>
    <t>domestic steel/tin cans</t>
  </si>
  <si>
    <t>99,7% steel, or 0.8 kg iron/capita</t>
  </si>
  <si>
    <t>domestic pots and pans</t>
  </si>
  <si>
    <t>43% stainless steel, which has 74% iron content, 3% cast iron, or 1.6 kg iron/capita</t>
  </si>
  <si>
    <t>assumed eight pots/pans per household, being 43% stainless steel and 3% cast iron</t>
  </si>
  <si>
    <t>domestic charcoal/gas grills</t>
  </si>
  <si>
    <t>85% Fe or 1.7 kg iron/capita</t>
  </si>
  <si>
    <t>assumed 22.7 of american households owns one</t>
  </si>
  <si>
    <t>domestic beds -&gt; watch out, assumed 1 queen size bed/capita</t>
  </si>
  <si>
    <t>60% of weight is steel coils, or 11.4 kg iron/capita</t>
  </si>
  <si>
    <t xml:space="preserve">assumed each person owns one queen sized bed. </t>
  </si>
  <si>
    <t>domestic filing cabinets</t>
  </si>
  <si>
    <t>95% Fe, or 7.7 kg iron/capita</t>
  </si>
  <si>
    <t>assumed each household unit has 1 cabinet</t>
  </si>
  <si>
    <t>domestic tools</t>
  </si>
  <si>
    <t>85% Fe, or 4.7 kg iron/capita</t>
  </si>
  <si>
    <t>assumed eight percent of households has a toolbox average weight of 40 pounds</t>
  </si>
  <si>
    <t>domestic lawn mowers</t>
  </si>
  <si>
    <t>80% iron, 30 kg per mower, or 3 kg iron/capita</t>
  </si>
  <si>
    <t>domestic snowblowers -&gt; neglected in nl?</t>
  </si>
  <si>
    <t>80% iron, 30 kg per unit, or 1 kg iron/capita</t>
  </si>
  <si>
    <t>15% of households owns one</t>
  </si>
  <si>
    <t>domestic guns-&gt; neglected in nl?</t>
  </si>
  <si>
    <t>83% Fe</t>
  </si>
  <si>
    <t>16.7% of adults owns one</t>
  </si>
  <si>
    <t>commercial refrigerators/freezers</t>
  </si>
  <si>
    <t>1.6 kg iron/capita</t>
  </si>
  <si>
    <t xml:space="preserve">assumed each school has three, 25% of students has one in dormitory, average number per hotel from a survey, in business 1 per 50 employees, each food and beverage stores has one freezer and five refrigerators, each eating/drinking establishemt has two refrigerators. </t>
  </si>
  <si>
    <t>commercial washing machines</t>
  </si>
  <si>
    <t>0.2 kg iron/capita</t>
  </si>
  <si>
    <t>calculated similar as refrigerators, each laundromat facility assumed to own 15 washers and dryers.</t>
  </si>
  <si>
    <t>commercial dryers</t>
  </si>
  <si>
    <t>commercial dishwashers</t>
  </si>
  <si>
    <t>each establishment assumed to own one</t>
  </si>
  <si>
    <t>commercial stoves/ovens/steamers</t>
  </si>
  <si>
    <t>each establishment assumed to own two, one on 50 employees in business</t>
  </si>
  <si>
    <t>commercial microwave ovens</t>
  </si>
  <si>
    <t>15% of students assumed to own one, each eating and drinking establishments owns one</t>
  </si>
  <si>
    <t>commercial portable air conditioners</t>
  </si>
  <si>
    <t>17.4 kg iron/capita</t>
  </si>
  <si>
    <t>Each grocery, convenience store, beer, wine and liquor store assumed to own one of completely stainless steel</t>
  </si>
  <si>
    <t>commercial fryers</t>
  </si>
  <si>
    <t xml:space="preserve">20% of establishments assumed to own one, containing stainless steel </t>
  </si>
  <si>
    <t>commercial ice machines</t>
  </si>
  <si>
    <t>commercial computers</t>
  </si>
  <si>
    <t>19% Fe or 1.6 kg iron/capita</t>
  </si>
  <si>
    <t>commercial televisions</t>
  </si>
  <si>
    <t>10% Fe or 0.1 kg iron/capita</t>
  </si>
  <si>
    <t>1 television per 50 employees, 25% of students in dormitories owns one, a tv for each bed in hospitals, drinking establishments have 1.5 tv on average</t>
  </si>
  <si>
    <t>commercial telephones</t>
  </si>
  <si>
    <t>7% Fe of 2 kg per phone or 0.1 kg iron/capita</t>
  </si>
  <si>
    <t>in educational institutions and hotels and offices, average weight 2 kg</t>
  </si>
  <si>
    <t>commercial stereos/radios</t>
  </si>
  <si>
    <t>10% Fe or 0.0 kg iron/capita</t>
  </si>
  <si>
    <t>one stereo for every 100 employees in offices, 50% of students owns one</t>
  </si>
  <si>
    <t>assumed same amount as hotel rooms</t>
  </si>
  <si>
    <t>commercial copiers</t>
  </si>
  <si>
    <t>110,3 kg iron per copier or 2.3 kg iron/capita</t>
  </si>
  <si>
    <t>commercial beds</t>
  </si>
  <si>
    <t>0.4 kg iron/capita</t>
  </si>
  <si>
    <t>assumed each hotel room contains one twin bed with a metal frame</t>
  </si>
  <si>
    <t>commercial filing cabinets</t>
  </si>
  <si>
    <t>4.5 kg iron per capita</t>
  </si>
  <si>
    <t>commercail shelving</t>
  </si>
  <si>
    <t>149.9 kg iron per capita</t>
  </si>
  <si>
    <t>assumed non-apparel stores have 70% shelving and aisles at 12 feet. For apparel stores one clothes rack per 20 square meter was assumed, also 70% of floor space being for the showroom.</t>
  </si>
  <si>
    <t>commercial desks and tables</t>
  </si>
  <si>
    <t>2.2 kg iron per capita</t>
  </si>
  <si>
    <t>usualy legs made of steel, assumed to be 20 pounds per unit.</t>
  </si>
  <si>
    <t>commercial office chairs</t>
  </si>
  <si>
    <t>1.7 kg iron per capita</t>
  </si>
  <si>
    <t>commercial restaurant cooking equipment</t>
  </si>
  <si>
    <t>assumed each shop has 1000 pounds of 85% Fe, or 2.1 kg iron per capita</t>
  </si>
  <si>
    <t>commercial tableware</t>
  </si>
  <si>
    <t>0 kg iron per capita</t>
  </si>
  <si>
    <t>commercial automotive tools</t>
  </si>
  <si>
    <t>0.2 kg iron per capita</t>
  </si>
  <si>
    <t>inspired on stainless steel into a new McDonalds in china</t>
  </si>
  <si>
    <t>commercial shopping carts</t>
  </si>
  <si>
    <t>80% weights 20 kg and is 70% Fe, or 4.3 kg iron per capita</t>
  </si>
  <si>
    <t xml:space="preserve">assumed half of stores use shopping carts and that those stores have a stock of 200. </t>
  </si>
  <si>
    <t>commercial (beer)kegs</t>
  </si>
  <si>
    <t>100% Stainles steel, 0 kg iron per capita</t>
  </si>
  <si>
    <t>1 week</t>
  </si>
  <si>
    <t>commercial laboratory equipment</t>
  </si>
  <si>
    <t>5.1 kg iron per capita</t>
  </si>
  <si>
    <t>commercial dumpsters</t>
  </si>
  <si>
    <t>weights 700 lbs, 100% steel</t>
  </si>
  <si>
    <t>assumed two dumpsters per commercial building and six per industrial building</t>
  </si>
  <si>
    <t>agriculture and forestry -&gt; to be neglected in amsterdam?</t>
  </si>
  <si>
    <t>85% iron, or 7.5 kg iron per capita</t>
  </si>
  <si>
    <t>being machines, tractors etc</t>
  </si>
  <si>
    <t>70% iron or 5 kg iron per capita</t>
  </si>
  <si>
    <t>one forklift per 50 employees in manufacturing sector</t>
  </si>
  <si>
    <t>warehouse shelving</t>
  </si>
  <si>
    <t>11.9 kg iron per capita</t>
  </si>
  <si>
    <t>90% of floorspace dedicated to storage, units are 24 feet high, 4 feet deep and have 20 foot aisle spacing</t>
  </si>
  <si>
    <t>Small manufacturing equipment</t>
  </si>
  <si>
    <t>81.2% iron, or 67,6 kg iron per capita</t>
  </si>
  <si>
    <t>Large manufacturing equipment</t>
  </si>
  <si>
    <t>81.2% iron, or 54,6 kg iron per capita</t>
  </si>
  <si>
    <t>Process boilers</t>
  </si>
  <si>
    <t>5,6 kg iron per apita</t>
  </si>
  <si>
    <t>40,000 now in use</t>
  </si>
  <si>
    <t>Manufacturing shelving</t>
  </si>
  <si>
    <t>16,8 kg iron per capita</t>
  </si>
  <si>
    <t>assumed 3% to be dedicated to shselving</t>
  </si>
  <si>
    <t>Manufacturing steel drums</t>
  </si>
  <si>
    <t>98% Fe, one drum being 45 pounds, or 0.6 kg iron per capita</t>
  </si>
  <si>
    <t>Construction vehicles</t>
  </si>
  <si>
    <t>90% Fe, or 16.5 kg iron per capita</t>
  </si>
  <si>
    <t>construction cranes</t>
  </si>
  <si>
    <t>85% Fe, large cranes 300 tons, medium 100 tons or 1.5 kg iron per capita</t>
  </si>
  <si>
    <t>assumed six large cranes in use, one for each major city state.</t>
  </si>
  <si>
    <t>construction tools</t>
  </si>
  <si>
    <t>each worker a tool of 50 pounds, 90% iron or 0.3 kg iron per capita</t>
  </si>
  <si>
    <t>supply and distribution mains (water infrastructure)</t>
  </si>
  <si>
    <t>373.9 kg iron per capita</t>
  </si>
  <si>
    <t>calculated using length of different sizes and types of pipe, standard pipe thicknesses</t>
  </si>
  <si>
    <t>hydrants (water infrastructure)</t>
  </si>
  <si>
    <t>100% iron, 400 pounds per hydrant, 2.9 kg iron per capita</t>
  </si>
  <si>
    <t>service connections (water infrastructure)</t>
  </si>
  <si>
    <t>18.8 kg iron per capita</t>
  </si>
  <si>
    <t>pumps (water infrastructure)</t>
  </si>
  <si>
    <t>100% stainless steel, 2 tons per pump, 0.3 kg iron per capita</t>
  </si>
  <si>
    <t>private wells (water infrastructure) -&gt; perhaps neglectable in amsterdam</t>
  </si>
  <si>
    <t>iron is steel well casing, having a diameter of 6 inches, 91.3 kg iron per capita</t>
  </si>
  <si>
    <t>Mains  (natural gas distribution)</t>
  </si>
  <si>
    <t>most pipes cast iron or steel, 83 kg iron per capita</t>
  </si>
  <si>
    <t>service connections (natural gas distribution)</t>
  </si>
  <si>
    <t>steel pipe with diameter 0.75-1.5 inches, 2.5 kg iron per capita</t>
  </si>
  <si>
    <t>meters  (natural gas distribution) -&gt; buildings?</t>
  </si>
  <si>
    <t>13 pounds per meter, 0.9 kg iron per capita</t>
  </si>
  <si>
    <t>assumed 26,4% households use gas for cooking, 39,7% households use gas for water heating</t>
  </si>
  <si>
    <t>tanks (oil distribution and storage)</t>
  </si>
  <si>
    <t>29,5 kg iron per capita</t>
  </si>
  <si>
    <t>Drakonakis et al 2007 detailed iron in tanks, average tank assumed to be 50 feet high and have a thickness of 2.5 inches. Also pumping and processing mass is assumed equal to 40% of the tank mass</t>
  </si>
  <si>
    <t>pipelines (oil distribution and storage)</t>
  </si>
  <si>
    <t>3.7 kg iron per capita</t>
  </si>
  <si>
    <t>standard pipe thickness of 0.37 inches assumed</t>
  </si>
  <si>
    <t>Mains (storm sewers)</t>
  </si>
  <si>
    <t>50% of roads have storm sewers, 90,8 kg iron per capita</t>
  </si>
  <si>
    <t>story on history, needs to be checked for Amsterdam (p28)</t>
  </si>
  <si>
    <t>manhole covers (storm sewers)</t>
  </si>
  <si>
    <t>17,6 manhole covers or storm grates per mile on highways, 100 pounds weight, 2.3 kg iron per capita</t>
  </si>
  <si>
    <t>grates (storm sewers)</t>
  </si>
  <si>
    <t>local roads have 22 storm grates per mile, 50 pounds weight, 0.9 kg iron per capita</t>
  </si>
  <si>
    <t>signs</t>
  </si>
  <si>
    <t xml:space="preserve">signs are usually aluminium, supporting posts steel, 35 pounds per small sign and 23 signs per mile of local road. Highway signs are 50 pounds. overhead truss is 6740 pounds. average is 34 highway signpost per mile, 5 overhead trusses per mile. </t>
  </si>
  <si>
    <t>traffic lights</t>
  </si>
  <si>
    <t xml:space="preserve">standard height is 24 feet, lights on a cable. Different in NL, needs to be calculated ourselves. </t>
  </si>
  <si>
    <t>street lgihts</t>
  </si>
  <si>
    <t xml:space="preserve">30% assumed to have a steel streetlight attached to pole. </t>
  </si>
  <si>
    <t>chain link fence</t>
  </si>
  <si>
    <t>total length assumed to be 7% of total road distance</t>
  </si>
  <si>
    <t>interstate miles assumed to be lined with four lengths of guardrail</t>
  </si>
  <si>
    <t>billboards</t>
  </si>
  <si>
    <t>frame weighs 22,000 pounds, typical steel support pole is 42 inches in diameter and average of 50 feet high witn thickness of 5/8 inch</t>
  </si>
  <si>
    <t>track of railroad</t>
  </si>
  <si>
    <t>26 kg material per linear foot of rail</t>
  </si>
  <si>
    <t>overhead contact system of railroad</t>
  </si>
  <si>
    <t>70 overhead poles per mile, average height of 50 feet, span of 30 feet and 48 kg per linear foot</t>
  </si>
  <si>
    <t>reinfoced concrete roads</t>
  </si>
  <si>
    <t>0.5% steel in reinforced concrete for highways which is used for 5% of highways. Thickness of slab is 23o mm and minimum lane width 12 feet</t>
  </si>
  <si>
    <t>minor bridges: on minor collector and local roads</t>
  </si>
  <si>
    <t>20 pounds of steel per square foot of deck area</t>
  </si>
  <si>
    <t>major bridges: on all other roads</t>
  </si>
  <si>
    <t>50 pounds of steel per square foot of deck area</t>
  </si>
  <si>
    <t>Cable (electricity transmission and distribution)</t>
  </si>
  <si>
    <t>2.3 kg iron per capita</t>
  </si>
  <si>
    <t>Towers (electricity transmission and distribution)</t>
  </si>
  <si>
    <t>40 poles per mile of overhead transmission line, each pole 5000 kg</t>
  </si>
  <si>
    <t>Transformers (electricity transmission and distribution)</t>
  </si>
  <si>
    <t xml:space="preserve">520 transmission transformers and 325000 distribution transformers, 37,5 kg iron per capita </t>
  </si>
  <si>
    <t>Cable (telecommunication)</t>
  </si>
  <si>
    <t>average length of dropline 100 feet per house, resulting 0.0 kg iron per capita</t>
  </si>
  <si>
    <t>manholes (telecommunication)</t>
  </si>
  <si>
    <t>100 pounds per cover, only when cable is buried (24% in connecticut) 10 manholes per mile, resulting 0.9 kg iron per capita</t>
  </si>
  <si>
    <t>towers (telecommunication)</t>
  </si>
  <si>
    <t>database of all antennas in the state, leading to 37.3 kg iron per capita</t>
  </si>
  <si>
    <t>Copper</t>
  </si>
  <si>
    <t>Motorcycles</t>
  </si>
  <si>
    <t>3kg ...on average per motorcycle</t>
  </si>
  <si>
    <t>1996/1997</t>
  </si>
  <si>
    <t>1.33% of the motorcycle, 0.0 kg/capita</t>
  </si>
  <si>
    <t>Eckelman, M., Rausch, J., &amp; Gordon, R. (2007)</t>
  </si>
  <si>
    <t>Cars</t>
  </si>
  <si>
    <t xml:space="preserve">14kg ...on average per car </t>
  </si>
  <si>
    <t xml:space="preserve">1996/1997 </t>
  </si>
  <si>
    <t>20kg-21kg US cars, 12.5 kg/capita</t>
  </si>
  <si>
    <t>auto vehicles come available with 1.2 kg/capita/year</t>
  </si>
  <si>
    <t>Zhang et al. (2011) table 7</t>
  </si>
  <si>
    <t>14 kg/personal vehicles</t>
  </si>
  <si>
    <t>Van Beers, D., &amp; Graedel, T. E. (2006) table 5</t>
  </si>
  <si>
    <t>Public transport buses</t>
  </si>
  <si>
    <t>0 kg/capita</t>
  </si>
  <si>
    <t>0.4 kg/capita</t>
  </si>
  <si>
    <t>Trucks</t>
  </si>
  <si>
    <t>20kg ....on average per truck</t>
  </si>
  <si>
    <t>5.8 kg/capita light trucks, 0.3 kg/capita heavy truck</t>
  </si>
  <si>
    <t>1985-2005</t>
  </si>
  <si>
    <t>29 kg/vehicle</t>
  </si>
  <si>
    <t>Boats</t>
  </si>
  <si>
    <t>assumption of 0.5% in brass hardware,wires,paint</t>
  </si>
  <si>
    <t>35 years, marine transportation comes available 93.8 Mg/year for the case of connecticut</t>
  </si>
  <si>
    <t>Trains (diesel-electric locomotive)</t>
  </si>
  <si>
    <t>4990kg ..on average</t>
  </si>
  <si>
    <t>rail transport comes available 15,7 Mg/year for ocnnecticut</t>
  </si>
  <si>
    <t>23 kg/meter electrified track</t>
  </si>
  <si>
    <t>0.2kg/capita household, 0.0 kg/capita commercial</t>
  </si>
  <si>
    <t>AC</t>
  </si>
  <si>
    <t>23.6kg ..on average per AC</t>
  </si>
  <si>
    <t>Heat pumps</t>
  </si>
  <si>
    <t xml:space="preserve">21.7kg ..on average per heat pump </t>
  </si>
  <si>
    <t>22 kg</t>
  </si>
  <si>
    <t>Dish washer</t>
  </si>
  <si>
    <t>2.3kg ...on average per dish washer</t>
  </si>
  <si>
    <t>0.5 kg/capita houseold, 0.0 kg.capita commercial</t>
  </si>
  <si>
    <t>Refrigerators</t>
  </si>
  <si>
    <t>2.2kg ...on average per Refrigerator</t>
  </si>
  <si>
    <t>0.7kg/capita household, 0.1kg/capita commercial</t>
  </si>
  <si>
    <t>2.0kg ...on average per washing machines</t>
  </si>
  <si>
    <t>0.5 kg/capita household, 0.0 kg/capita commercial</t>
  </si>
  <si>
    <t>Household durables</t>
  </si>
  <si>
    <t>7.2 kg/capita</t>
  </si>
  <si>
    <t>Zhang et al. (2011) table 9</t>
  </si>
  <si>
    <t>2006/2009/2010</t>
  </si>
  <si>
    <t>incl. formula</t>
  </si>
  <si>
    <t>19 kg/low income household</t>
  </si>
  <si>
    <t>39 kg/lmedium income household</t>
  </si>
  <si>
    <t>58 kg/high income household</t>
  </si>
  <si>
    <t>Commercial/business equipment</t>
  </si>
  <si>
    <t>0.6 kg/capita</t>
  </si>
  <si>
    <t>84 kg/cpy (&lt;5 employ.) to 8400/cpy (&gt;100 employ.)</t>
  </si>
  <si>
    <t>Stove ranges and Ovens</t>
  </si>
  <si>
    <t>0.2 kg/capita household, 0.0kg/capita office</t>
  </si>
  <si>
    <t>HVAC</t>
  </si>
  <si>
    <t>24kg .. on average</t>
  </si>
  <si>
    <t>Brass instruments</t>
  </si>
  <si>
    <t>70% of instruments</t>
  </si>
  <si>
    <t>Ammunition</t>
  </si>
  <si>
    <t>50% of ammunition</t>
  </si>
  <si>
    <t>Metal working machines</t>
  </si>
  <si>
    <t>14.5% of machine</t>
  </si>
  <si>
    <t>Electricity generation</t>
  </si>
  <si>
    <t>907kg/MW</t>
  </si>
  <si>
    <t>CopperDevelopmentAssociation</t>
  </si>
  <si>
    <t>1000 kg/MW</t>
  </si>
  <si>
    <t>Zhang et al. (2011), table 1</t>
  </si>
  <si>
    <t>Electric power distribution and transmission</t>
  </si>
  <si>
    <t>48000 kg/MW</t>
  </si>
  <si>
    <t>Zhang et al (2011), table 2</t>
  </si>
  <si>
    <t>72 kg/single family house</t>
  </si>
  <si>
    <t>48 kg/unit in shared living apt.</t>
  </si>
  <si>
    <t>24 kg/other dwelling</t>
  </si>
  <si>
    <t>120 kg/cpy (&lt;12 employ.) to 2400/cpy (&gt;100 employ.)</t>
  </si>
  <si>
    <t>8.9 kg/capita , for power station and railway overhead 2.0 kg.capita, 0.6 kg/capita respectively</t>
  </si>
  <si>
    <t>Distribution transformers (network higher voltages)</t>
  </si>
  <si>
    <t>20kg on average</t>
  </si>
  <si>
    <t>total of 91.2 Mg/year for connecticut for all transformers</t>
  </si>
  <si>
    <t>Transmission transformers (network lower voltages)</t>
  </si>
  <si>
    <t>1400kg on average</t>
  </si>
  <si>
    <t>telecommunications</t>
  </si>
  <si>
    <t>72 kg/residential unit</t>
  </si>
  <si>
    <t>12 kg/cpy (&lt;120 employ.) to 620/cpy (&gt;100 employ.)</t>
  </si>
  <si>
    <t>length of copper cable determined by number of phone subscribers multiplied by average access loop length (assumed 30m) - same method for TV cables</t>
  </si>
  <si>
    <t>Zhang et al.( 2014) (p.5)  - same for Nanjing Zhang et al (2011)</t>
  </si>
  <si>
    <t>Cable TV Coaxial Lines 0.2 kg/capita SBC Phone Lines 2.8kg/capita
</t>
  </si>
  <si>
    <t>Rail lines and metro systems cabling</t>
  </si>
  <si>
    <t>Zhang et al. (2011) table 2</t>
  </si>
  <si>
    <t>0.3 kg/capita</t>
  </si>
  <si>
    <t>Street lights and traffic lights</t>
  </si>
  <si>
    <t>0.6 kg/capita , 0.1 kg/capita streetscape in general from EckelMann article</t>
  </si>
  <si>
    <t>Zhang et al. (2011) table 6</t>
  </si>
  <si>
    <t>2006/2010</t>
  </si>
  <si>
    <t>Industrial equipment</t>
  </si>
  <si>
    <t>4.4 kg/capita</t>
  </si>
  <si>
    <t>2009/2010</t>
  </si>
  <si>
    <t xml:space="preserve">291kg/cpy (&lt;5 empl.) to 29100kg/cpy (&gt;100 empl) </t>
  </si>
  <si>
    <t>0.6kg/capita household, 0.4 kg/capita commercial</t>
  </si>
  <si>
    <t>0.6kg/capita household, 0.0 kg/capita commercial</t>
  </si>
  <si>
    <t xml:space="preserve"> 0 kg/capita household, 0 kg/capita commercial</t>
  </si>
  <si>
    <t>Stereos &amp; Radios</t>
  </si>
  <si>
    <t>0.5 kg/capita household, 0kg/capita commercial</t>
  </si>
  <si>
    <t>Portable Air Conditioners</t>
  </si>
  <si>
    <t>3.4 kg/capita household, 0.1 kg/capita commercial</t>
  </si>
  <si>
    <t>Vacuum Cleaners</t>
  </si>
  <si>
    <t>0.5 kg/capita household,</t>
  </si>
  <si>
    <t>Hair Dryers</t>
  </si>
  <si>
    <t>0.1 kg/capita household,</t>
  </si>
  <si>
    <t>Extension Cords</t>
  </si>
  <si>
    <t>Kitchen Stationary Mixers</t>
  </si>
  <si>
    <t>Electric Blenders</t>
  </si>
  <si>
    <t>0.2 kg/capita household,</t>
  </si>
  <si>
    <t>Food Processors</t>
  </si>
  <si>
    <t>Electric Lawnmowers</t>
  </si>
  <si>
    <t>0 kg/capita household,</t>
  </si>
  <si>
    <t>Sewing Machines</t>
  </si>
  <si>
    <t>0.1kg/capita household,</t>
  </si>
  <si>
    <t>Pots &amp; Pans</t>
  </si>
  <si>
    <t>Brass Bullet Shells</t>
  </si>
  <si>
    <t>Brass Musical Instruments</t>
  </si>
  <si>
    <t>Construction &amp; Mining Machinery</t>
  </si>
  <si>
    <t>0.1  kg/capita commercial</t>
  </si>
  <si>
    <t>Manufacturing Machinery</t>
  </si>
  <si>
    <t>12.7  kg/capita commercial</t>
  </si>
  <si>
    <t>Farm Machinery</t>
  </si>
  <si>
    <t>unclear - dependent on energy use</t>
  </si>
  <si>
    <t>Zhang et al. 2011 table 9</t>
  </si>
  <si>
    <t>Chromated Copper Arsenate Playgrounds,Docks, Picnic Tables</t>
  </si>
  <si>
    <t>0.2 kg/capita commercial</t>
  </si>
  <si>
    <t>Coinage</t>
  </si>
  <si>
    <t>0.9 kg/capita commercial</t>
  </si>
  <si>
    <t>Water Mains</t>
  </si>
  <si>
    <t>1.1 kg/capita commercial</t>
  </si>
  <si>
    <t>Water Service Lines</t>
  </si>
  <si>
    <t>13.9 kg/capita commercial</t>
  </si>
  <si>
    <t>Water Air Cocks &amp; Blow-offs</t>
  </si>
  <si>
    <t>0.1 kg/capita commercial</t>
  </si>
  <si>
    <t>Global per capita</t>
  </si>
  <si>
    <t>58 kg/ capita</t>
  </si>
  <si>
    <t>(Kapur 2004).</t>
  </si>
  <si>
    <t>Top-down average in connecticut</t>
  </si>
  <si>
    <t>170kg/capita</t>
  </si>
  <si>
    <t>Spatari et al. 2005</t>
  </si>
  <si>
    <t>Bottom up average in connecticut</t>
  </si>
  <si>
    <t>157kg/capita</t>
  </si>
  <si>
    <t>America average</t>
  </si>
  <si>
    <t>238 kg/capita</t>
  </si>
  <si>
    <t>Gordon et al. 2006</t>
  </si>
  <si>
    <t>In-use stocks Shanghai</t>
  </si>
  <si>
    <t>914.6 Gg</t>
  </si>
  <si>
    <t>Zhang et al. (2014)</t>
  </si>
  <si>
    <t xml:space="preserve">58% in infrastructure, 23% in buildings, 11% in equipment </t>
  </si>
  <si>
    <t>Infrastructure copper stocks in Shanghai</t>
  </si>
  <si>
    <t>30% in water distribution, 24% in electric power transmission and distribution</t>
  </si>
  <si>
    <t>Emissions: copper for 50% in sludge, 25% in soils</t>
  </si>
  <si>
    <t>6402 kg/year with total stock of 123000 ton -&gt; 0.0052%</t>
  </si>
  <si>
    <t>Bergback et al (2000)</t>
  </si>
  <si>
    <t>from vehicles and infrastructure, only useful for in-out top down comparison</t>
  </si>
  <si>
    <t>Life Time for Copper CATEGORIES:</t>
  </si>
  <si>
    <t>End-use fraction?</t>
  </si>
  <si>
    <t xml:space="preserve">fraction that flows from end-use into in-use in the same product category </t>
  </si>
  <si>
    <t>20-30 yrs</t>
  </si>
  <si>
    <t>30-40</t>
  </si>
  <si>
    <t>Van Beers, D., &amp; Graedel, T. E. (2006). table 2</t>
  </si>
  <si>
    <t>Electrical/electronical equipment/</t>
  </si>
  <si>
    <t>15 yrs</t>
  </si>
  <si>
    <t>Business durables</t>
  </si>
  <si>
    <t>25 yts</t>
  </si>
  <si>
    <t xml:space="preserve"> Industrial machinery and equipment</t>
  </si>
  <si>
    <t>0.5 kg copper/capita/year</t>
  </si>
  <si>
    <t>Eckelman et al 2007</t>
  </si>
  <si>
    <t>Transportation</t>
  </si>
  <si>
    <t>20-40 yts</t>
  </si>
  <si>
    <t>Van Beers, D., &amp; Graedel, T. E. (2003;2006)</t>
  </si>
  <si>
    <t>Consumer durables</t>
  </si>
  <si>
    <t>20 yrs</t>
  </si>
  <si>
    <t>Residential Electrics (use electricity to transmit/manipulate power)</t>
  </si>
  <si>
    <t>0.6 kg copper/capita/year</t>
  </si>
  <si>
    <t>Residential Electronics (use electricity to transmit/manipulate informaiton)</t>
  </si>
  <si>
    <t>0.2 kg copper/capita/year</t>
  </si>
  <si>
    <t xml:space="preserve">Commercial Electrics </t>
  </si>
  <si>
    <t>0.0 kg copper/capita/year</t>
  </si>
  <si>
    <t>Commercial Electronics</t>
  </si>
  <si>
    <t>0.0 kg coppercapita/year</t>
  </si>
  <si>
    <t>THrough sewage sludge</t>
  </si>
  <si>
    <t>107 Mg/year for connecticut</t>
  </si>
  <si>
    <t>Electrical power cable</t>
  </si>
  <si>
    <t>0.2 kg/capita/year or 524.4 Mg/year for connecticut</t>
  </si>
  <si>
    <t>Railway Overhead contact system wire</t>
  </si>
  <si>
    <t>343.4 Mg/year for connecticut</t>
  </si>
  <si>
    <t>Powerplant generators</t>
  </si>
  <si>
    <t>55.6 Mg/year for connecticut</t>
  </si>
  <si>
    <t>Telecommunication Cable</t>
  </si>
  <si>
    <t>264.6 Mg/year for connecticut</t>
  </si>
  <si>
    <t>Water distribution pipe</t>
  </si>
  <si>
    <t>1046 Mg/yera for connecticut</t>
  </si>
  <si>
    <t>Natural gas distribution pipe</t>
  </si>
  <si>
    <t>22.6 Mg/year for connecticut</t>
  </si>
  <si>
    <t>Streetscape electrical wire</t>
  </si>
  <si>
    <t>7.3 Mg/year for connecticut</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</si>
</sst>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quot;$&quot;#,##0.00"/>
    <numFmt numFmtId="165" formatCode="0.0"/>
    <numFmt numFmtId="166" formatCode="#,##0.000"/>
    <numFmt numFmtId="167" formatCode="0.0000"/>
    <numFmt numFmtId="168" formatCode="0.000"/>
    <numFmt numFmtId="169" formatCode="0.0%"/>
    <numFmt numFmtId="170" formatCode="0.00000000"/>
    <numFmt numFmtId="171" formatCode="0.0000000"/>
  </numFmts>
  <fonts count="21">
    <font>
      <sz val="11.0"/>
      <color rgb="FF000000"/>
      <name val="Calibri"/>
    </font>
    <font>
      <b/>
      <sz val="36.0"/>
    </font>
    <font>
      <b/>
      <sz val="11.0"/>
      <color rgb="FF000000"/>
      <name val="Calibri"/>
    </font>
    <font>
      <sz val="11.0"/>
      <name val="Calibri"/>
    </font>
    <font/>
    <font>
      <color rgb="FF000000"/>
      <name val="Calibri"/>
    </font>
    <font>
      <strike/>
      <sz val="11.0"/>
      <color rgb="FF000000"/>
      <name val="Calibri"/>
    </font>
    <font>
      <name val="Calibri"/>
    </font>
    <font>
      <i/>
    </font>
    <font>
      <i/>
      <color rgb="FF000000"/>
    </font>
    <font>
      <i/>
      <sz val="11.0"/>
      <color rgb="FF000000"/>
      <name val="Calibri"/>
    </font>
    <font>
      <color rgb="FF000000"/>
    </font>
    <font>
      <sz val="11.0"/>
      <color rgb="FF000000"/>
      <name val="Inconsolata"/>
    </font>
    <font>
      <color rgb="FF000000"/>
      <name val="Arial"/>
    </font>
    <font>
      <sz val="11.0"/>
      <color rgb="FF000000"/>
      <name val="'Calibri'"/>
    </font>
    <font>
      <u/>
      <sz val="11.0"/>
      <color rgb="FF000000"/>
      <name val="Calibri"/>
    </font>
    <font>
      <sz val="11.0"/>
      <color rgb="FFFF0000"/>
      <name val="Calibri"/>
    </font>
    <font>
      <b/>
    </font>
    <font>
      <sz val="8.0"/>
      <color rgb="FF666666"/>
      <name val="Verdana"/>
    </font>
    <font>
      <b/>
      <sz val="36.0"/>
      <color rgb="FF000000"/>
    </font>
    <font>
      <b/>
      <color rgb="FF000000"/>
    </font>
  </fonts>
  <fills count="9">
    <fill>
      <patternFill patternType="none"/>
    </fill>
    <fill>
      <patternFill patternType="lightGray"/>
    </fill>
    <fill>
      <patternFill patternType="solid">
        <fgColor rgb="FF6FA8DC"/>
        <bgColor rgb="FF6FA8DC"/>
      </patternFill>
    </fill>
    <fill>
      <patternFill patternType="solid">
        <fgColor rgb="FFC6D9F0"/>
        <bgColor rgb="FFC6D9F0"/>
      </patternFill>
    </fill>
    <fill>
      <patternFill patternType="solid">
        <fgColor rgb="FFFFFFFF"/>
        <bgColor rgb="FFFFFFFF"/>
      </patternFill>
    </fill>
    <fill>
      <patternFill patternType="solid">
        <fgColor rgb="FF4A86E8"/>
        <bgColor rgb="FF4A86E8"/>
      </patternFill>
    </fill>
    <fill>
      <patternFill patternType="solid">
        <fgColor rgb="FFB6D7A8"/>
        <bgColor rgb="FFB6D7A8"/>
      </patternFill>
    </fill>
    <fill>
      <patternFill patternType="solid">
        <fgColor rgb="FFDBE5F1"/>
        <bgColor rgb="FFDBE5F1"/>
      </patternFill>
    </fill>
    <fill>
      <patternFill patternType="solid">
        <fgColor rgb="FF4F81BD"/>
        <bgColor rgb="FF4F81BD"/>
      </patternFill>
    </fill>
  </fills>
  <borders count="2">
    <border>
      <left/>
      <right/>
      <top/>
      <bottom/>
    </border>
    <border>
      <left style="thin">
        <color rgb="FFCCE6FF"/>
      </left>
      <right style="thin">
        <color rgb="FFCCE6FF"/>
      </right>
      <top style="thin">
        <color rgb="FFFFFFFF"/>
      </top>
      <bottom style="thin">
        <color rgb="FFCCE6FF"/>
      </bottom>
    </border>
  </borders>
  <cellStyleXfs count="1">
    <xf borderId="0" fillId="0" fontId="0" numFmtId="0" applyAlignment="1" applyFont="1"/>
  </cellStyleXfs>
  <cellXfs count="192">
    <xf borderId="0" fillId="0" fontId="0" numFmtId="0" xfId="0" applyAlignment="1" applyFont="1">
      <alignment/>
    </xf>
    <xf borderId="0" fillId="2" fontId="0" numFmtId="0" xfId="0" applyFill="1" applyFont="1"/>
    <xf borderId="0" fillId="2" fontId="1" numFmtId="0" xfId="0" applyAlignment="1" applyFont="1">
      <alignment/>
    </xf>
    <xf borderId="0" fillId="2" fontId="0" numFmtId="0" xfId="0" applyAlignment="1" applyFont="1">
      <alignment/>
    </xf>
    <xf borderId="0" fillId="3" fontId="0" numFmtId="0" xfId="0" applyBorder="1" applyFill="1" applyFont="1"/>
    <xf borderId="0" fillId="3" fontId="0" numFmtId="0" xfId="0" applyAlignment="1" applyBorder="1" applyFont="1">
      <alignment horizontal="left"/>
    </xf>
    <xf borderId="0" fillId="3" fontId="0" numFmtId="0" xfId="0" applyAlignment="1" applyBorder="1" applyFont="1">
      <alignment/>
    </xf>
    <xf borderId="0" fillId="0" fontId="2" numFmtId="0" xfId="0" applyAlignment="1" applyFont="1">
      <alignment/>
    </xf>
    <xf borderId="0" fillId="0" fontId="0" numFmtId="0" xfId="0" applyFont="1"/>
    <xf borderId="0" fillId="0" fontId="0" numFmtId="0" xfId="0" applyAlignment="1" applyFont="1">
      <alignment horizontal="left"/>
    </xf>
    <xf borderId="0" fillId="0" fontId="0" numFmtId="0" xfId="0" applyAlignment="1" applyFont="1">
      <alignment/>
    </xf>
    <xf borderId="0" fillId="0" fontId="0" numFmtId="0" xfId="0" applyAlignment="1" applyFont="1">
      <alignment/>
    </xf>
    <xf borderId="0" fillId="0" fontId="0" numFmtId="0" xfId="0" applyFont="1"/>
    <xf borderId="0" fillId="0" fontId="0" numFmtId="0" xfId="0" applyAlignment="1" applyFont="1">
      <alignment horizontal="left"/>
    </xf>
    <xf borderId="0" fillId="0" fontId="3" numFmtId="0" xfId="0" applyFont="1"/>
    <xf borderId="0" fillId="0" fontId="3" numFmtId="0" xfId="0" applyAlignment="1" applyFont="1">
      <alignment/>
    </xf>
    <xf borderId="0" fillId="0" fontId="4" numFmtId="0" xfId="0" applyAlignment="1" applyFont="1">
      <alignment/>
    </xf>
    <xf borderId="0" fillId="0" fontId="0" numFmtId="0" xfId="0" applyAlignment="1" applyFont="1">
      <alignment/>
    </xf>
    <xf borderId="0" fillId="4" fontId="0" numFmtId="0" xfId="0" applyAlignment="1" applyFill="1" applyFont="1">
      <alignment horizontal="left"/>
    </xf>
    <xf borderId="0" fillId="0" fontId="0" numFmtId="0" xfId="0" applyAlignment="1" applyFont="1">
      <alignment horizontal="left"/>
    </xf>
    <xf borderId="0" fillId="0" fontId="5" numFmtId="0" xfId="0" applyAlignment="1" applyFont="1">
      <alignment horizontal="left"/>
    </xf>
    <xf borderId="0" fillId="0" fontId="4" numFmtId="0" xfId="0" applyAlignment="1" applyFont="1">
      <alignment horizontal="left"/>
    </xf>
    <xf borderId="0" fillId="0" fontId="6" numFmtId="0" xfId="0" applyAlignment="1" applyFont="1">
      <alignment/>
    </xf>
    <xf borderId="0" fillId="0" fontId="7" numFmtId="10" xfId="0" applyAlignment="1" applyFont="1" applyNumberFormat="1">
      <alignment horizontal="right"/>
    </xf>
    <xf borderId="0" fillId="0" fontId="8" numFmtId="0" xfId="0" applyAlignment="1" applyFont="1">
      <alignment horizontal="left"/>
    </xf>
    <xf borderId="0" fillId="0" fontId="8" numFmtId="0" xfId="0" applyAlignment="1" applyFont="1">
      <alignment/>
    </xf>
    <xf borderId="0" fillId="0" fontId="0" numFmtId="3" xfId="0" applyAlignment="1" applyFont="1" applyNumberFormat="1">
      <alignment horizontal="left"/>
    </xf>
    <xf borderId="0" fillId="0" fontId="0" numFmtId="3" xfId="0" applyFont="1" applyNumberFormat="1"/>
    <xf borderId="0" fillId="0" fontId="0" numFmtId="3" xfId="0" applyAlignment="1" applyFont="1" applyNumberFormat="1">
      <alignment/>
    </xf>
    <xf borderId="0" fillId="0" fontId="5" numFmtId="3" xfId="0" applyAlignment="1" applyFont="1" applyNumberFormat="1">
      <alignment horizontal="left"/>
    </xf>
    <xf borderId="0" fillId="0" fontId="0" numFmtId="0" xfId="0" applyAlignment="1" applyFont="1">
      <alignment/>
    </xf>
    <xf borderId="0" fillId="0" fontId="3" numFmtId="0" xfId="0" applyAlignment="1" applyFont="1">
      <alignment horizontal="left"/>
    </xf>
    <xf borderId="0" fillId="0" fontId="3" numFmtId="0" xfId="0" applyAlignment="1" applyFont="1">
      <alignment/>
    </xf>
    <xf borderId="0" fillId="0" fontId="9" numFmtId="0" xfId="0" applyAlignment="1" applyFont="1">
      <alignment/>
    </xf>
    <xf borderId="0" fillId="0" fontId="10" numFmtId="0" xfId="0" applyAlignment="1" applyFont="1">
      <alignment horizontal="left"/>
    </xf>
    <xf borderId="0" fillId="0" fontId="11" numFmtId="0" xfId="0" applyFont="1"/>
    <xf borderId="0" fillId="0" fontId="0" numFmtId="0" xfId="0" applyAlignment="1" applyFont="1">
      <alignment horizontal="left"/>
    </xf>
    <xf borderId="0" fillId="0" fontId="3" numFmtId="0" xfId="0" applyFont="1"/>
    <xf borderId="0" fillId="0" fontId="0" numFmtId="0" xfId="0" applyAlignment="1" applyFont="1">
      <alignment/>
    </xf>
    <xf borderId="0" fillId="0" fontId="5" numFmtId="0" xfId="0" applyAlignment="1" applyFont="1">
      <alignment horizontal="left"/>
    </xf>
    <xf borderId="0" fillId="0" fontId="11" numFmtId="0" xfId="0" applyAlignment="1" applyFont="1">
      <alignment/>
    </xf>
    <xf borderId="0" fillId="0" fontId="2" numFmtId="0" xfId="0" applyFont="1"/>
    <xf borderId="0" fillId="0" fontId="0" numFmtId="0" xfId="0" applyAlignment="1" applyFont="1">
      <alignment/>
    </xf>
    <xf borderId="0" fillId="0" fontId="4" numFmtId="1" xfId="0" applyAlignment="1" applyFont="1" applyNumberFormat="1">
      <alignment/>
    </xf>
    <xf borderId="0" fillId="4" fontId="0" numFmtId="0" xfId="0" applyAlignment="1" applyFont="1">
      <alignment horizontal="right"/>
    </xf>
    <xf borderId="0" fillId="4" fontId="12" numFmtId="0" xfId="0" applyAlignment="1" applyFont="1">
      <alignment/>
    </xf>
    <xf borderId="0" fillId="4" fontId="13" numFmtId="0" xfId="0" applyAlignment="1" applyFont="1">
      <alignment/>
    </xf>
    <xf borderId="0" fillId="4" fontId="12" numFmtId="0" xfId="0" applyAlignment="1" applyFont="1">
      <alignment/>
    </xf>
    <xf borderId="0" fillId="0" fontId="4" numFmtId="3" xfId="0" applyAlignment="1" applyFont="1" applyNumberFormat="1">
      <alignment horizontal="left"/>
    </xf>
    <xf borderId="0" fillId="0" fontId="3" numFmtId="0" xfId="0" applyAlignment="1" applyFont="1">
      <alignment/>
    </xf>
    <xf borderId="0" fillId="0" fontId="4" numFmtId="0" xfId="0" applyAlignment="1" applyFont="1">
      <alignment/>
    </xf>
    <xf borderId="0" fillId="0" fontId="11" numFmtId="0" xfId="0" applyAlignment="1" applyFont="1">
      <alignment horizontal="left"/>
    </xf>
    <xf borderId="0" fillId="4" fontId="0" numFmtId="0" xfId="0" applyFont="1"/>
    <xf borderId="0" fillId="0" fontId="7" numFmtId="0" xfId="0" applyAlignment="1" applyFont="1">
      <alignment/>
    </xf>
    <xf borderId="0" fillId="4" fontId="0" numFmtId="0" xfId="0" applyAlignment="1" applyFont="1">
      <alignment/>
    </xf>
    <xf borderId="0" fillId="0" fontId="14" numFmtId="0" xfId="0" applyAlignment="1" applyFont="1">
      <alignment/>
    </xf>
    <xf borderId="0" fillId="0" fontId="0" numFmtId="10" xfId="0" applyAlignment="1" applyFont="1" applyNumberFormat="1">
      <alignment/>
    </xf>
    <xf borderId="0" fillId="0" fontId="10" numFmtId="0" xfId="0" applyAlignment="1" applyFont="1">
      <alignment horizontal="left" vertical="center"/>
    </xf>
    <xf borderId="0" fillId="0" fontId="10" numFmtId="0" xfId="0" applyFont="1"/>
    <xf borderId="0" fillId="0" fontId="10" numFmtId="0" xfId="0" applyAlignment="1" applyFont="1">
      <alignment horizontal="left"/>
    </xf>
    <xf borderId="0" fillId="0" fontId="10" numFmtId="0" xfId="0" applyAlignment="1" applyFont="1">
      <alignment/>
    </xf>
    <xf borderId="0" fillId="0" fontId="10" numFmtId="0" xfId="0" applyAlignment="1" applyFont="1">
      <alignment/>
    </xf>
    <xf borderId="0" fillId="0" fontId="0" numFmtId="0" xfId="0" applyAlignment="1" applyFont="1">
      <alignment vertical="center"/>
    </xf>
    <xf borderId="0" fillId="0" fontId="15" numFmtId="0" xfId="0" applyAlignment="1" applyFont="1">
      <alignment/>
    </xf>
    <xf borderId="0" fillId="0" fontId="5" numFmtId="0" xfId="0" applyAlignment="1" applyFont="1">
      <alignment/>
    </xf>
    <xf borderId="0" fillId="0" fontId="0" numFmtId="0" xfId="0" applyAlignment="1" applyFont="1">
      <alignment vertical="center"/>
    </xf>
    <xf borderId="0" fillId="0" fontId="2" numFmtId="0" xfId="0" applyAlignment="1" applyFont="1">
      <alignment/>
    </xf>
    <xf borderId="0" fillId="0" fontId="16" numFmtId="0" xfId="0" applyAlignment="1" applyFont="1">
      <alignment horizontal="left"/>
    </xf>
    <xf borderId="0" fillId="0" fontId="0" numFmtId="9" xfId="0" applyAlignment="1" applyFont="1" applyNumberFormat="1">
      <alignment/>
    </xf>
    <xf borderId="0" fillId="0" fontId="0" numFmtId="0" xfId="0" applyAlignment="1" applyFont="1">
      <alignment horizontal="left"/>
    </xf>
    <xf borderId="0" fillId="0" fontId="0" numFmtId="9" xfId="0" applyAlignment="1" applyFont="1" applyNumberFormat="1">
      <alignment horizontal="right"/>
    </xf>
    <xf borderId="0" fillId="0" fontId="0" numFmtId="0" xfId="0" applyAlignment="1" applyFont="1">
      <alignment horizontal="right"/>
    </xf>
    <xf borderId="0" fillId="0" fontId="0" numFmtId="1" xfId="0" applyAlignment="1" applyFont="1" applyNumberFormat="1">
      <alignment horizontal="right"/>
    </xf>
    <xf borderId="0" fillId="0" fontId="0" numFmtId="164" xfId="0" applyAlignment="1" applyFont="1" applyNumberFormat="1">
      <alignment/>
    </xf>
    <xf borderId="0" fillId="3" fontId="0" numFmtId="165" xfId="0" applyBorder="1" applyFont="1" applyNumberFormat="1"/>
    <xf borderId="0" fillId="5" fontId="7" numFmtId="165" xfId="0" applyAlignment="1" applyFill="1" applyFont="1" applyNumberFormat="1">
      <alignment/>
    </xf>
    <xf borderId="0" fillId="3" fontId="4" numFmtId="165" xfId="0" applyAlignment="1" applyFont="1" applyNumberFormat="1">
      <alignment/>
    </xf>
    <xf borderId="0" fillId="0" fontId="2" numFmtId="165" xfId="0" applyAlignment="1" applyFont="1" applyNumberFormat="1">
      <alignment/>
    </xf>
    <xf borderId="0" fillId="0" fontId="4" numFmtId="165" xfId="0" applyFont="1" applyNumberFormat="1"/>
    <xf borderId="0" fillId="0" fontId="4" numFmtId="1" xfId="0" applyFont="1" applyNumberFormat="1"/>
    <xf borderId="0" fillId="0" fontId="4" numFmtId="166" xfId="0" applyAlignment="1" applyFont="1" applyNumberFormat="1">
      <alignment/>
    </xf>
    <xf borderId="0" fillId="0" fontId="0" numFmtId="0" xfId="0" applyAlignment="1" applyFont="1">
      <alignment/>
    </xf>
    <xf borderId="0" fillId="4" fontId="0" numFmtId="3" xfId="0" applyAlignment="1" applyFont="1" applyNumberFormat="1">
      <alignment horizontal="left"/>
    </xf>
    <xf borderId="0" fillId="0" fontId="0" numFmtId="0" xfId="0" applyAlignment="1" applyFont="1">
      <alignment/>
    </xf>
    <xf borderId="0" fillId="6" fontId="0" numFmtId="0" xfId="0" applyAlignment="1" applyFill="1" applyFont="1">
      <alignment/>
    </xf>
    <xf borderId="0" fillId="6" fontId="4" numFmtId="0" xfId="0" applyFont="1"/>
    <xf borderId="0" fillId="6" fontId="4" numFmtId="1" xfId="0" applyFont="1" applyNumberFormat="1"/>
    <xf borderId="0" fillId="0" fontId="0" numFmtId="165" xfId="0" applyFont="1" applyNumberFormat="1"/>
    <xf borderId="0" fillId="0" fontId="2" numFmtId="165" xfId="0" applyFont="1" applyNumberFormat="1"/>
    <xf borderId="0" fillId="0" fontId="10" numFmtId="165" xfId="0" applyFont="1" applyNumberFormat="1"/>
    <xf borderId="0" fillId="0" fontId="10" numFmtId="165" xfId="0" applyAlignment="1" applyFont="1" applyNumberFormat="1">
      <alignment/>
    </xf>
    <xf borderId="0" fillId="0" fontId="0" numFmtId="165" xfId="0" applyAlignment="1" applyFont="1" applyNumberFormat="1">
      <alignment/>
    </xf>
    <xf borderId="0" fillId="6" fontId="0" numFmtId="165" xfId="0" applyAlignment="1" applyFont="1" applyNumberFormat="1">
      <alignment/>
    </xf>
    <xf borderId="0" fillId="6" fontId="4" numFmtId="165" xfId="0" applyFont="1" applyNumberFormat="1"/>
    <xf borderId="0" fillId="4" fontId="0" numFmtId="165" xfId="0" applyFont="1" applyNumberFormat="1"/>
    <xf borderId="0" fillId="0" fontId="0" numFmtId="165" xfId="0" applyAlignment="1" applyFont="1" applyNumberFormat="1">
      <alignment/>
    </xf>
    <xf borderId="0" fillId="0" fontId="4" numFmtId="165" xfId="0" applyAlignment="1" applyFont="1" applyNumberFormat="1">
      <alignment/>
    </xf>
    <xf borderId="0" fillId="0" fontId="0" numFmtId="1" xfId="0" applyFont="1" applyNumberFormat="1"/>
    <xf borderId="0" fillId="0" fontId="0" numFmtId="1" xfId="0" applyFont="1" applyNumberFormat="1"/>
    <xf borderId="0" fillId="4" fontId="0" numFmtId="1" xfId="0" applyFont="1" applyNumberFormat="1"/>
    <xf borderId="0" fillId="4" fontId="0" numFmtId="1" xfId="0" applyAlignment="1" applyFont="1" applyNumberFormat="1">
      <alignment/>
    </xf>
    <xf borderId="0" fillId="0" fontId="0" numFmtId="1" xfId="0" applyAlignment="1" applyFont="1" applyNumberFormat="1">
      <alignment/>
    </xf>
    <xf borderId="0" fillId="4" fontId="0" numFmtId="165" xfId="0" applyAlignment="1" applyFont="1" applyNumberFormat="1">
      <alignment/>
    </xf>
    <xf borderId="0" fillId="4" fontId="6" numFmtId="165" xfId="0" applyFont="1" applyNumberFormat="1"/>
    <xf borderId="0" fillId="0" fontId="6" numFmtId="165" xfId="0" applyFont="1" applyNumberFormat="1"/>
    <xf borderId="0" fillId="0" fontId="6" numFmtId="165" xfId="0" applyFont="1" applyNumberFormat="1"/>
    <xf borderId="0" fillId="6" fontId="4" numFmtId="165" xfId="0" applyAlignment="1" applyFont="1" applyNumberFormat="1">
      <alignment/>
    </xf>
    <xf borderId="0" fillId="0" fontId="0" numFmtId="1" xfId="0" applyAlignment="1" applyFont="1" applyNumberFormat="1">
      <alignment/>
    </xf>
    <xf borderId="0" fillId="0" fontId="0" numFmtId="165" xfId="0" applyAlignment="1" applyFont="1" applyNumberFormat="1">
      <alignment/>
    </xf>
    <xf borderId="0" fillId="6" fontId="0" numFmtId="1" xfId="0" applyAlignment="1" applyFont="1" applyNumberFormat="1">
      <alignment/>
    </xf>
    <xf borderId="0" fillId="0" fontId="2" numFmtId="165" xfId="0" applyAlignment="1" applyFont="1" applyNumberFormat="1">
      <alignment/>
    </xf>
    <xf borderId="0" fillId="0" fontId="0" numFmtId="165" xfId="0" applyAlignment="1" applyFont="1" applyNumberFormat="1">
      <alignment horizontal="right"/>
    </xf>
    <xf borderId="0" fillId="0" fontId="0" numFmtId="0" xfId="0" applyAlignment="1" applyFont="1">
      <alignment/>
    </xf>
    <xf borderId="0" fillId="0" fontId="0" numFmtId="1" xfId="0" applyAlignment="1" applyFont="1" applyNumberFormat="1">
      <alignment/>
    </xf>
    <xf borderId="0" fillId="0" fontId="4" numFmtId="9" xfId="0" applyAlignment="1" applyFont="1" applyNumberFormat="1">
      <alignment/>
    </xf>
    <xf borderId="0" fillId="0" fontId="4" numFmtId="2" xfId="0" applyFont="1" applyNumberFormat="1"/>
    <xf borderId="0" fillId="0" fontId="0" numFmtId="165" xfId="0" applyAlignment="1" applyFont="1" applyNumberFormat="1">
      <alignment/>
    </xf>
    <xf borderId="0" fillId="0" fontId="4" numFmtId="167" xfId="0" applyAlignment="1" applyFont="1" applyNumberFormat="1">
      <alignment/>
    </xf>
    <xf borderId="0" fillId="0" fontId="0" numFmtId="2" xfId="0" applyAlignment="1" applyFont="1" applyNumberFormat="1">
      <alignment horizontal="right"/>
    </xf>
    <xf borderId="0" fillId="0" fontId="4" numFmtId="168" xfId="0" applyFont="1" applyNumberFormat="1"/>
    <xf borderId="0" fillId="0" fontId="4" numFmtId="167" xfId="0" applyFont="1" applyNumberFormat="1"/>
    <xf borderId="0" fillId="0" fontId="4" numFmtId="2" xfId="0" applyAlignment="1" applyFont="1" applyNumberFormat="1">
      <alignment/>
    </xf>
    <xf borderId="0" fillId="0" fontId="4" numFmtId="169" xfId="0" applyAlignment="1" applyFont="1" applyNumberFormat="1">
      <alignment/>
    </xf>
    <xf borderId="0" fillId="0" fontId="0" numFmtId="169" xfId="0" applyAlignment="1" applyFont="1" applyNumberFormat="1">
      <alignment horizontal="right"/>
    </xf>
    <xf borderId="0" fillId="6" fontId="4" numFmtId="2" xfId="0" applyFont="1" applyNumberFormat="1"/>
    <xf borderId="0" fillId="2" fontId="4" numFmtId="0" xfId="0" applyAlignment="1" applyFont="1">
      <alignment/>
    </xf>
    <xf borderId="0" fillId="2" fontId="4" numFmtId="0" xfId="0" applyFont="1"/>
    <xf borderId="0" fillId="2" fontId="2" numFmtId="0" xfId="0" applyBorder="1" applyFont="1"/>
    <xf borderId="0" fillId="2" fontId="17" numFmtId="0" xfId="0" applyAlignment="1" applyFont="1">
      <alignment/>
    </xf>
    <xf borderId="0" fillId="2" fontId="17" numFmtId="0" xfId="0" applyFont="1"/>
    <xf borderId="0" fillId="3" fontId="2" numFmtId="0" xfId="0" applyAlignment="1" applyFont="1">
      <alignment/>
    </xf>
    <xf borderId="0" fillId="3" fontId="4" numFmtId="0" xfId="0" applyFont="1"/>
    <xf borderId="0" fillId="3" fontId="4" numFmtId="0" xfId="0" applyAlignment="1" applyFont="1">
      <alignment/>
    </xf>
    <xf borderId="0" fillId="3" fontId="4" numFmtId="10" xfId="0" applyAlignment="1" applyFont="1" applyNumberFormat="1">
      <alignment/>
    </xf>
    <xf borderId="0" fillId="3" fontId="0" numFmtId="10" xfId="0" applyAlignment="1" applyFont="1" applyNumberFormat="1">
      <alignment horizontal="right"/>
    </xf>
    <xf borderId="0" fillId="3" fontId="4" numFmtId="10" xfId="0" applyFont="1" applyNumberFormat="1"/>
    <xf borderId="0" fillId="2" fontId="2" numFmtId="0" xfId="0" applyAlignment="1" applyFont="1">
      <alignment/>
    </xf>
    <xf borderId="0" fillId="0" fontId="0" numFmtId="3" xfId="0" applyAlignment="1" applyFont="1" applyNumberFormat="1">
      <alignment horizontal="left"/>
    </xf>
    <xf borderId="0" fillId="3" fontId="0" numFmtId="0" xfId="0" applyAlignment="1" applyFont="1">
      <alignment/>
    </xf>
    <xf borderId="0" fillId="3" fontId="4" numFmtId="1" xfId="0" applyFont="1" applyNumberFormat="1"/>
    <xf borderId="0" fillId="2" fontId="2" numFmtId="0" xfId="0" applyFont="1"/>
    <xf borderId="0" fillId="0" fontId="0" numFmtId="0" xfId="0" applyAlignment="1" applyFont="1">
      <alignment/>
    </xf>
    <xf borderId="0" fillId="0" fontId="0" numFmtId="0" xfId="0" applyAlignment="1" applyFont="1">
      <alignment/>
    </xf>
    <xf borderId="0" fillId="4" fontId="0" numFmtId="0" xfId="0" applyAlignment="1" applyFont="1">
      <alignment horizontal="left"/>
    </xf>
    <xf borderId="0" fillId="0" fontId="4" numFmtId="170" xfId="0" applyAlignment="1" applyFont="1" applyNumberFormat="1">
      <alignment/>
    </xf>
    <xf borderId="0" fillId="0" fontId="0" numFmtId="168" xfId="0" applyAlignment="1" applyFont="1" applyNumberFormat="1">
      <alignment/>
    </xf>
    <xf borderId="0" fillId="0" fontId="0" numFmtId="0" xfId="0" applyAlignment="1" applyFont="1">
      <alignment/>
    </xf>
    <xf borderId="0" fillId="0" fontId="4" numFmtId="171" xfId="0" applyAlignment="1" applyFont="1" applyNumberFormat="1">
      <alignment/>
    </xf>
    <xf borderId="0" fillId="3" fontId="4" numFmtId="165" xfId="0" applyFont="1" applyNumberFormat="1"/>
    <xf borderId="0" fillId="0" fontId="14" numFmtId="0" xfId="0" applyAlignment="1" applyFont="1">
      <alignment/>
    </xf>
    <xf borderId="0" fillId="0" fontId="4" numFmtId="0" xfId="0" applyAlignment="1" applyFont="1">
      <alignment/>
    </xf>
    <xf borderId="1" fillId="4" fontId="18" numFmtId="0" xfId="0" applyAlignment="1" applyBorder="1" applyFont="1">
      <alignment horizontal="right"/>
    </xf>
    <xf borderId="0" fillId="0" fontId="0" numFmtId="0" xfId="0" applyFont="1"/>
    <xf borderId="0" fillId="0" fontId="4" numFmtId="0" xfId="0" applyFont="1"/>
    <xf borderId="0" fillId="2" fontId="2" numFmtId="0" xfId="0" applyAlignment="1" applyFont="1">
      <alignment/>
    </xf>
    <xf borderId="0" fillId="2" fontId="0" numFmtId="0" xfId="0" applyBorder="1" applyFont="1"/>
    <xf borderId="0" fillId="2" fontId="11" numFmtId="0" xfId="0" applyFont="1"/>
    <xf borderId="0" fillId="2" fontId="19" numFmtId="0" xfId="0" applyAlignment="1" applyFont="1">
      <alignment/>
    </xf>
    <xf borderId="0" fillId="2" fontId="20" numFmtId="0" xfId="0" applyAlignment="1" applyFont="1">
      <alignment/>
    </xf>
    <xf borderId="0" fillId="2" fontId="11" numFmtId="0" xfId="0" applyAlignment="1" applyFont="1">
      <alignment/>
    </xf>
    <xf borderId="0" fillId="0" fontId="17" numFmtId="0" xfId="0" applyAlignment="1" applyFont="1">
      <alignment/>
    </xf>
    <xf borderId="0" fillId="0" fontId="20" numFmtId="0" xfId="0" applyFont="1"/>
    <xf borderId="0" fillId="0" fontId="11" numFmtId="0" xfId="0" applyAlignment="1" applyFont="1">
      <alignment/>
    </xf>
    <xf borderId="0" fillId="0" fontId="20" numFmtId="0" xfId="0" applyAlignment="1" applyFont="1">
      <alignment/>
    </xf>
    <xf borderId="0" fillId="0" fontId="17" numFmtId="0" xfId="0" applyFont="1"/>
    <xf borderId="0" fillId="0" fontId="0" numFmtId="0" xfId="0" applyAlignment="1" applyFont="1">
      <alignment/>
    </xf>
    <xf borderId="0" fillId="3" fontId="20" numFmtId="0" xfId="0" applyAlignment="1" applyFont="1">
      <alignment/>
    </xf>
    <xf borderId="0" fillId="3" fontId="17" numFmtId="0" xfId="0" applyAlignment="1" applyFont="1">
      <alignment/>
    </xf>
    <xf borderId="0" fillId="3" fontId="11" numFmtId="0" xfId="0" applyFont="1"/>
    <xf borderId="0" fillId="3" fontId="11" numFmtId="0" xfId="0" applyAlignment="1" applyFont="1">
      <alignment/>
    </xf>
    <xf borderId="0" fillId="3" fontId="11" numFmtId="0" xfId="0" applyAlignment="1" applyFont="1">
      <alignment/>
    </xf>
    <xf borderId="0" fillId="0" fontId="17" numFmtId="1" xfId="0" applyAlignment="1" applyFont="1" applyNumberFormat="1">
      <alignment/>
    </xf>
    <xf borderId="0" fillId="0" fontId="11" numFmtId="1" xfId="0" applyFont="1" applyNumberFormat="1"/>
    <xf borderId="0" fillId="3" fontId="11" numFmtId="1" xfId="0" applyFont="1" applyNumberFormat="1"/>
    <xf borderId="0" fillId="3" fontId="20" numFmtId="1" xfId="0" applyFont="1" applyNumberFormat="1"/>
    <xf borderId="0" fillId="0" fontId="4" numFmtId="0" xfId="0" applyAlignment="1" applyFont="1">
      <alignment horizontal="left"/>
    </xf>
    <xf borderId="0" fillId="2" fontId="11" numFmtId="0" xfId="0" applyAlignment="1" applyFont="1">
      <alignment horizontal="left"/>
    </xf>
    <xf borderId="0" fillId="7" fontId="11" numFmtId="0" xfId="0" applyAlignment="1" applyFill="1" applyFont="1">
      <alignment horizontal="left"/>
    </xf>
    <xf borderId="0" fillId="0" fontId="4" numFmtId="0" xfId="0" applyAlignment="1" applyFont="1">
      <alignment horizontal="left"/>
    </xf>
    <xf borderId="0" fillId="4" fontId="5" numFmtId="0" xfId="0" applyAlignment="1" applyFont="1">
      <alignment/>
    </xf>
    <xf borderId="0" fillId="0" fontId="7" numFmtId="0" xfId="0" applyAlignment="1" applyFont="1">
      <alignment horizontal="left"/>
    </xf>
    <xf borderId="0" fillId="0" fontId="7" numFmtId="3" xfId="0" applyAlignment="1" applyFont="1" applyNumberFormat="1">
      <alignment horizontal="left"/>
    </xf>
    <xf borderId="0" fillId="4" fontId="5" numFmtId="3" xfId="0" applyAlignment="1" applyFont="1" applyNumberFormat="1">
      <alignment/>
    </xf>
    <xf borderId="0" fillId="0" fontId="4" numFmtId="10" xfId="0" applyAlignment="1" applyFont="1" applyNumberFormat="1">
      <alignment horizontal="left"/>
    </xf>
    <xf borderId="0" fillId="0" fontId="4" numFmtId="10" xfId="0" applyFont="1" applyNumberFormat="1"/>
    <xf borderId="0" fillId="0" fontId="4" numFmtId="0" xfId="0" applyAlignment="1" applyFont="1">
      <alignment horizontal="left"/>
    </xf>
    <xf borderId="0" fillId="8" fontId="11" numFmtId="0" xfId="0" applyAlignment="1" applyFill="1" applyFont="1">
      <alignment horizontal="left"/>
    </xf>
    <xf borderId="0" fillId="0" fontId="7" numFmtId="0" xfId="0" applyAlignment="1" applyFont="1">
      <alignment/>
    </xf>
    <xf borderId="0" fillId="0" fontId="11" numFmtId="0" xfId="0" applyAlignment="1" applyFont="1">
      <alignment horizontal="left" vertical="center"/>
    </xf>
    <xf borderId="0" fillId="0" fontId="11" numFmtId="0" xfId="0" applyAlignment="1" applyFont="1">
      <alignment horizontal="right"/>
    </xf>
    <xf borderId="0" fillId="2" fontId="4" numFmtId="0" xfId="0" applyAlignment="1" applyFont="1">
      <alignment horizontal="left"/>
    </xf>
    <xf borderId="0" fillId="0" fontId="4"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000000"/>
                </a:solidFill>
              </a:defRPr>
            </a:pPr>
            <a:r>
              <a:t>Metals per category</a:t>
            </a:r>
          </a:p>
        </c:rich>
      </c:tx>
      <c:overlay val="0"/>
    </c:title>
    <c:plotArea>
      <c:layout/>
      <c:barChart>
        <c:barDir val="col"/>
        <c:grouping val="stacked"/>
        <c:ser>
          <c:idx val="0"/>
          <c:order val="0"/>
          <c:tx>
            <c:strRef>
              <c:f>Visuals!$B$13</c:f>
            </c:strRef>
          </c:tx>
          <c:spPr>
            <a:solidFill>
              <a:srgbClr val="3366CC"/>
            </a:solidFill>
          </c:spPr>
          <c:cat>
            <c:strRef>
              <c:f>Visuals!$A$14:$A$19</c:f>
            </c:strRef>
          </c:cat>
          <c:val>
            <c:numRef>
              <c:f>Visuals!$B$14:$B$19</c:f>
            </c:numRef>
          </c:val>
        </c:ser>
        <c:ser>
          <c:idx val="1"/>
          <c:order val="1"/>
          <c:tx>
            <c:strRef>
              <c:f>Visuals!$C$13</c:f>
            </c:strRef>
          </c:tx>
          <c:spPr>
            <a:solidFill>
              <a:srgbClr val="DC3912"/>
            </a:solidFill>
          </c:spPr>
          <c:cat>
            <c:strRef>
              <c:f>Visuals!$A$14:$A$19</c:f>
            </c:strRef>
          </c:cat>
          <c:val>
            <c:numRef>
              <c:f>Visuals!$C$14:$C$19</c:f>
            </c:numRef>
          </c:val>
        </c:ser>
        <c:ser>
          <c:idx val="2"/>
          <c:order val="2"/>
          <c:tx>
            <c:strRef>
              <c:f>Visuals!$D$13</c:f>
            </c:strRef>
          </c:tx>
          <c:spPr>
            <a:solidFill>
              <a:srgbClr val="FF9900"/>
            </a:solidFill>
          </c:spPr>
          <c:cat>
            <c:strRef>
              <c:f>Visuals!$A$14:$A$19</c:f>
            </c:strRef>
          </c:cat>
          <c:val>
            <c:numRef>
              <c:f>Visuals!$D$14:$D$19</c:f>
            </c:numRef>
          </c:val>
        </c:ser>
        <c:overlap val="100"/>
        <c:axId val="1590911481"/>
        <c:axId val="805489974"/>
      </c:barChart>
      <c:catAx>
        <c:axId val="1590911481"/>
        <c:scaling>
          <c:orientation val="minMax"/>
        </c:scaling>
        <c:delete val="0"/>
        <c:axPos val="b"/>
        <c:txPr>
          <a:bodyPr/>
          <a:lstStyle/>
          <a:p>
            <a:pPr lvl="0">
              <a:defRPr sz="1100">
                <a:solidFill>
                  <a:srgbClr val="222222"/>
                </a:solidFill>
              </a:defRPr>
            </a:pPr>
          </a:p>
        </c:txPr>
        <c:crossAx val="805489974"/>
      </c:catAx>
      <c:valAx>
        <c:axId val="805489974"/>
        <c:scaling>
          <c:orientation val="minMax"/>
          <c:max val="500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a:pPr>
                <a:r>
                  <a:t>Amounts in tonnes</a:t>
                </a:r>
              </a:p>
            </c:rich>
          </c:tx>
          <c:overlay val="0"/>
        </c:title>
        <c:numFmt formatCode="General" sourceLinked="1"/>
        <c:tickLblPos val="nextTo"/>
        <c:spPr>
          <a:ln w="47625">
            <a:noFill/>
          </a:ln>
        </c:spPr>
        <c:txPr>
          <a:bodyPr/>
          <a:lstStyle/>
          <a:p>
            <a:pPr lvl="0">
              <a:defRPr/>
            </a:pPr>
          </a:p>
        </c:txPr>
        <c:crossAx val="1590911481"/>
      </c:valAx>
    </c:plotArea>
    <c:legend>
      <c:legendPos val="r"/>
      <c:overlay val="0"/>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latin typeface="Arial"/>
              </a:defRPr>
            </a:pPr>
            <a:r>
              <a:t>Fe in commercial appliances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Visuals!$A$158:$A$179</c:f>
            </c:strRef>
          </c:cat>
          <c:val>
            <c:numRef>
              <c:f>Visuals!$B$158:$B$179</c:f>
            </c:numRef>
          </c:val>
        </c:ser>
        <c:dLbls>
          <c:showLegendKey val="0"/>
          <c:showVal val="0"/>
          <c:showCatName val="0"/>
          <c:showSerName val="0"/>
          <c:showPercent val="0"/>
          <c:showBubbleSize val="0"/>
        </c:dLbls>
        <c:firstSliceAng val="0"/>
      </c:pieChart>
    </c:plotArea>
    <c:legend>
      <c:legendPos val="r"/>
      <c:overlay val="0"/>
      <c:txPr>
        <a:bodyPr/>
        <a:lstStyle/>
        <a:p>
          <a:pPr lvl="0">
            <a:defRPr sz="800">
              <a:solidFill>
                <a:srgbClr val="222222"/>
              </a:solidFill>
              <a:latin typeface="Arial"/>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Al in  commercial appliances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Visuals!$A$158:$A$179</c:f>
            </c:strRef>
          </c:cat>
          <c:val>
            <c:numRef>
              <c:f>Visuals!$C$158:$C$179</c:f>
            </c:numRef>
          </c:val>
        </c:ser>
        <c:dLbls>
          <c:showLegendKey val="0"/>
          <c:showVal val="0"/>
          <c:showCatName val="0"/>
          <c:showSerName val="0"/>
          <c:showPercent val="0"/>
          <c:showBubbleSize val="0"/>
        </c:dLbls>
        <c:firstSliceAng val="0"/>
      </c:pieChart>
    </c:plotArea>
    <c:legend>
      <c:legendPos val="r"/>
      <c:overlay val="0"/>
      <c:txPr>
        <a:bodyPr/>
        <a:lstStyle/>
        <a:p>
          <a:pPr lvl="0">
            <a:defRPr sz="1000">
              <a:solidFill>
                <a:srgbClr val="222222"/>
              </a:solidFill>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Cu in commercial appliances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Visuals!$A$158:$A$179</c:f>
            </c:strRef>
          </c:cat>
          <c:val>
            <c:numRef>
              <c:f>Visuals!$D$158:$D$179</c:f>
            </c:numRef>
          </c:val>
        </c:ser>
        <c:dLbls>
          <c:showLegendKey val="0"/>
          <c:showVal val="0"/>
          <c:showCatName val="0"/>
          <c:showSerName val="0"/>
          <c:showPercent val="0"/>
          <c:showBubbleSize val="0"/>
        </c:dLbls>
        <c:firstSliceAng val="0"/>
      </c:pieChart>
    </c:plotArea>
    <c:legend>
      <c:legendPos val="r"/>
      <c:overlay val="0"/>
      <c:txPr>
        <a:bodyPr/>
        <a:lstStyle/>
        <a:p>
          <a:pPr lvl="0">
            <a:defRPr sz="1000">
              <a:solidFill>
                <a:srgbClr val="222222"/>
              </a:solidFill>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Al distribution in household appliances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Visuals!$A$134:$A$145</c:f>
            </c:strRef>
          </c:cat>
          <c:val>
            <c:numRef>
              <c:f>Visuals!$C$134:$C$145</c:f>
            </c:numRef>
          </c:val>
        </c:ser>
        <c:dLbls>
          <c:showLegendKey val="0"/>
          <c:showVal val="0"/>
          <c:showCatName val="0"/>
          <c:showSerName val="0"/>
          <c:showPercent val="0"/>
          <c:showBubbleSize val="0"/>
        </c:dLbls>
        <c:firstSliceAng val="0"/>
      </c:pieChart>
    </c:plotArea>
    <c:legend>
      <c:legendPos val="r"/>
      <c:overlay val="0"/>
      <c:txPr>
        <a:bodyPr/>
        <a:lstStyle/>
        <a:p>
          <a:pPr lvl="0">
            <a:defRPr sz="1000">
              <a:solidFill>
                <a:srgbClr val="222222"/>
              </a:solidFill>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Cu distribution in household appliances </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Visuals!$A$134:$A$145</c:f>
            </c:strRef>
          </c:cat>
          <c:val>
            <c:numRef>
              <c:f>Visuals!$D$134:$D$145</c:f>
            </c:numRef>
          </c:val>
        </c:ser>
        <c:dLbls>
          <c:showLegendKey val="0"/>
          <c:showVal val="0"/>
          <c:showCatName val="0"/>
          <c:showSerName val="0"/>
          <c:showPercent val="0"/>
          <c:showBubbleSize val="0"/>
        </c:dLbls>
        <c:firstSliceAng val="0"/>
      </c:pieChart>
    </c:plotArea>
    <c:legend>
      <c:legendPos val="r"/>
      <c:overlay val="0"/>
      <c:txPr>
        <a:bodyPr/>
        <a:lstStyle/>
        <a:p>
          <a:pPr lvl="0">
            <a:defRPr sz="1000">
              <a:solidFill>
                <a:srgbClr val="222222"/>
              </a:solidFill>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Fe distribution for public goods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Visuals!$A$262:$A$288</c:f>
            </c:strRef>
          </c:cat>
          <c:val>
            <c:numRef>
              <c:f>Visuals!$B$262:$B$288</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Al distribution for public goods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Visuals!$A$263:$A$288</c:f>
            </c:strRef>
          </c:cat>
          <c:val>
            <c:numRef>
              <c:f>Visuals!$C$263:$C$286</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Cu distribution for public goods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Visuals!$A$263:$A$288</c:f>
            </c:strRef>
          </c:cat>
          <c:val>
            <c:numRef>
              <c:f>Visuals!$D$263:$D$286</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Metals per category in Noord</a:t>
            </a:r>
          </a:p>
        </c:rich>
      </c:tx>
      <c:overlay val="0"/>
    </c:title>
    <c:plotArea>
      <c:layout/>
      <c:barChart>
        <c:barDir val="col"/>
        <c:grouping val="stacked"/>
        <c:ser>
          <c:idx val="0"/>
          <c:order val="0"/>
          <c:tx>
            <c:strRef>
              <c:f>Visuals!$B$23</c:f>
            </c:strRef>
          </c:tx>
          <c:spPr>
            <a:solidFill>
              <a:srgbClr val="3366CC"/>
            </a:solidFill>
          </c:spPr>
          <c:cat>
            <c:strRef>
              <c:f>Visuals!$A$24:$A$29</c:f>
            </c:strRef>
          </c:cat>
          <c:val>
            <c:numRef>
              <c:f>Visuals!$B$24:$B$29</c:f>
            </c:numRef>
          </c:val>
        </c:ser>
        <c:ser>
          <c:idx val="1"/>
          <c:order val="1"/>
          <c:tx>
            <c:strRef>
              <c:f>Visuals!$C$23</c:f>
            </c:strRef>
          </c:tx>
          <c:spPr>
            <a:solidFill>
              <a:srgbClr val="DC3912"/>
            </a:solidFill>
          </c:spPr>
          <c:cat>
            <c:strRef>
              <c:f>Visuals!$A$24:$A$29</c:f>
            </c:strRef>
          </c:cat>
          <c:val>
            <c:numRef>
              <c:f>Visuals!$C$24:$C$29</c:f>
            </c:numRef>
          </c:val>
        </c:ser>
        <c:ser>
          <c:idx val="2"/>
          <c:order val="2"/>
          <c:tx>
            <c:strRef>
              <c:f>Visuals!$D$23</c:f>
            </c:strRef>
          </c:tx>
          <c:spPr>
            <a:solidFill>
              <a:srgbClr val="FF9900"/>
            </a:solidFill>
          </c:spPr>
          <c:cat>
            <c:strRef>
              <c:f>Visuals!$A$24:$A$29</c:f>
            </c:strRef>
          </c:cat>
          <c:val>
            <c:numRef>
              <c:f>Visuals!$D$24:$D$29</c:f>
            </c:numRef>
          </c:val>
        </c:ser>
        <c:overlap val="100"/>
        <c:axId val="500048744"/>
        <c:axId val="53762402"/>
      </c:barChart>
      <c:catAx>
        <c:axId val="500048744"/>
        <c:scaling>
          <c:orientation val="minMax"/>
        </c:scaling>
        <c:delete val="0"/>
        <c:axPos val="b"/>
        <c:title>
          <c:tx>
            <c:rich>
              <a:bodyPr/>
              <a:lstStyle/>
              <a:p>
                <a:pPr lvl="0">
                  <a:defRPr/>
                </a:pPr>
                <a:r>
                  <a:t>Category</a:t>
                </a:r>
              </a:p>
            </c:rich>
          </c:tx>
          <c:overlay val="0"/>
        </c:title>
        <c:txPr>
          <a:bodyPr/>
          <a:lstStyle/>
          <a:p>
            <a:pPr lvl="0">
              <a:defRPr sz="1100">
                <a:solidFill>
                  <a:srgbClr val="222222"/>
                </a:solidFill>
              </a:defRPr>
            </a:pPr>
          </a:p>
        </c:txPr>
        <c:crossAx val="53762402"/>
      </c:catAx>
      <c:valAx>
        <c:axId val="53762402"/>
        <c:scaling>
          <c:orientation val="minMax"/>
          <c:max val="50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a:pPr>
                <a:r>
                  <a:t>Amount in tonnes</a:t>
                </a:r>
              </a:p>
            </c:rich>
          </c:tx>
          <c:overlay val="0"/>
        </c:title>
        <c:numFmt formatCode="General" sourceLinked="1"/>
        <c:tickLblPos val="nextTo"/>
        <c:spPr>
          <a:ln w="47625">
            <a:noFill/>
          </a:ln>
        </c:spPr>
        <c:txPr>
          <a:bodyPr/>
          <a:lstStyle/>
          <a:p>
            <a:pPr lvl="0">
              <a:defRPr/>
            </a:pPr>
          </a:p>
        </c:txPr>
        <c:crossAx val="500048744"/>
      </c:valAx>
    </c:plotArea>
    <c:legend>
      <c:legendPos val="r"/>
      <c:overlay val="0"/>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Metals per category in Centrum</a:t>
            </a:r>
          </a:p>
        </c:rich>
      </c:tx>
      <c:overlay val="0"/>
    </c:title>
    <c:plotArea>
      <c:layout/>
      <c:barChart>
        <c:barDir val="col"/>
        <c:grouping val="stacked"/>
        <c:ser>
          <c:idx val="0"/>
          <c:order val="0"/>
          <c:tx>
            <c:strRef>
              <c:f>Visuals!$B$32</c:f>
            </c:strRef>
          </c:tx>
          <c:spPr>
            <a:solidFill>
              <a:srgbClr val="3366CC"/>
            </a:solidFill>
          </c:spPr>
          <c:cat>
            <c:strRef>
              <c:f>Visuals!$A$33:$A$38</c:f>
            </c:strRef>
          </c:cat>
          <c:val>
            <c:numRef>
              <c:f>Visuals!$B$33:$B$38</c:f>
            </c:numRef>
          </c:val>
        </c:ser>
        <c:ser>
          <c:idx val="1"/>
          <c:order val="1"/>
          <c:tx>
            <c:strRef>
              <c:f>Visuals!$C$32</c:f>
            </c:strRef>
          </c:tx>
          <c:spPr>
            <a:solidFill>
              <a:srgbClr val="DC3912"/>
            </a:solidFill>
          </c:spPr>
          <c:cat>
            <c:strRef>
              <c:f>Visuals!$A$33:$A$38</c:f>
            </c:strRef>
          </c:cat>
          <c:val>
            <c:numRef>
              <c:f>Visuals!$C$33:$C$38</c:f>
            </c:numRef>
          </c:val>
        </c:ser>
        <c:ser>
          <c:idx val="2"/>
          <c:order val="2"/>
          <c:tx>
            <c:strRef>
              <c:f>Visuals!$D$32</c:f>
            </c:strRef>
          </c:tx>
          <c:spPr>
            <a:solidFill>
              <a:srgbClr val="FF9900"/>
            </a:solidFill>
          </c:spPr>
          <c:cat>
            <c:strRef>
              <c:f>Visuals!$A$33:$A$38</c:f>
            </c:strRef>
          </c:cat>
          <c:val>
            <c:numRef>
              <c:f>Visuals!$D$33:$D$38</c:f>
            </c:numRef>
          </c:val>
        </c:ser>
        <c:overlap val="100"/>
        <c:axId val="773447937"/>
        <c:axId val="1011796185"/>
      </c:barChart>
      <c:catAx>
        <c:axId val="773447937"/>
        <c:scaling>
          <c:orientation val="minMax"/>
        </c:scaling>
        <c:delete val="0"/>
        <c:axPos val="b"/>
        <c:title>
          <c:tx>
            <c:rich>
              <a:bodyPr/>
              <a:lstStyle/>
              <a:p>
                <a:pPr lvl="0">
                  <a:defRPr/>
                </a:pPr>
                <a:r>
                  <a:t>Category</a:t>
                </a:r>
              </a:p>
            </c:rich>
          </c:tx>
          <c:overlay val="0"/>
        </c:title>
        <c:txPr>
          <a:bodyPr/>
          <a:lstStyle/>
          <a:p>
            <a:pPr lvl="0">
              <a:defRPr sz="1100">
                <a:solidFill>
                  <a:srgbClr val="222222"/>
                </a:solidFill>
              </a:defRPr>
            </a:pPr>
          </a:p>
        </c:txPr>
        <c:crossAx val="1011796185"/>
      </c:catAx>
      <c:valAx>
        <c:axId val="1011796185"/>
        <c:scaling>
          <c:orientation val="minMax"/>
          <c:max val="50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a:pPr>
                <a:r>
                  <a:t>Amount in tonnes</a:t>
                </a:r>
              </a:p>
            </c:rich>
          </c:tx>
          <c:overlay val="0"/>
        </c:title>
        <c:numFmt formatCode="General" sourceLinked="1"/>
        <c:tickLblPos val="nextTo"/>
        <c:spPr>
          <a:ln w="47625">
            <a:noFill/>
          </a:ln>
        </c:spPr>
        <c:txPr>
          <a:bodyPr/>
          <a:lstStyle/>
          <a:p>
            <a:pPr lvl="0">
              <a:defRPr/>
            </a:pPr>
          </a:p>
        </c:txPr>
        <c:crossAx val="773447937"/>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Metals in household appliances per district</a:t>
            </a:r>
          </a:p>
        </c:rich>
      </c:tx>
      <c:overlay val="0"/>
    </c:title>
    <c:plotArea>
      <c:layout/>
      <c:barChart>
        <c:barDir val="col"/>
        <c:grouping val="stacked"/>
        <c:ser>
          <c:idx val="0"/>
          <c:order val="0"/>
          <c:tx>
            <c:strRef>
              <c:f>Visuals!$B$123</c:f>
            </c:strRef>
          </c:tx>
          <c:spPr>
            <a:solidFill>
              <a:srgbClr val="3366CC"/>
            </a:solidFill>
          </c:spPr>
          <c:cat>
            <c:strRef>
              <c:f>Visuals!$A$124:$A$131</c:f>
            </c:strRef>
          </c:cat>
          <c:val>
            <c:numRef>
              <c:f>Visuals!$B$124:$B$131</c:f>
            </c:numRef>
          </c:val>
        </c:ser>
        <c:ser>
          <c:idx val="1"/>
          <c:order val="1"/>
          <c:tx>
            <c:strRef>
              <c:f>Visuals!$C$123</c:f>
            </c:strRef>
          </c:tx>
          <c:spPr>
            <a:solidFill>
              <a:srgbClr val="DC3912"/>
            </a:solidFill>
          </c:spPr>
          <c:cat>
            <c:strRef>
              <c:f>Visuals!$A$124:$A$131</c:f>
            </c:strRef>
          </c:cat>
          <c:val>
            <c:numRef>
              <c:f>Visuals!$C$124:$C$131</c:f>
            </c:numRef>
          </c:val>
        </c:ser>
        <c:ser>
          <c:idx val="2"/>
          <c:order val="2"/>
          <c:tx>
            <c:strRef>
              <c:f>Visuals!$D$123</c:f>
            </c:strRef>
          </c:tx>
          <c:spPr>
            <a:solidFill>
              <a:srgbClr val="FF9900"/>
            </a:solidFill>
          </c:spPr>
          <c:cat>
            <c:strRef>
              <c:f>Visuals!$A$124:$A$131</c:f>
            </c:strRef>
          </c:cat>
          <c:val>
            <c:numRef>
              <c:f>Visuals!$D$124:$D$131</c:f>
            </c:numRef>
          </c:val>
        </c:ser>
        <c:overlap val="100"/>
        <c:axId val="696868851"/>
        <c:axId val="920058584"/>
      </c:barChart>
      <c:catAx>
        <c:axId val="696868851"/>
        <c:scaling>
          <c:orientation val="minMax"/>
        </c:scaling>
        <c:delete val="0"/>
        <c:axPos val="b"/>
        <c:title>
          <c:tx>
            <c:rich>
              <a:bodyPr/>
              <a:lstStyle/>
              <a:p>
                <a:pPr lvl="0">
                  <a:defRPr i="1" sz="1200">
                    <a:solidFill>
                      <a:srgbClr val="222222"/>
                    </a:solidFill>
                  </a:defRPr>
                </a:pPr>
                <a:r>
                  <a:t>District</a:t>
                </a:r>
              </a:p>
            </c:rich>
          </c:tx>
          <c:overlay val="0"/>
        </c:title>
        <c:txPr>
          <a:bodyPr/>
          <a:lstStyle/>
          <a:p>
            <a:pPr lvl="0">
              <a:defRPr sz="1200">
                <a:solidFill>
                  <a:srgbClr val="222222"/>
                </a:solidFill>
              </a:defRPr>
            </a:pPr>
          </a:p>
        </c:txPr>
        <c:crossAx val="920058584"/>
      </c:catAx>
      <c:valAx>
        <c:axId val="920058584"/>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i="1" sz="1200">
                    <a:solidFill>
                      <a:srgbClr val="222222"/>
                    </a:solidFill>
                  </a:defRPr>
                </a:pPr>
                <a:r>
                  <a:t>Amounts in tonnes</a:t>
                </a:r>
              </a:p>
            </c:rich>
          </c:tx>
          <c:overlay val="0"/>
        </c:title>
        <c:numFmt formatCode="General" sourceLinked="1"/>
        <c:tickLblPos val="nextTo"/>
        <c:spPr>
          <a:ln w="47625">
            <a:noFill/>
          </a:ln>
        </c:spPr>
        <c:txPr>
          <a:bodyPr/>
          <a:lstStyle/>
          <a:p>
            <a:pPr lvl="0">
              <a:defRPr/>
            </a:pPr>
          </a:p>
        </c:txPr>
        <c:crossAx val="696868851"/>
      </c:valAx>
    </c:plotArea>
    <c:legend>
      <c:legendPos val="r"/>
      <c:overlay val="0"/>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Metals per category in West-Poort</a:t>
            </a:r>
          </a:p>
        </c:rich>
      </c:tx>
      <c:overlay val="0"/>
    </c:title>
    <c:plotArea>
      <c:layout/>
      <c:barChart>
        <c:barDir val="col"/>
        <c:grouping val="stacked"/>
        <c:ser>
          <c:idx val="0"/>
          <c:order val="0"/>
          <c:tx>
            <c:strRef>
              <c:f>Visuals!$B$41</c:f>
            </c:strRef>
          </c:tx>
          <c:spPr>
            <a:solidFill>
              <a:srgbClr val="3366CC"/>
            </a:solidFill>
          </c:spPr>
          <c:cat>
            <c:strRef>
              <c:f>Visuals!$A$42:$A$47</c:f>
            </c:strRef>
          </c:cat>
          <c:val>
            <c:numRef>
              <c:f>Visuals!$B$42:$B$47</c:f>
            </c:numRef>
          </c:val>
        </c:ser>
        <c:ser>
          <c:idx val="1"/>
          <c:order val="1"/>
          <c:tx>
            <c:strRef>
              <c:f>Visuals!$C$41</c:f>
            </c:strRef>
          </c:tx>
          <c:spPr>
            <a:solidFill>
              <a:srgbClr val="DC3912"/>
            </a:solidFill>
          </c:spPr>
          <c:cat>
            <c:strRef>
              <c:f>Visuals!$A$42:$A$47</c:f>
            </c:strRef>
          </c:cat>
          <c:val>
            <c:numRef>
              <c:f>Visuals!$C$42:$C$47</c:f>
            </c:numRef>
          </c:val>
        </c:ser>
        <c:ser>
          <c:idx val="2"/>
          <c:order val="2"/>
          <c:tx>
            <c:strRef>
              <c:f>Visuals!$D$41</c:f>
            </c:strRef>
          </c:tx>
          <c:spPr>
            <a:solidFill>
              <a:srgbClr val="FF9900"/>
            </a:solidFill>
          </c:spPr>
          <c:cat>
            <c:strRef>
              <c:f>Visuals!$A$42:$A$47</c:f>
            </c:strRef>
          </c:cat>
          <c:val>
            <c:numRef>
              <c:f>Visuals!$D$42:$D$47</c:f>
            </c:numRef>
          </c:val>
        </c:ser>
        <c:overlap val="100"/>
        <c:axId val="2025065819"/>
        <c:axId val="1502847305"/>
      </c:barChart>
      <c:catAx>
        <c:axId val="2025065819"/>
        <c:scaling>
          <c:orientation val="minMax"/>
        </c:scaling>
        <c:delete val="0"/>
        <c:axPos val="b"/>
        <c:title>
          <c:tx>
            <c:rich>
              <a:bodyPr/>
              <a:lstStyle/>
              <a:p>
                <a:pPr lvl="0">
                  <a:defRPr/>
                </a:pPr>
                <a:r>
                  <a:t>Category</a:t>
                </a:r>
              </a:p>
            </c:rich>
          </c:tx>
          <c:overlay val="0"/>
        </c:title>
        <c:txPr>
          <a:bodyPr/>
          <a:lstStyle/>
          <a:p>
            <a:pPr lvl="0">
              <a:defRPr sz="1100">
                <a:solidFill>
                  <a:srgbClr val="222222"/>
                </a:solidFill>
              </a:defRPr>
            </a:pPr>
          </a:p>
        </c:txPr>
        <c:crossAx val="1502847305"/>
      </c:catAx>
      <c:valAx>
        <c:axId val="1502847305"/>
        <c:scaling>
          <c:orientation val="minMax"/>
          <c:max val="50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a:pPr>
                <a:r>
                  <a:t>Amount in tonnes</a:t>
                </a:r>
              </a:p>
            </c:rich>
          </c:tx>
          <c:overlay val="0"/>
        </c:title>
        <c:numFmt formatCode="General" sourceLinked="1"/>
        <c:tickLblPos val="nextTo"/>
        <c:spPr>
          <a:ln w="47625">
            <a:noFill/>
          </a:ln>
        </c:spPr>
        <c:txPr>
          <a:bodyPr/>
          <a:lstStyle/>
          <a:p>
            <a:pPr lvl="0">
              <a:defRPr/>
            </a:pPr>
          </a:p>
        </c:txPr>
        <c:crossAx val="2025065819"/>
      </c:valAx>
    </c:plotArea>
    <c:legend>
      <c:legendPos val="r"/>
      <c:overlay val="0"/>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Metals per category in West</a:t>
            </a:r>
          </a:p>
        </c:rich>
      </c:tx>
      <c:overlay val="0"/>
    </c:title>
    <c:plotArea>
      <c:layout/>
      <c:barChart>
        <c:barDir val="col"/>
        <c:grouping val="stacked"/>
        <c:ser>
          <c:idx val="0"/>
          <c:order val="0"/>
          <c:tx>
            <c:strRef>
              <c:f>Visuals!$B$50</c:f>
            </c:strRef>
          </c:tx>
          <c:spPr>
            <a:solidFill>
              <a:srgbClr val="3366CC"/>
            </a:solidFill>
          </c:spPr>
          <c:cat>
            <c:strRef>
              <c:f>Visuals!$A$51:$A$56</c:f>
            </c:strRef>
          </c:cat>
          <c:val>
            <c:numRef>
              <c:f>Visuals!$B$51:$B$56</c:f>
            </c:numRef>
          </c:val>
        </c:ser>
        <c:ser>
          <c:idx val="1"/>
          <c:order val="1"/>
          <c:tx>
            <c:strRef>
              <c:f>Visuals!$C$50</c:f>
            </c:strRef>
          </c:tx>
          <c:spPr>
            <a:solidFill>
              <a:srgbClr val="DC3912"/>
            </a:solidFill>
          </c:spPr>
          <c:cat>
            <c:strRef>
              <c:f>Visuals!$A$51:$A$56</c:f>
            </c:strRef>
          </c:cat>
          <c:val>
            <c:numRef>
              <c:f>Visuals!$C$51:$C$56</c:f>
            </c:numRef>
          </c:val>
        </c:ser>
        <c:ser>
          <c:idx val="2"/>
          <c:order val="2"/>
          <c:tx>
            <c:strRef>
              <c:f>Visuals!$D$50</c:f>
            </c:strRef>
          </c:tx>
          <c:spPr>
            <a:solidFill>
              <a:srgbClr val="FF9900"/>
            </a:solidFill>
          </c:spPr>
          <c:cat>
            <c:strRef>
              <c:f>Visuals!$A$51:$A$56</c:f>
            </c:strRef>
          </c:cat>
          <c:val>
            <c:numRef>
              <c:f>Visuals!$D$51:$D$56</c:f>
            </c:numRef>
          </c:val>
        </c:ser>
        <c:overlap val="100"/>
        <c:axId val="401551569"/>
        <c:axId val="1918226492"/>
      </c:barChart>
      <c:catAx>
        <c:axId val="401551569"/>
        <c:scaling>
          <c:orientation val="minMax"/>
        </c:scaling>
        <c:delete val="0"/>
        <c:axPos val="b"/>
        <c:title>
          <c:tx>
            <c:rich>
              <a:bodyPr/>
              <a:lstStyle/>
              <a:p>
                <a:pPr lvl="0">
                  <a:defRPr/>
                </a:pPr>
                <a:r>
                  <a:t>Category</a:t>
                </a:r>
              </a:p>
            </c:rich>
          </c:tx>
          <c:overlay val="0"/>
        </c:title>
        <c:txPr>
          <a:bodyPr/>
          <a:lstStyle/>
          <a:p>
            <a:pPr lvl="0">
              <a:defRPr sz="1100">
                <a:solidFill>
                  <a:srgbClr val="222222"/>
                </a:solidFill>
              </a:defRPr>
            </a:pPr>
          </a:p>
        </c:txPr>
        <c:crossAx val="1918226492"/>
      </c:catAx>
      <c:valAx>
        <c:axId val="1918226492"/>
        <c:scaling>
          <c:orientation val="minMax"/>
          <c:max val="50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a:pPr>
                <a:r>
                  <a:t>Amount in tonnes</a:t>
                </a:r>
              </a:p>
            </c:rich>
          </c:tx>
          <c:overlay val="0"/>
        </c:title>
        <c:numFmt formatCode="General" sourceLinked="1"/>
        <c:tickLblPos val="nextTo"/>
        <c:spPr>
          <a:ln w="47625">
            <a:noFill/>
          </a:ln>
        </c:spPr>
        <c:txPr>
          <a:bodyPr/>
          <a:lstStyle/>
          <a:p>
            <a:pPr lvl="0">
              <a:defRPr/>
            </a:pPr>
          </a:p>
        </c:txPr>
        <c:crossAx val="401551569"/>
      </c:valAx>
    </c:plotArea>
    <c:legend>
      <c:legendPos val="r"/>
      <c:overlay val="0"/>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Metals per category in Nieuw-West</a:t>
            </a:r>
          </a:p>
        </c:rich>
      </c:tx>
      <c:overlay val="0"/>
    </c:title>
    <c:plotArea>
      <c:layout/>
      <c:barChart>
        <c:barDir val="col"/>
        <c:grouping val="stacked"/>
        <c:ser>
          <c:idx val="0"/>
          <c:order val="0"/>
          <c:tx>
            <c:strRef>
              <c:f>Visuals!$B$59</c:f>
            </c:strRef>
          </c:tx>
          <c:spPr>
            <a:solidFill>
              <a:srgbClr val="3366CC"/>
            </a:solidFill>
          </c:spPr>
          <c:cat>
            <c:strRef>
              <c:f>Visuals!$A$60:$A$65</c:f>
            </c:strRef>
          </c:cat>
          <c:val>
            <c:numRef>
              <c:f>Visuals!$B$60:$B$65</c:f>
            </c:numRef>
          </c:val>
        </c:ser>
        <c:ser>
          <c:idx val="1"/>
          <c:order val="1"/>
          <c:tx>
            <c:strRef>
              <c:f>Visuals!$C$59</c:f>
            </c:strRef>
          </c:tx>
          <c:spPr>
            <a:solidFill>
              <a:srgbClr val="DC3912"/>
            </a:solidFill>
          </c:spPr>
          <c:cat>
            <c:strRef>
              <c:f>Visuals!$A$60:$A$65</c:f>
            </c:strRef>
          </c:cat>
          <c:val>
            <c:numRef>
              <c:f>Visuals!$C$60:$C$65</c:f>
            </c:numRef>
          </c:val>
        </c:ser>
        <c:ser>
          <c:idx val="2"/>
          <c:order val="2"/>
          <c:tx>
            <c:strRef>
              <c:f>Visuals!$D$59</c:f>
            </c:strRef>
          </c:tx>
          <c:spPr>
            <a:solidFill>
              <a:srgbClr val="FF9900"/>
            </a:solidFill>
          </c:spPr>
          <c:cat>
            <c:strRef>
              <c:f>Visuals!$A$60:$A$65</c:f>
            </c:strRef>
          </c:cat>
          <c:val>
            <c:numRef>
              <c:f>Visuals!$D$60:$D$65</c:f>
            </c:numRef>
          </c:val>
        </c:ser>
        <c:overlap val="100"/>
        <c:axId val="274308402"/>
        <c:axId val="2022189032"/>
      </c:barChart>
      <c:catAx>
        <c:axId val="274308402"/>
        <c:scaling>
          <c:orientation val="minMax"/>
        </c:scaling>
        <c:delete val="0"/>
        <c:axPos val="b"/>
        <c:title>
          <c:tx>
            <c:rich>
              <a:bodyPr/>
              <a:lstStyle/>
              <a:p>
                <a:pPr lvl="0">
                  <a:defRPr/>
                </a:pPr>
                <a:r>
                  <a:t>Category</a:t>
                </a:r>
              </a:p>
            </c:rich>
          </c:tx>
          <c:overlay val="0"/>
        </c:title>
        <c:txPr>
          <a:bodyPr/>
          <a:lstStyle/>
          <a:p>
            <a:pPr lvl="0">
              <a:defRPr sz="1100">
                <a:solidFill>
                  <a:srgbClr val="222222"/>
                </a:solidFill>
              </a:defRPr>
            </a:pPr>
          </a:p>
        </c:txPr>
        <c:crossAx val="2022189032"/>
      </c:catAx>
      <c:valAx>
        <c:axId val="2022189032"/>
        <c:scaling>
          <c:orientation val="minMax"/>
          <c:max val="50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a:pPr>
                <a:r>
                  <a:t>Amount in tonnes</a:t>
                </a:r>
              </a:p>
            </c:rich>
          </c:tx>
          <c:overlay val="0"/>
        </c:title>
        <c:numFmt formatCode="General" sourceLinked="1"/>
        <c:tickLblPos val="nextTo"/>
        <c:spPr>
          <a:ln w="47625">
            <a:noFill/>
          </a:ln>
        </c:spPr>
        <c:txPr>
          <a:bodyPr/>
          <a:lstStyle/>
          <a:p>
            <a:pPr lvl="0">
              <a:defRPr/>
            </a:pPr>
          </a:p>
        </c:txPr>
        <c:crossAx val="274308402"/>
      </c:valAx>
    </c:plotArea>
    <c:legend>
      <c:legendPos val="r"/>
      <c:overlay val="0"/>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Metals per category in Zuid</a:t>
            </a:r>
          </a:p>
        </c:rich>
      </c:tx>
      <c:overlay val="0"/>
    </c:title>
    <c:plotArea>
      <c:layout/>
      <c:barChart>
        <c:barDir val="col"/>
        <c:grouping val="stacked"/>
        <c:ser>
          <c:idx val="0"/>
          <c:order val="0"/>
          <c:tx>
            <c:strRef>
              <c:f>Visuals!$B$68</c:f>
            </c:strRef>
          </c:tx>
          <c:spPr>
            <a:solidFill>
              <a:srgbClr val="3366CC"/>
            </a:solidFill>
          </c:spPr>
          <c:cat>
            <c:strRef>
              <c:f>Visuals!$A$69:$A$74</c:f>
            </c:strRef>
          </c:cat>
          <c:val>
            <c:numRef>
              <c:f>Visuals!$B$69:$B$74</c:f>
            </c:numRef>
          </c:val>
        </c:ser>
        <c:ser>
          <c:idx val="1"/>
          <c:order val="1"/>
          <c:tx>
            <c:strRef>
              <c:f>Visuals!$C$68</c:f>
            </c:strRef>
          </c:tx>
          <c:spPr>
            <a:solidFill>
              <a:srgbClr val="DC3912"/>
            </a:solidFill>
          </c:spPr>
          <c:cat>
            <c:strRef>
              <c:f>Visuals!$A$69:$A$74</c:f>
            </c:strRef>
          </c:cat>
          <c:val>
            <c:numRef>
              <c:f>Visuals!$C$69:$C$74</c:f>
            </c:numRef>
          </c:val>
        </c:ser>
        <c:ser>
          <c:idx val="2"/>
          <c:order val="2"/>
          <c:tx>
            <c:strRef>
              <c:f>Visuals!$D$68</c:f>
            </c:strRef>
          </c:tx>
          <c:spPr>
            <a:solidFill>
              <a:srgbClr val="FF9900"/>
            </a:solidFill>
          </c:spPr>
          <c:cat>
            <c:strRef>
              <c:f>Visuals!$A$69:$A$74</c:f>
            </c:strRef>
          </c:cat>
          <c:val>
            <c:numRef>
              <c:f>Visuals!$D$69:$D$74</c:f>
            </c:numRef>
          </c:val>
        </c:ser>
        <c:overlap val="100"/>
        <c:axId val="595596367"/>
        <c:axId val="2095702227"/>
      </c:barChart>
      <c:catAx>
        <c:axId val="595596367"/>
        <c:scaling>
          <c:orientation val="minMax"/>
        </c:scaling>
        <c:delete val="0"/>
        <c:axPos val="b"/>
        <c:title>
          <c:tx>
            <c:rich>
              <a:bodyPr/>
              <a:lstStyle/>
              <a:p>
                <a:pPr lvl="0">
                  <a:defRPr/>
                </a:pPr>
                <a:r>
                  <a:t>Category</a:t>
                </a:r>
              </a:p>
            </c:rich>
          </c:tx>
          <c:overlay val="0"/>
        </c:title>
        <c:txPr>
          <a:bodyPr/>
          <a:lstStyle/>
          <a:p>
            <a:pPr lvl="0">
              <a:defRPr sz="1100">
                <a:solidFill>
                  <a:srgbClr val="222222"/>
                </a:solidFill>
              </a:defRPr>
            </a:pPr>
          </a:p>
        </c:txPr>
        <c:crossAx val="2095702227"/>
      </c:catAx>
      <c:valAx>
        <c:axId val="2095702227"/>
        <c:scaling>
          <c:orientation val="minMax"/>
          <c:max val="50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a:pPr>
                <a:r>
                  <a:t>Amount in tonnes</a:t>
                </a:r>
              </a:p>
            </c:rich>
          </c:tx>
          <c:overlay val="0"/>
        </c:title>
        <c:numFmt formatCode="General" sourceLinked="1"/>
        <c:tickLblPos val="nextTo"/>
        <c:spPr>
          <a:ln w="47625">
            <a:noFill/>
          </a:ln>
        </c:spPr>
        <c:txPr>
          <a:bodyPr/>
          <a:lstStyle/>
          <a:p>
            <a:pPr lvl="0">
              <a:defRPr/>
            </a:pPr>
          </a:p>
        </c:txPr>
        <c:crossAx val="595596367"/>
      </c:valAx>
    </c:plotArea>
    <c:legend>
      <c:legendPos val="r"/>
      <c:overlay val="0"/>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Metals per category in Oost</a:t>
            </a:r>
          </a:p>
        </c:rich>
      </c:tx>
      <c:overlay val="0"/>
    </c:title>
    <c:plotArea>
      <c:layout/>
      <c:barChart>
        <c:barDir val="col"/>
        <c:grouping val="stacked"/>
        <c:ser>
          <c:idx val="0"/>
          <c:order val="0"/>
          <c:tx>
            <c:strRef>
              <c:f>Visuals!$B$77</c:f>
            </c:strRef>
          </c:tx>
          <c:spPr>
            <a:solidFill>
              <a:srgbClr val="3366CC"/>
            </a:solidFill>
          </c:spPr>
          <c:cat>
            <c:strRef>
              <c:f>Visuals!$A$78:$A$83</c:f>
            </c:strRef>
          </c:cat>
          <c:val>
            <c:numRef>
              <c:f>Visuals!$B$78:$B$83</c:f>
            </c:numRef>
          </c:val>
        </c:ser>
        <c:ser>
          <c:idx val="1"/>
          <c:order val="1"/>
          <c:tx>
            <c:strRef>
              <c:f>Visuals!$C$77</c:f>
            </c:strRef>
          </c:tx>
          <c:spPr>
            <a:solidFill>
              <a:srgbClr val="DC3912"/>
            </a:solidFill>
          </c:spPr>
          <c:cat>
            <c:strRef>
              <c:f>Visuals!$A$78:$A$83</c:f>
            </c:strRef>
          </c:cat>
          <c:val>
            <c:numRef>
              <c:f>Visuals!$C$78:$C$83</c:f>
            </c:numRef>
          </c:val>
        </c:ser>
        <c:ser>
          <c:idx val="2"/>
          <c:order val="2"/>
          <c:tx>
            <c:strRef>
              <c:f>Visuals!$D$77</c:f>
            </c:strRef>
          </c:tx>
          <c:spPr>
            <a:solidFill>
              <a:srgbClr val="FF9900"/>
            </a:solidFill>
          </c:spPr>
          <c:cat>
            <c:strRef>
              <c:f>Visuals!$A$78:$A$83</c:f>
            </c:strRef>
          </c:cat>
          <c:val>
            <c:numRef>
              <c:f>Visuals!$D$78:$D$83</c:f>
            </c:numRef>
          </c:val>
        </c:ser>
        <c:overlap val="100"/>
        <c:axId val="863929285"/>
        <c:axId val="2082676684"/>
      </c:barChart>
      <c:catAx>
        <c:axId val="863929285"/>
        <c:scaling>
          <c:orientation val="minMax"/>
        </c:scaling>
        <c:delete val="0"/>
        <c:axPos val="b"/>
        <c:title>
          <c:tx>
            <c:rich>
              <a:bodyPr/>
              <a:lstStyle/>
              <a:p>
                <a:pPr lvl="0">
                  <a:defRPr/>
                </a:pPr>
                <a:r>
                  <a:t>Category</a:t>
                </a:r>
              </a:p>
            </c:rich>
          </c:tx>
          <c:overlay val="0"/>
        </c:title>
        <c:txPr>
          <a:bodyPr/>
          <a:lstStyle/>
          <a:p>
            <a:pPr lvl="0">
              <a:defRPr sz="1100">
                <a:solidFill>
                  <a:srgbClr val="222222"/>
                </a:solidFill>
              </a:defRPr>
            </a:pPr>
          </a:p>
        </c:txPr>
        <c:crossAx val="2082676684"/>
      </c:catAx>
      <c:valAx>
        <c:axId val="2082676684"/>
        <c:scaling>
          <c:orientation val="minMax"/>
          <c:max val="50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a:pPr>
                <a:r>
                  <a:t>Amount in tonnes</a:t>
                </a:r>
              </a:p>
            </c:rich>
          </c:tx>
          <c:overlay val="0"/>
        </c:title>
        <c:numFmt formatCode="General" sourceLinked="1"/>
        <c:tickLblPos val="nextTo"/>
        <c:spPr>
          <a:ln w="47625">
            <a:noFill/>
          </a:ln>
        </c:spPr>
        <c:txPr>
          <a:bodyPr/>
          <a:lstStyle/>
          <a:p>
            <a:pPr lvl="0">
              <a:defRPr/>
            </a:pPr>
          </a:p>
        </c:txPr>
        <c:crossAx val="863929285"/>
      </c:valAx>
    </c:plotArea>
    <c:legend>
      <c:legendPos val="r"/>
      <c:overlay val="0"/>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Metals per category in Zuid-Oost</a:t>
            </a:r>
          </a:p>
        </c:rich>
      </c:tx>
      <c:overlay val="0"/>
    </c:title>
    <c:plotArea>
      <c:layout/>
      <c:barChart>
        <c:barDir val="col"/>
        <c:grouping val="stacked"/>
        <c:ser>
          <c:idx val="0"/>
          <c:order val="0"/>
          <c:tx>
            <c:strRef>
              <c:f>Visuals!$B$86</c:f>
            </c:strRef>
          </c:tx>
          <c:spPr>
            <a:solidFill>
              <a:srgbClr val="3366CC"/>
            </a:solidFill>
          </c:spPr>
          <c:cat>
            <c:strRef>
              <c:f>Visuals!$A$87:$A$92</c:f>
            </c:strRef>
          </c:cat>
          <c:val>
            <c:numRef>
              <c:f>Visuals!$B$87:$B$92</c:f>
            </c:numRef>
          </c:val>
        </c:ser>
        <c:ser>
          <c:idx val="1"/>
          <c:order val="1"/>
          <c:tx>
            <c:strRef>
              <c:f>Visuals!$C$86</c:f>
            </c:strRef>
          </c:tx>
          <c:spPr>
            <a:solidFill>
              <a:srgbClr val="DC3912"/>
            </a:solidFill>
          </c:spPr>
          <c:cat>
            <c:strRef>
              <c:f>Visuals!$A$87:$A$92</c:f>
            </c:strRef>
          </c:cat>
          <c:val>
            <c:numRef>
              <c:f>Visuals!$C$87:$C$92</c:f>
            </c:numRef>
          </c:val>
        </c:ser>
        <c:ser>
          <c:idx val="2"/>
          <c:order val="2"/>
          <c:tx>
            <c:strRef>
              <c:f>Visuals!$D$86</c:f>
            </c:strRef>
          </c:tx>
          <c:spPr>
            <a:solidFill>
              <a:srgbClr val="FF9900"/>
            </a:solidFill>
          </c:spPr>
          <c:cat>
            <c:strRef>
              <c:f>Visuals!$A$87:$A$92</c:f>
            </c:strRef>
          </c:cat>
          <c:val>
            <c:numRef>
              <c:f>Visuals!$D$87:$D$92</c:f>
            </c:numRef>
          </c:val>
        </c:ser>
        <c:overlap val="100"/>
        <c:axId val="1894568351"/>
        <c:axId val="1935422517"/>
      </c:barChart>
      <c:catAx>
        <c:axId val="1894568351"/>
        <c:scaling>
          <c:orientation val="minMax"/>
        </c:scaling>
        <c:delete val="0"/>
        <c:axPos val="b"/>
        <c:title>
          <c:tx>
            <c:rich>
              <a:bodyPr/>
              <a:lstStyle/>
              <a:p>
                <a:pPr lvl="0">
                  <a:defRPr/>
                </a:pPr>
                <a:r>
                  <a:t>Category</a:t>
                </a:r>
              </a:p>
            </c:rich>
          </c:tx>
          <c:overlay val="0"/>
        </c:title>
        <c:txPr>
          <a:bodyPr/>
          <a:lstStyle/>
          <a:p>
            <a:pPr lvl="0">
              <a:defRPr sz="1100">
                <a:solidFill>
                  <a:srgbClr val="222222"/>
                </a:solidFill>
              </a:defRPr>
            </a:pPr>
          </a:p>
        </c:txPr>
        <c:crossAx val="1935422517"/>
      </c:catAx>
      <c:valAx>
        <c:axId val="1935422517"/>
        <c:scaling>
          <c:orientation val="minMax"/>
          <c:max val="50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a:pPr>
                <a:r>
                  <a:t>Amount in tonnes</a:t>
                </a:r>
              </a:p>
            </c:rich>
          </c:tx>
          <c:overlay val="0"/>
        </c:title>
        <c:numFmt formatCode="General" sourceLinked="1"/>
        <c:tickLblPos val="nextTo"/>
        <c:spPr>
          <a:ln w="47625">
            <a:noFill/>
          </a:ln>
        </c:spPr>
        <c:txPr>
          <a:bodyPr/>
          <a:lstStyle/>
          <a:p>
            <a:pPr lvl="0">
              <a:defRPr/>
            </a:pPr>
          </a:p>
        </c:txPr>
        <c:crossAx val="1894568351"/>
      </c:valAx>
    </c:plotArea>
    <c:legend>
      <c:legendPos val="r"/>
      <c:overlay val="0"/>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Metals in public goods per district</a:t>
            </a:r>
          </a:p>
        </c:rich>
      </c:tx>
      <c:overlay val="0"/>
    </c:title>
    <c:plotArea>
      <c:layout/>
      <c:barChart>
        <c:barDir val="col"/>
        <c:grouping val="stacked"/>
        <c:ser>
          <c:idx val="0"/>
          <c:order val="0"/>
          <c:tx>
            <c:strRef>
              <c:f>Visuals!$B$251</c:f>
            </c:strRef>
          </c:tx>
          <c:spPr>
            <a:solidFill>
              <a:srgbClr val="3366CC"/>
            </a:solidFill>
          </c:spPr>
          <c:cat>
            <c:strRef>
              <c:f>Visuals!$A$252:$A$259</c:f>
            </c:strRef>
          </c:cat>
          <c:val>
            <c:numRef>
              <c:f>Visuals!$B$252:$B$259</c:f>
            </c:numRef>
          </c:val>
        </c:ser>
        <c:ser>
          <c:idx val="1"/>
          <c:order val="1"/>
          <c:tx>
            <c:strRef>
              <c:f>Visuals!$C$251</c:f>
            </c:strRef>
          </c:tx>
          <c:spPr>
            <a:solidFill>
              <a:srgbClr val="DC3912"/>
            </a:solidFill>
          </c:spPr>
          <c:cat>
            <c:strRef>
              <c:f>Visuals!$A$252:$A$259</c:f>
            </c:strRef>
          </c:cat>
          <c:val>
            <c:numRef>
              <c:f>Visuals!$C$252:$C$259</c:f>
            </c:numRef>
          </c:val>
        </c:ser>
        <c:ser>
          <c:idx val="2"/>
          <c:order val="2"/>
          <c:tx>
            <c:strRef>
              <c:f>Visuals!$D$251</c:f>
            </c:strRef>
          </c:tx>
          <c:spPr>
            <a:solidFill>
              <a:srgbClr val="FF9900"/>
            </a:solidFill>
          </c:spPr>
          <c:cat>
            <c:strRef>
              <c:f>Visuals!$A$252:$A$259</c:f>
            </c:strRef>
          </c:cat>
          <c:val>
            <c:numRef>
              <c:f>Visuals!$D$252:$D$259</c:f>
            </c:numRef>
          </c:val>
        </c:ser>
        <c:overlap val="100"/>
        <c:axId val="2085747139"/>
        <c:axId val="1290913348"/>
      </c:barChart>
      <c:catAx>
        <c:axId val="2085747139"/>
        <c:scaling>
          <c:orientation val="minMax"/>
        </c:scaling>
        <c:delete val="0"/>
        <c:axPos val="b"/>
        <c:title>
          <c:tx>
            <c:rich>
              <a:bodyPr/>
              <a:lstStyle/>
              <a:p>
                <a:pPr lvl="0">
                  <a:defRPr/>
                </a:pPr>
                <a:r>
                  <a:t>Region</a:t>
                </a:r>
              </a:p>
            </c:rich>
          </c:tx>
          <c:overlay val="0"/>
        </c:title>
        <c:txPr>
          <a:bodyPr/>
          <a:lstStyle/>
          <a:p>
            <a:pPr lvl="0">
              <a:defRPr/>
            </a:pPr>
          </a:p>
        </c:txPr>
        <c:crossAx val="1290913348"/>
      </c:catAx>
      <c:valAx>
        <c:axId val="1290913348"/>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a:pPr>
                <a:r>
                  <a:t>Amount in tonnes</a:t>
                </a:r>
              </a:p>
            </c:rich>
          </c:tx>
          <c:overlay val="0"/>
        </c:title>
        <c:numFmt formatCode="General" sourceLinked="1"/>
        <c:tickLblPos val="nextTo"/>
        <c:spPr>
          <a:ln w="47625">
            <a:noFill/>
          </a:ln>
        </c:spPr>
        <c:txPr>
          <a:bodyPr/>
          <a:lstStyle/>
          <a:p>
            <a:pPr lvl="0">
              <a:defRPr/>
            </a:pPr>
          </a:p>
        </c:txPr>
        <c:crossAx val="2085747139"/>
      </c:valAx>
    </c:plotArea>
    <c:legend>
      <c:legendPos val="r"/>
      <c:overlay val="0"/>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Fe, Al and Cu in Industrial Goods</a:t>
            </a:r>
          </a:p>
        </c:rich>
      </c:tx>
      <c:overlay val="0"/>
    </c:title>
    <c:plotArea>
      <c:layout/>
      <c:barChart>
        <c:barDir val="col"/>
        <c:grouping val="stacked"/>
        <c:ser>
          <c:idx val="0"/>
          <c:order val="0"/>
          <c:tx>
            <c:strRef>
              <c:f>Visuals!$B$182</c:f>
            </c:strRef>
          </c:tx>
          <c:spPr>
            <a:solidFill>
              <a:srgbClr val="3366CC"/>
            </a:solidFill>
          </c:spPr>
          <c:cat>
            <c:strRef>
              <c:f>Visuals!$A$183:$A$190</c:f>
            </c:strRef>
          </c:cat>
          <c:val>
            <c:numRef>
              <c:f>Visuals!$B$183:$B$190</c:f>
            </c:numRef>
          </c:val>
        </c:ser>
        <c:ser>
          <c:idx val="1"/>
          <c:order val="1"/>
          <c:tx>
            <c:strRef>
              <c:f>Visuals!$C$182</c:f>
            </c:strRef>
          </c:tx>
          <c:spPr>
            <a:solidFill>
              <a:srgbClr val="DC3912"/>
            </a:solidFill>
          </c:spPr>
          <c:cat>
            <c:strRef>
              <c:f>Visuals!$A$183:$A$190</c:f>
            </c:strRef>
          </c:cat>
          <c:val>
            <c:numRef>
              <c:f>Visuals!$C$183:$C$190</c:f>
            </c:numRef>
          </c:val>
        </c:ser>
        <c:ser>
          <c:idx val="2"/>
          <c:order val="2"/>
          <c:tx>
            <c:strRef>
              <c:f>Visuals!$D$182</c:f>
            </c:strRef>
          </c:tx>
          <c:spPr>
            <a:solidFill>
              <a:srgbClr val="FF9900"/>
            </a:solidFill>
          </c:spPr>
          <c:cat>
            <c:strRef>
              <c:f>Visuals!$A$183:$A$190</c:f>
            </c:strRef>
          </c:cat>
          <c:val>
            <c:numRef>
              <c:f>Visuals!$D$183:$D$190</c:f>
            </c:numRef>
          </c:val>
        </c:ser>
        <c:overlap val="100"/>
        <c:axId val="429452454"/>
        <c:axId val="1040949427"/>
      </c:barChart>
      <c:catAx>
        <c:axId val="429452454"/>
        <c:scaling>
          <c:orientation val="minMax"/>
        </c:scaling>
        <c:delete val="0"/>
        <c:axPos val="b"/>
        <c:title>
          <c:tx>
            <c:rich>
              <a:bodyPr/>
              <a:lstStyle/>
              <a:p>
                <a:pPr lvl="0">
                  <a:defRPr/>
                </a:pPr>
                <a:r>
                  <a:t>Region</a:t>
                </a:r>
              </a:p>
            </c:rich>
          </c:tx>
          <c:overlay val="0"/>
        </c:title>
        <c:txPr>
          <a:bodyPr/>
          <a:lstStyle/>
          <a:p>
            <a:pPr lvl="0">
              <a:defRPr/>
            </a:pPr>
          </a:p>
        </c:txPr>
        <c:crossAx val="1040949427"/>
      </c:catAx>
      <c:valAx>
        <c:axId val="1040949427"/>
        <c:scaling>
          <c:orientation val="minMax"/>
        </c:scaling>
        <c:delete val="0"/>
        <c:axPos val="l"/>
        <c:majorGridlines>
          <c:spPr>
            <a:ln>
              <a:solidFill>
                <a:srgbClr val="B7B7B7"/>
              </a:solidFill>
            </a:ln>
          </c:spPr>
        </c:majorGridlines>
        <c:minorGridlines>
          <c:spPr>
            <a:ln>
              <a:solidFill>
                <a:srgbClr val="CCCCCC"/>
              </a:solidFill>
            </a:ln>
          </c:spPr>
        </c:minorGridlines>
        <c:numFmt formatCode="General" sourceLinked="1"/>
        <c:tickLblPos val="nextTo"/>
        <c:spPr>
          <a:ln w="47625">
            <a:noFill/>
          </a:ln>
        </c:spPr>
        <c:txPr>
          <a:bodyPr/>
          <a:lstStyle/>
          <a:p>
            <a:pPr lvl="0">
              <a:defRPr/>
            </a:pPr>
          </a:p>
        </c:txPr>
        <c:crossAx val="429452454"/>
      </c:valAx>
    </c:plotArea>
    <c:legend>
      <c:legendPos val="r"/>
      <c:overlay val="0"/>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Al distribution among categories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Visuals!$A$13:$A$19</c:f>
            </c:strRef>
          </c:cat>
          <c:val>
            <c:numRef>
              <c:f>Visuals!$C$13:$C$19</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Fe distribution in transport</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'TO DELETEHIDE'!$AY$65:$AY$74</c:f>
            </c:strRef>
          </c:cat>
          <c:val>
            <c:numRef>
              <c:f>'TO DELETEHIDE'!$AZ$65:$AZ$74</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Fe distribution in household appliances</a:t>
            </a:r>
          </a:p>
        </c:rich>
      </c:tx>
      <c:overlay val="0"/>
    </c:title>
    <c:plotArea>
      <c:layout/>
      <c:pieChart>
        <c:varyColors val="1"/>
        <c:ser>
          <c:idx val="0"/>
          <c:order val="0"/>
          <c:tx>
            <c:strRef>
              <c:f>Visuals!$B$133</c:f>
            </c:strRef>
          </c:tx>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Visuals!$A$134:$A$145</c:f>
            </c:strRef>
          </c:cat>
          <c:val>
            <c:numRef>
              <c:f>Visuals!$B$134:$B$145</c:f>
            </c:numRef>
          </c:val>
        </c:ser>
        <c:dLbls>
          <c:showLegendKey val="0"/>
          <c:showVal val="0"/>
          <c:showCatName val="0"/>
          <c:showSerName val="0"/>
          <c:showPercent val="0"/>
          <c:showBubbleSize val="0"/>
        </c:dLbls>
        <c:firstSliceAng val="0"/>
      </c:pieChart>
    </c:plotArea>
    <c:legend>
      <c:legendPos val="r"/>
      <c:overlay val="0"/>
      <c:txPr>
        <a:bodyPr/>
        <a:lstStyle/>
        <a:p>
          <a:pPr lvl="0">
            <a:defRPr sz="1000">
              <a:solidFill>
                <a:srgbClr val="222222"/>
              </a:solidFill>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Al distribution in transport</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'TO DELETEHIDE'!$AY$65:$AY$74</c:f>
            </c:strRef>
          </c:cat>
          <c:val>
            <c:numRef>
              <c:f>'TO DELETEHIDE'!$BA$65:$BA$74</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Cu distribution in transport</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'TO DELETEHIDE'!$AY$65:$AY$74</c:f>
            </c:strRef>
          </c:cat>
          <c:val>
            <c:numRef>
              <c:f>'TO DELETEHIDE'!$BB$65:$BB$74</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Metals in commercial equipment per district</a:t>
            </a:r>
          </a:p>
        </c:rich>
      </c:tx>
      <c:overlay val="0"/>
    </c:title>
    <c:plotArea>
      <c:layout/>
      <c:barChart>
        <c:barDir val="col"/>
        <c:grouping val="stacked"/>
        <c:ser>
          <c:idx val="0"/>
          <c:order val="0"/>
          <c:tx>
            <c:strRef>
              <c:f>Visuals!$B$148</c:f>
            </c:strRef>
          </c:tx>
          <c:spPr>
            <a:solidFill>
              <a:srgbClr val="3366CC"/>
            </a:solidFill>
          </c:spPr>
          <c:cat>
            <c:strRef>
              <c:f>Visuals!$A$149:$A$156</c:f>
            </c:strRef>
          </c:cat>
          <c:val>
            <c:numRef>
              <c:f>Visuals!$B$149:$B$156</c:f>
            </c:numRef>
          </c:val>
        </c:ser>
        <c:ser>
          <c:idx val="1"/>
          <c:order val="1"/>
          <c:tx>
            <c:strRef>
              <c:f>Visuals!$C$148</c:f>
            </c:strRef>
          </c:tx>
          <c:spPr>
            <a:solidFill>
              <a:srgbClr val="DC3912"/>
            </a:solidFill>
          </c:spPr>
          <c:cat>
            <c:strRef>
              <c:f>Visuals!$A$149:$A$156</c:f>
            </c:strRef>
          </c:cat>
          <c:val>
            <c:numRef>
              <c:f>Visuals!$C$149:$C$156</c:f>
            </c:numRef>
          </c:val>
        </c:ser>
        <c:ser>
          <c:idx val="2"/>
          <c:order val="2"/>
          <c:tx>
            <c:strRef>
              <c:f>Visuals!$D$148</c:f>
            </c:strRef>
          </c:tx>
          <c:spPr>
            <a:solidFill>
              <a:srgbClr val="FF9900"/>
            </a:solidFill>
          </c:spPr>
          <c:cat>
            <c:strRef>
              <c:f>Visuals!$A$149:$A$156</c:f>
            </c:strRef>
          </c:cat>
          <c:val>
            <c:numRef>
              <c:f>Visuals!$D$149:$D$156</c:f>
            </c:numRef>
          </c:val>
        </c:ser>
        <c:overlap val="100"/>
        <c:axId val="1121020314"/>
        <c:axId val="1723809467"/>
      </c:barChart>
      <c:catAx>
        <c:axId val="1121020314"/>
        <c:scaling>
          <c:orientation val="minMax"/>
        </c:scaling>
        <c:delete val="0"/>
        <c:axPos val="b"/>
        <c:title>
          <c:tx>
            <c:rich>
              <a:bodyPr/>
              <a:lstStyle/>
              <a:p>
                <a:pPr lvl="0">
                  <a:defRPr i="1" sz="1200">
                    <a:solidFill>
                      <a:srgbClr val="222222"/>
                    </a:solidFill>
                  </a:defRPr>
                </a:pPr>
                <a:r>
                  <a:t>District</a:t>
                </a:r>
              </a:p>
            </c:rich>
          </c:tx>
          <c:overlay val="0"/>
        </c:title>
        <c:txPr>
          <a:bodyPr/>
          <a:lstStyle/>
          <a:p>
            <a:pPr lvl="0">
              <a:defRPr sz="1200">
                <a:solidFill>
                  <a:srgbClr val="222222"/>
                </a:solidFill>
              </a:defRPr>
            </a:pPr>
          </a:p>
        </c:txPr>
        <c:crossAx val="1723809467"/>
      </c:catAx>
      <c:valAx>
        <c:axId val="1723809467"/>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i="1" sz="1200">
                    <a:solidFill>
                      <a:srgbClr val="222222"/>
                    </a:solidFill>
                  </a:defRPr>
                </a:pPr>
                <a:r>
                  <a:t>Amounts in tonnes</a:t>
                </a:r>
              </a:p>
            </c:rich>
          </c:tx>
          <c:overlay val="0"/>
        </c:title>
        <c:numFmt formatCode="General" sourceLinked="1"/>
        <c:tickLblPos val="nextTo"/>
        <c:spPr>
          <a:ln w="47625">
            <a:noFill/>
          </a:ln>
        </c:spPr>
        <c:txPr>
          <a:bodyPr/>
          <a:lstStyle/>
          <a:p>
            <a:pPr lvl="0">
              <a:defRPr/>
            </a:pPr>
          </a:p>
        </c:txPr>
        <c:crossAx val="1121020314"/>
      </c:valAx>
    </c:plotArea>
    <c:legend>
      <c:legendPos val="r"/>
      <c:overlay val="0"/>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Fe distribution among categories</a:t>
            </a:r>
          </a:p>
        </c:rich>
      </c:tx>
      <c:overlay val="0"/>
    </c:title>
    <c:plotArea>
      <c:layout/>
      <c:pieChart>
        <c:varyColors val="1"/>
        <c:ser>
          <c:idx val="0"/>
          <c:order val="0"/>
          <c:tx>
            <c:strRef>
              <c:f>Visuals!$B$13</c:f>
            </c:strRef>
          </c:tx>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Visuals!$A$14:$A$19</c:f>
            </c:strRef>
          </c:cat>
          <c:val>
            <c:numRef>
              <c:f>Visuals!$B$14:$B$19</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Cu distribution among categories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Visuals!$A$13:$A$19</c:f>
            </c:strRef>
          </c:cat>
          <c:val>
            <c:numRef>
              <c:f>Visuals!$D$13:$D$19</c:f>
            </c:numRef>
          </c:val>
        </c:ser>
        <c:dLbls>
          <c:showLegendKey val="0"/>
          <c:showVal val="0"/>
          <c:showCatName val="0"/>
          <c:showSerName val="0"/>
          <c:showPercent val="0"/>
          <c:showBubbleSize val="0"/>
        </c:dLbls>
        <c:firstSliceAng val="0"/>
      </c:pieChart>
    </c:plotArea>
    <c:legend>
      <c:legendPos val="r"/>
      <c:overlay val="0"/>
      <c:txPr>
        <a:bodyPr/>
        <a:lstStyle/>
        <a:p>
          <a:pPr lvl="0">
            <a:defRPr sz="1200">
              <a:solidFill>
                <a:srgbClr val="222222"/>
              </a:solidFill>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Metals per district</a:t>
            </a:r>
          </a:p>
        </c:rich>
      </c:tx>
      <c:overlay val="0"/>
    </c:title>
    <c:plotArea>
      <c:layout/>
      <c:barChart>
        <c:barDir val="col"/>
        <c:grouping val="stacked"/>
        <c:ser>
          <c:idx val="0"/>
          <c:order val="0"/>
          <c:tx>
            <c:strRef>
              <c:f>Visuals!$B$3</c:f>
            </c:strRef>
          </c:tx>
          <c:spPr>
            <a:solidFill>
              <a:srgbClr val="3366CC"/>
            </a:solidFill>
          </c:spPr>
          <c:cat>
            <c:strRef>
              <c:f>Visuals!$A$4:$A$11</c:f>
            </c:strRef>
          </c:cat>
          <c:val>
            <c:numRef>
              <c:f>Visuals!$B$4:$B$11</c:f>
            </c:numRef>
          </c:val>
        </c:ser>
        <c:ser>
          <c:idx val="1"/>
          <c:order val="1"/>
          <c:tx>
            <c:strRef>
              <c:f>Visuals!$C$3</c:f>
            </c:strRef>
          </c:tx>
          <c:spPr>
            <a:solidFill>
              <a:srgbClr val="DC3912"/>
            </a:solidFill>
          </c:spPr>
          <c:cat>
            <c:strRef>
              <c:f>Visuals!$A$4:$A$11</c:f>
            </c:strRef>
          </c:cat>
          <c:val>
            <c:numRef>
              <c:f>Visuals!$C$4:$C$11</c:f>
            </c:numRef>
          </c:val>
        </c:ser>
        <c:ser>
          <c:idx val="2"/>
          <c:order val="2"/>
          <c:tx>
            <c:strRef>
              <c:f>Visuals!$D$3</c:f>
            </c:strRef>
          </c:tx>
          <c:spPr>
            <a:solidFill>
              <a:srgbClr val="FF9900"/>
            </a:solidFill>
          </c:spPr>
          <c:cat>
            <c:strRef>
              <c:f>Visuals!$A$4:$A$11</c:f>
            </c:strRef>
          </c:cat>
          <c:val>
            <c:numRef>
              <c:f>Visuals!$D$4:$D$11</c:f>
            </c:numRef>
          </c:val>
        </c:ser>
        <c:overlap val="100"/>
        <c:axId val="1966336254"/>
        <c:axId val="377253658"/>
      </c:barChart>
      <c:catAx>
        <c:axId val="1966336254"/>
        <c:scaling>
          <c:orientation val="minMax"/>
        </c:scaling>
        <c:delete val="0"/>
        <c:axPos val="b"/>
        <c:title>
          <c:tx>
            <c:rich>
              <a:bodyPr/>
              <a:lstStyle/>
              <a:p>
                <a:pPr lvl="0">
                  <a:defRPr/>
                </a:pPr>
                <a:r>
                  <a:t>Region</a:t>
                </a:r>
              </a:p>
            </c:rich>
          </c:tx>
          <c:overlay val="0"/>
        </c:title>
        <c:txPr>
          <a:bodyPr/>
          <a:lstStyle/>
          <a:p>
            <a:pPr lvl="0">
              <a:defRPr/>
            </a:pPr>
          </a:p>
        </c:txPr>
        <c:crossAx val="377253658"/>
      </c:catAx>
      <c:valAx>
        <c:axId val="377253658"/>
        <c:scaling>
          <c:orientation val="minMax"/>
          <c:max val="500000.0"/>
        </c:scaling>
        <c:delete val="0"/>
        <c:axPos val="l"/>
        <c:majorGridlines>
          <c:spPr>
            <a:ln>
              <a:solidFill>
                <a:srgbClr val="B7B7B7"/>
              </a:solidFill>
            </a:ln>
          </c:spPr>
        </c:majorGridlines>
        <c:minorGridlines>
          <c:spPr>
            <a:ln>
              <a:solidFill>
                <a:srgbClr val="CCCCCC"/>
              </a:solidFill>
            </a:ln>
          </c:spPr>
        </c:minorGridlines>
        <c:title>
          <c:tx>
            <c:rich>
              <a:bodyPr/>
              <a:lstStyle/>
              <a:p>
                <a:pPr lvl="0">
                  <a:defRPr/>
                </a:pPr>
                <a:r>
                  <a:t>Amount in tonnes</a:t>
                </a:r>
              </a:p>
            </c:rich>
          </c:tx>
          <c:overlay val="0"/>
        </c:title>
        <c:numFmt formatCode="General" sourceLinked="1"/>
        <c:tickLblPos val="nextTo"/>
        <c:spPr>
          <a:ln w="47625">
            <a:noFill/>
          </a:ln>
        </c:spPr>
        <c:txPr>
          <a:bodyPr/>
          <a:lstStyle/>
          <a:p>
            <a:pPr lvl="0">
              <a:defRPr/>
            </a:pPr>
          </a:p>
        </c:txPr>
        <c:crossAx val="1966336254"/>
      </c:valAx>
    </c:plotArea>
    <c:legend>
      <c:legendPos val="r"/>
      <c:overlay val="0"/>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Metals in Infrastructure per district</a:t>
            </a:r>
          </a:p>
        </c:rich>
      </c:tx>
      <c:overlay val="0"/>
    </c:title>
    <c:plotArea>
      <c:layout/>
      <c:barChart>
        <c:barDir val="col"/>
        <c:grouping val="stacked"/>
        <c:ser>
          <c:idx val="0"/>
          <c:order val="0"/>
          <c:tx>
            <c:strRef>
              <c:f>Visuals!$B$209</c:f>
            </c:strRef>
          </c:tx>
          <c:spPr>
            <a:solidFill>
              <a:srgbClr val="3366CC"/>
            </a:solidFill>
          </c:spPr>
          <c:cat>
            <c:strRef>
              <c:f>Visuals!$A$210:$A$217</c:f>
            </c:strRef>
          </c:cat>
          <c:val>
            <c:numRef>
              <c:f>Visuals!$B$210:$B$217</c:f>
            </c:numRef>
          </c:val>
        </c:ser>
        <c:ser>
          <c:idx val="1"/>
          <c:order val="1"/>
          <c:tx>
            <c:strRef>
              <c:f>Visuals!$C$209</c:f>
            </c:strRef>
          </c:tx>
          <c:spPr>
            <a:solidFill>
              <a:srgbClr val="DC3912"/>
            </a:solidFill>
          </c:spPr>
          <c:cat>
            <c:strRef>
              <c:f>Visuals!$A$210:$A$217</c:f>
            </c:strRef>
          </c:cat>
          <c:val>
            <c:numRef>
              <c:f>Visuals!$C$210:$C$217</c:f>
            </c:numRef>
          </c:val>
        </c:ser>
        <c:ser>
          <c:idx val="2"/>
          <c:order val="2"/>
          <c:tx>
            <c:strRef>
              <c:f>Visuals!$D$209</c:f>
            </c:strRef>
          </c:tx>
          <c:spPr>
            <a:solidFill>
              <a:srgbClr val="FF9900"/>
            </a:solidFill>
          </c:spPr>
          <c:dLbls>
            <c:txPr>
              <a:bodyPr/>
              <a:lstStyle/>
              <a:p>
                <a:pPr lvl="0">
                  <a:defRPr b="0" i="0" sz="1000"/>
                </a:pPr>
              </a:p>
            </c:txPr>
            <c:showLegendKey val="0"/>
            <c:showVal val="1"/>
            <c:showCatName val="0"/>
            <c:showSerName val="0"/>
            <c:showPercent val="0"/>
            <c:showBubbleSize val="0"/>
          </c:dLbls>
          <c:cat>
            <c:strRef>
              <c:f>Visuals!$A$210:$A$217</c:f>
            </c:strRef>
          </c:cat>
          <c:val>
            <c:numRef>
              <c:f>Visuals!$D$210:$D$217</c:f>
            </c:numRef>
          </c:val>
        </c:ser>
        <c:overlap val="100"/>
        <c:axId val="1899240975"/>
        <c:axId val="1173335205"/>
      </c:barChart>
      <c:catAx>
        <c:axId val="1899240975"/>
        <c:scaling>
          <c:orientation val="minMax"/>
        </c:scaling>
        <c:delete val="0"/>
        <c:axPos val="b"/>
        <c:title>
          <c:tx>
            <c:rich>
              <a:bodyPr/>
              <a:lstStyle/>
              <a:p>
                <a:pPr lvl="0">
                  <a:defRPr/>
                </a:pPr>
                <a:r>
                  <a:t>Region</a:t>
                </a:r>
              </a:p>
            </c:rich>
          </c:tx>
          <c:overlay val="0"/>
        </c:title>
        <c:txPr>
          <a:bodyPr/>
          <a:lstStyle/>
          <a:p>
            <a:pPr lvl="0">
              <a:defRPr/>
            </a:pPr>
          </a:p>
        </c:txPr>
        <c:crossAx val="1173335205"/>
      </c:catAx>
      <c:valAx>
        <c:axId val="1173335205"/>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a:pPr>
                <a:r>
                  <a:t>Amounts in tonnes</a:t>
                </a:r>
              </a:p>
            </c:rich>
          </c:tx>
          <c:overlay val="0"/>
        </c:title>
        <c:numFmt formatCode="General" sourceLinked="1"/>
        <c:tickLblPos val="nextTo"/>
        <c:spPr>
          <a:ln w="47625">
            <a:noFill/>
          </a:ln>
        </c:spPr>
        <c:txPr>
          <a:bodyPr/>
          <a:lstStyle/>
          <a:p>
            <a:pPr lvl="0">
              <a:defRPr/>
            </a:pPr>
          </a:p>
        </c:txPr>
        <c:crossAx val="1899240975"/>
      </c:valAx>
    </c:plotArea>
    <c:legend>
      <c:legendPos val="r"/>
      <c:overlay val="0"/>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Value of Fe, Al, and Cu in all categories</a:t>
            </a:r>
          </a:p>
        </c:rich>
      </c:tx>
      <c:overlay val="0"/>
    </c:title>
    <c:plotArea>
      <c:layout/>
      <c:barChart>
        <c:barDir val="bar"/>
        <c:grouping val="stacked"/>
        <c:ser>
          <c:idx val="0"/>
          <c:order val="0"/>
          <c:spPr>
            <a:solidFill>
              <a:srgbClr val="3366CC"/>
            </a:solidFill>
          </c:spPr>
          <c:cat>
            <c:strRef>
              <c:f>'Monetary value'!$A$7:$A$13</c:f>
            </c:strRef>
          </c:cat>
          <c:val>
            <c:numRef>
              <c:f>'Monetary value'!$B$7:$B$13</c:f>
            </c:numRef>
          </c:val>
        </c:ser>
        <c:ser>
          <c:idx val="1"/>
          <c:order val="1"/>
          <c:spPr>
            <a:solidFill>
              <a:srgbClr val="DC3912"/>
            </a:solidFill>
          </c:spPr>
          <c:cat>
            <c:strRef>
              <c:f>'Monetary value'!$A$7:$A$13</c:f>
            </c:strRef>
          </c:cat>
          <c:val>
            <c:numRef>
              <c:f>'Monetary value'!$C$7:$C$13</c:f>
            </c:numRef>
          </c:val>
        </c:ser>
        <c:ser>
          <c:idx val="2"/>
          <c:order val="2"/>
          <c:spPr>
            <a:solidFill>
              <a:srgbClr val="FF9900"/>
            </a:solidFill>
          </c:spPr>
          <c:cat>
            <c:strRef>
              <c:f>'Monetary value'!$A$7:$A$13</c:f>
            </c:strRef>
          </c:cat>
          <c:val>
            <c:numRef>
              <c:f>'Monetary value'!$D$7:$D$13</c:f>
            </c:numRef>
          </c:val>
        </c:ser>
        <c:overlap val="100"/>
        <c:axId val="2074445793"/>
        <c:axId val="730902910"/>
      </c:barChart>
      <c:catAx>
        <c:axId val="2074445793"/>
        <c:scaling>
          <c:orientation val="maxMin"/>
        </c:scaling>
        <c:delete val="0"/>
        <c:axPos val="l"/>
        <c:title>
          <c:tx>
            <c:rich>
              <a:bodyPr/>
              <a:lstStyle/>
              <a:p>
                <a:pPr lvl="0">
                  <a:defRPr/>
                </a:pPr>
                <a:r>
                  <a:t>Product categories</a:t>
                </a:r>
              </a:p>
            </c:rich>
          </c:tx>
          <c:overlay val="0"/>
        </c:title>
        <c:txPr>
          <a:bodyPr/>
          <a:lstStyle/>
          <a:p>
            <a:pPr lvl="0">
              <a:defRPr/>
            </a:pPr>
          </a:p>
        </c:txPr>
        <c:crossAx val="730902910"/>
      </c:catAx>
      <c:valAx>
        <c:axId val="730902910"/>
        <c:scaling>
          <c:orientation val="minMax"/>
        </c:scaling>
        <c:delete val="0"/>
        <c:axPos val="b"/>
        <c:majorGridlines>
          <c:spPr>
            <a:ln>
              <a:solidFill>
                <a:srgbClr val="B7B7B7"/>
              </a:solidFill>
            </a:ln>
          </c:spPr>
        </c:majorGridlines>
        <c:minorGridlines>
          <c:spPr>
            <a:ln>
              <a:solidFill>
                <a:srgbClr val="CCCCCC"/>
              </a:solidFill>
            </a:ln>
          </c:spPr>
        </c:minorGridlines>
        <c:title>
          <c:tx>
            <c:rich>
              <a:bodyPr/>
              <a:lstStyle/>
              <a:p>
                <a:pPr lvl="0">
                  <a:defRPr/>
                </a:pPr>
                <a:r>
                  <a:t>Million euros</a:t>
                </a:r>
              </a:p>
            </c:rich>
          </c:tx>
          <c:overlay val="0"/>
        </c:title>
        <c:numFmt formatCode="General" sourceLinked="1"/>
        <c:tickLblPos val="nextTo"/>
        <c:spPr>
          <a:ln w="47625">
            <a:noFill/>
          </a:ln>
        </c:spPr>
        <c:txPr>
          <a:bodyPr/>
          <a:lstStyle/>
          <a:p>
            <a:pPr lvl="0">
              <a:defRPr/>
            </a:pPr>
          </a:p>
        </c:txPr>
        <c:crossAx val="2074445793"/>
        <c:crosses val="max"/>
      </c:valAx>
    </c:plotArea>
    <c:legend>
      <c:legendPos val="r"/>
      <c:overlay val="0"/>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Metals in transport per district</a:t>
            </a:r>
          </a:p>
        </c:rich>
      </c:tx>
      <c:overlay val="0"/>
    </c:title>
    <c:plotArea>
      <c:layout/>
      <c:barChart>
        <c:barDir val="col"/>
        <c:grouping val="stacked"/>
        <c:ser>
          <c:idx val="0"/>
          <c:order val="0"/>
          <c:tx>
            <c:strRef>
              <c:f>Visuals!$B$96</c:f>
            </c:strRef>
          </c:tx>
          <c:spPr>
            <a:solidFill>
              <a:srgbClr val="3366CC"/>
            </a:solidFill>
          </c:spPr>
          <c:cat>
            <c:strRef>
              <c:f>Visuals!$A$97:$A$104</c:f>
            </c:strRef>
          </c:cat>
          <c:val>
            <c:numRef>
              <c:f>Visuals!$B$97:$B$104</c:f>
            </c:numRef>
          </c:val>
        </c:ser>
        <c:ser>
          <c:idx val="1"/>
          <c:order val="1"/>
          <c:tx>
            <c:strRef>
              <c:f>Visuals!$C$96</c:f>
            </c:strRef>
          </c:tx>
          <c:spPr>
            <a:solidFill>
              <a:srgbClr val="DC3912"/>
            </a:solidFill>
          </c:spPr>
          <c:cat>
            <c:strRef>
              <c:f>Visuals!$A$97:$A$104</c:f>
            </c:strRef>
          </c:cat>
          <c:val>
            <c:numRef>
              <c:f>Visuals!$C$97:$C$104</c:f>
            </c:numRef>
          </c:val>
        </c:ser>
        <c:ser>
          <c:idx val="2"/>
          <c:order val="2"/>
          <c:tx>
            <c:strRef>
              <c:f>Visuals!$D$96</c:f>
            </c:strRef>
          </c:tx>
          <c:spPr>
            <a:solidFill>
              <a:srgbClr val="FF9900"/>
            </a:solidFill>
          </c:spPr>
          <c:cat>
            <c:strRef>
              <c:f>Visuals!$A$97:$A$104</c:f>
            </c:strRef>
          </c:cat>
          <c:val>
            <c:numRef>
              <c:f>Visuals!$D$97:$D$104</c:f>
            </c:numRef>
          </c:val>
        </c:ser>
        <c:overlap val="100"/>
        <c:axId val="1096658087"/>
        <c:axId val="936010767"/>
      </c:barChart>
      <c:catAx>
        <c:axId val="1096658087"/>
        <c:scaling>
          <c:orientation val="minMax"/>
        </c:scaling>
        <c:delete val="0"/>
        <c:axPos val="b"/>
        <c:title>
          <c:tx>
            <c:rich>
              <a:bodyPr/>
              <a:lstStyle/>
              <a:p>
                <a:pPr lvl="0">
                  <a:defRPr/>
                </a:pPr>
                <a:r>
                  <a:t>Region</a:t>
                </a:r>
              </a:p>
            </c:rich>
          </c:tx>
          <c:overlay val="0"/>
        </c:title>
        <c:txPr>
          <a:bodyPr/>
          <a:lstStyle/>
          <a:p>
            <a:pPr lvl="0">
              <a:defRPr/>
            </a:pPr>
          </a:p>
        </c:txPr>
        <c:crossAx val="936010767"/>
      </c:catAx>
      <c:valAx>
        <c:axId val="936010767"/>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a:pPr>
                <a:r>
                  <a:t>Amount in tonnes</a:t>
                </a:r>
              </a:p>
            </c:rich>
          </c:tx>
          <c:overlay val="0"/>
        </c:title>
        <c:numFmt formatCode="General" sourceLinked="1"/>
        <c:tickLblPos val="nextTo"/>
        <c:spPr>
          <a:ln w="47625">
            <a:noFill/>
          </a:ln>
        </c:spPr>
        <c:txPr>
          <a:bodyPr/>
          <a:lstStyle/>
          <a:p>
            <a:pPr lvl="0">
              <a:defRPr/>
            </a:pPr>
          </a:p>
        </c:txPr>
        <c:crossAx val="1096658087"/>
      </c:valAx>
    </c:plotArea>
    <c:legend>
      <c:legendPos val="r"/>
      <c:overlay val="0"/>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Fe distribution per infrastructure product</a:t>
            </a:r>
          </a:p>
        </c:rich>
      </c:tx>
      <c:overlay val="0"/>
    </c:title>
    <c:plotArea>
      <c:layout/>
      <c:pieChart>
        <c:varyColors val="1"/>
        <c:ser>
          <c:idx val="0"/>
          <c:order val="0"/>
          <c:tx>
            <c:strRef>
              <c:f>Visuals!$B$219</c:f>
            </c:strRef>
          </c:tx>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Visuals!$A$220:$A$248</c:f>
            </c:strRef>
          </c:cat>
          <c:val>
            <c:numRef>
              <c:f>Visuals!$B$220:$B$248</c:f>
            </c:numRef>
          </c:val>
        </c:ser>
        <c:dLbls>
          <c:showLegendKey val="0"/>
          <c:showVal val="0"/>
          <c:showCatName val="0"/>
          <c:showSerName val="0"/>
          <c:showPercent val="0"/>
          <c:showBubbleSize val="0"/>
        </c:dLbls>
        <c:firstSliceAng val="0"/>
      </c:pieChart>
    </c:plotArea>
    <c:legend>
      <c:legendPos val="r"/>
      <c:overlay val="0"/>
      <c:txPr>
        <a:bodyPr/>
        <a:lstStyle/>
        <a:p>
          <a:pPr lvl="0">
            <a:defRPr sz="1000">
              <a:solidFill>
                <a:srgbClr val="222222"/>
              </a:solidFill>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Cu distribution per infrastructure product</a:t>
            </a:r>
          </a:p>
        </c:rich>
      </c:tx>
      <c:overlay val="0"/>
    </c:title>
    <c:plotArea>
      <c:layout/>
      <c:pieChart>
        <c:varyColors val="1"/>
        <c:ser>
          <c:idx val="0"/>
          <c:order val="0"/>
          <c:tx>
            <c:strRef>
              <c:f>Visuals!$D$219</c:f>
            </c:strRef>
          </c:tx>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Visuals!$A$220:$A$248</c:f>
            </c:strRef>
          </c:cat>
          <c:val>
            <c:numRef>
              <c:f>Visuals!$D$220:$D$248</c:f>
            </c:numRef>
          </c:val>
        </c:ser>
        <c:dLbls>
          <c:showLegendKey val="0"/>
          <c:showVal val="0"/>
          <c:showCatName val="0"/>
          <c:showSerName val="0"/>
          <c:showPercent val="0"/>
          <c:showBubbleSize val="0"/>
        </c:dLbls>
        <c:firstSliceAng val="0"/>
      </c:pieChart>
    </c:plotArea>
    <c:legend>
      <c:legendPos val="r"/>
      <c:overlay val="0"/>
      <c:txPr>
        <a:bodyPr/>
        <a:lstStyle/>
        <a:p>
          <a:pPr lvl="0">
            <a:defRPr sz="1000">
              <a:solidFill>
                <a:srgbClr val="222222"/>
              </a:solidFill>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Fe in Industrial appliances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Visuals!$A$194:$A$206</c:f>
            </c:strRef>
          </c:cat>
          <c:val>
            <c:numRef>
              <c:f>Visuals!$B$194:$B$206</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Al in Industrial appliances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Visuals!$A$194:$A$206</c:f>
            </c:strRef>
          </c:cat>
          <c:val>
            <c:numRef>
              <c:f>Visuals!$C$194:$C$206</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Cu in Industrial appliances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Visuals!$A$194:$A$206</c:f>
            </c:strRef>
          </c:cat>
          <c:val>
            <c:numRef>
              <c:f>Visuals!$D$194:$D$206</c:f>
            </c:numRef>
          </c:val>
        </c:ser>
        <c:dLbls>
          <c:showLegendKey val="0"/>
          <c:showVal val="0"/>
          <c:showCatName val="0"/>
          <c:showSerName val="0"/>
          <c:showPercent val="0"/>
          <c:showBubbleSize val="0"/>
        </c:dLbls>
        <c:firstSliceAng val="0"/>
      </c:pieChart>
    </c:plotArea>
    <c:legend>
      <c:legendPos val="r"/>
      <c:overlay val="0"/>
    </c:legend>
    <c:plotVisOnly val="1"/>
  </c:chart>
</c:chartSpace>
</file>

<file path=xl/drawings/_rels/worksheetdrawing5.xml.rels><?xml version="1.0" encoding="UTF-8" standalone="yes"?><Relationships xmlns="http://schemas.openxmlformats.org/package/2006/relationships"><Relationship Id="rId20" Type="http://schemas.openxmlformats.org/officeDocument/2006/relationships/chart" Target="../charts/chart20.xml"/><Relationship Id="rId22" Type="http://schemas.openxmlformats.org/officeDocument/2006/relationships/chart" Target="../charts/chart22.xml"/><Relationship Id="rId21" Type="http://schemas.openxmlformats.org/officeDocument/2006/relationships/chart" Target="../charts/chart21.xml"/><Relationship Id="rId24" Type="http://schemas.openxmlformats.org/officeDocument/2006/relationships/chart" Target="../charts/chart24.xml"/><Relationship Id="rId23" Type="http://schemas.openxmlformats.org/officeDocument/2006/relationships/chart" Target="../charts/chart23.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26" Type="http://schemas.openxmlformats.org/officeDocument/2006/relationships/chart" Target="../charts/chart26.xml"/><Relationship Id="rId25" Type="http://schemas.openxmlformats.org/officeDocument/2006/relationships/chart" Target="../charts/chart25.xml"/><Relationship Id="rId28" Type="http://schemas.openxmlformats.org/officeDocument/2006/relationships/chart" Target="../charts/chart28.xml"/><Relationship Id="rId27" Type="http://schemas.openxmlformats.org/officeDocument/2006/relationships/chart" Target="../charts/chart27.xml"/><Relationship Id="rId5" Type="http://schemas.openxmlformats.org/officeDocument/2006/relationships/chart" Target="../charts/chart5.xml"/><Relationship Id="rId6" Type="http://schemas.openxmlformats.org/officeDocument/2006/relationships/chart" Target="../charts/chart6.xml"/><Relationship Id="rId29" Type="http://schemas.openxmlformats.org/officeDocument/2006/relationships/chart" Target="../charts/chart29.xml"/><Relationship Id="rId7" Type="http://schemas.openxmlformats.org/officeDocument/2006/relationships/chart" Target="../charts/chart7.xml"/><Relationship Id="rId8" Type="http://schemas.openxmlformats.org/officeDocument/2006/relationships/chart" Target="../charts/chart8.xml"/><Relationship Id="rId31" Type="http://schemas.openxmlformats.org/officeDocument/2006/relationships/chart" Target="../charts/chart31.xml"/><Relationship Id="rId30" Type="http://schemas.openxmlformats.org/officeDocument/2006/relationships/chart" Target="../charts/chart30.xml"/><Relationship Id="rId11" Type="http://schemas.openxmlformats.org/officeDocument/2006/relationships/chart" Target="../charts/chart11.xml"/><Relationship Id="rId33" Type="http://schemas.openxmlformats.org/officeDocument/2006/relationships/chart" Target="../charts/chart33.xml"/><Relationship Id="rId10" Type="http://schemas.openxmlformats.org/officeDocument/2006/relationships/chart" Target="../charts/chart10.xml"/><Relationship Id="rId32" Type="http://schemas.openxmlformats.org/officeDocument/2006/relationships/chart" Target="../charts/chart32.xml"/><Relationship Id="rId13" Type="http://schemas.openxmlformats.org/officeDocument/2006/relationships/chart" Target="../charts/chart13.xml"/><Relationship Id="rId35" Type="http://schemas.openxmlformats.org/officeDocument/2006/relationships/chart" Target="../charts/chart35.xml"/><Relationship Id="rId12" Type="http://schemas.openxmlformats.org/officeDocument/2006/relationships/chart" Target="../charts/chart12.xml"/><Relationship Id="rId34" Type="http://schemas.openxmlformats.org/officeDocument/2006/relationships/chart" Target="../charts/chart34.xml"/><Relationship Id="rId15" Type="http://schemas.openxmlformats.org/officeDocument/2006/relationships/chart" Target="../charts/chart15.xml"/><Relationship Id="rId14" Type="http://schemas.openxmlformats.org/officeDocument/2006/relationships/chart" Target="../charts/chart14.xml"/><Relationship Id="rId36" Type="http://schemas.openxmlformats.org/officeDocument/2006/relationships/chart" Target="../charts/chart36.xml"/><Relationship Id="rId17" Type="http://schemas.openxmlformats.org/officeDocument/2006/relationships/chart" Target="../charts/chart17.xml"/><Relationship Id="rId16" Type="http://schemas.openxmlformats.org/officeDocument/2006/relationships/chart" Target="../charts/chart16.xml"/><Relationship Id="rId19" Type="http://schemas.openxmlformats.org/officeDocument/2006/relationships/chart" Target="../charts/chart19.xml"/><Relationship Id="rId18" Type="http://schemas.openxmlformats.org/officeDocument/2006/relationships/chart" Target="../charts/chart18.xml"/></Relationships>
</file>

<file path=xl/drawings/_rels/worksheetdrawing6.xml.rels><?xml version="1.0" encoding="UTF-8" standalone="yes"?><Relationships xmlns="http://schemas.openxmlformats.org/package/2006/relationships"><Relationship Id="rId1" Type="http://schemas.openxmlformats.org/officeDocument/2006/relationships/chart" Target="../charts/chart37.xml"/></Relationships>
</file>

<file path=xl/drawings/_rels/worksheetdrawing9.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1133475</xdr:colOff>
      <xdr:row>1</xdr:row>
      <xdr:rowOff>114300</xdr:rowOff>
    </xdr:from>
    <xdr:to>
      <xdr:col>2</xdr:col>
      <xdr:colOff>1238250</xdr:colOff>
      <xdr:row>9</xdr:row>
      <xdr:rowOff>171450</xdr:rowOff>
    </xdr:to>
    <xdr:sp>
      <xdr:nvSpPr>
        <xdr:cNvPr id="3" name="Shape 3"/>
        <xdr:cNvSpPr txBox="1"/>
      </xdr:nvSpPr>
      <xdr:spPr>
        <a:xfrm>
          <a:off x="1095375" y="1285875"/>
          <a:ext cx="2676600" cy="1562100"/>
        </a:xfrm>
        <a:prstGeom prst="rect">
          <a:avLst/>
        </a:prstGeom>
        <a:solidFill>
          <a:srgbClr val="6FA8DC"/>
        </a:solidFill>
        <a:ln>
          <a:noFill/>
        </a:ln>
      </xdr:spPr>
      <xdr:txBody>
        <a:bodyPr anchorCtr="0" anchor="t" bIns="91425" lIns="91425" rIns="91425" tIns="91425">
          <a:noAutofit/>
        </a:bodyPr>
        <a:lstStyle/>
        <a:p>
          <a:pPr lvl="0" rtl="0" algn="l">
            <a:spcBef>
              <a:spcPts val="0"/>
            </a:spcBef>
            <a:buNone/>
          </a:pPr>
          <a:r>
            <a:rPr lang="en-US" sz="1000">
              <a:latin typeface="Calibri"/>
              <a:ea typeface="Calibri"/>
              <a:cs typeface="Calibri"/>
              <a:sym typeface="Calibri"/>
            </a:rPr>
            <a:t>Dear viewer,</a:t>
          </a:r>
        </a:p>
        <a:p>
          <a:pPr lvl="0" rtl="0" algn="l">
            <a:spcBef>
              <a:spcPts val="0"/>
            </a:spcBef>
            <a:buNone/>
          </a:pPr>
          <a:r>
            <a:t/>
          </a:r>
          <a:endParaRPr sz="1000">
            <a:latin typeface="Calibri"/>
            <a:ea typeface="Calibri"/>
            <a:cs typeface="Calibri"/>
            <a:sym typeface="Calibri"/>
          </a:endParaRPr>
        </a:p>
        <a:p>
          <a:pPr lvl="0" algn="l">
            <a:spcBef>
              <a:spcPts val="0"/>
            </a:spcBef>
            <a:buNone/>
          </a:pPr>
          <a:r>
            <a:rPr lang="en-US" sz="1000">
              <a:latin typeface="Calibri"/>
              <a:ea typeface="Calibri"/>
              <a:cs typeface="Calibri"/>
              <a:sym typeface="Calibri"/>
            </a:rPr>
            <a:t>Welcome to the IPG PUMA database. This database contains details on research for the amount of Iron, Aluminium and Copper regarding products not related to buildings. If you find data or assumptions you have suggestions of improvement for, please send an email to sidneyniccolson@gmail.com. </a:t>
          </a:r>
        </a:p>
      </xdr:txBody>
    </xdr:sp>
    <xdr:clientData fLocksWithSheet="0"/>
  </xdr:twoCell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9</xdr:col>
      <xdr:colOff>1143000</xdr:colOff>
      <xdr:row>2</xdr:row>
      <xdr:rowOff>123825</xdr:rowOff>
    </xdr:from>
    <xdr:to>
      <xdr:col>13</xdr:col>
      <xdr:colOff>904875</xdr:colOff>
      <xdr:row>19</xdr:row>
      <xdr:rowOff>19050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4</xdr:col>
      <xdr:colOff>723900</xdr:colOff>
      <xdr:row>124</xdr:row>
      <xdr:rowOff>47625</xdr:rowOff>
    </xdr:from>
    <xdr:to>
      <xdr:col>9</xdr:col>
      <xdr:colOff>895350</xdr:colOff>
      <xdr:row>142</xdr:row>
      <xdr:rowOff>104775</xdr:rowOff>
    </xdr:to>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10</xdr:col>
      <xdr:colOff>361950</xdr:colOff>
      <xdr:row>124</xdr:row>
      <xdr:rowOff>66675</xdr:rowOff>
    </xdr:from>
    <xdr:to>
      <xdr:col>15</xdr:col>
      <xdr:colOff>219075</xdr:colOff>
      <xdr:row>142</xdr:row>
      <xdr:rowOff>104775</xdr:rowOff>
    </xdr:to>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4</xdr:col>
      <xdr:colOff>733425</xdr:colOff>
      <xdr:row>96</xdr:row>
      <xdr:rowOff>9525</xdr:rowOff>
    </xdr:from>
    <xdr:to>
      <xdr:col>9</xdr:col>
      <xdr:colOff>800100</xdr:colOff>
      <xdr:row>114</xdr:row>
      <xdr:rowOff>9525</xdr:rowOff>
    </xdr:to>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twoCellAnchor>
  <xdr:twoCellAnchor>
    <xdr:from>
      <xdr:col>10</xdr:col>
      <xdr:colOff>419100</xdr:colOff>
      <xdr:row>212</xdr:row>
      <xdr:rowOff>57150</xdr:rowOff>
    </xdr:from>
    <xdr:to>
      <xdr:col>15</xdr:col>
      <xdr:colOff>276225</xdr:colOff>
      <xdr:row>234</xdr:row>
      <xdr:rowOff>28575</xdr:rowOff>
    </xdr:to>
    <xdr:graphicFrame>
      <xdr:nvGraphicFramePr>
        <xdr:cNvPr id="5" name="Chart 5" title="Diagram"/>
        <xdr:cNvGraphicFramePr/>
      </xdr:nvGraphicFramePr>
      <xdr:xfrm>
        <a:off x="0" y="0"/>
        <a:ext cx="0" cy="0"/>
      </xdr:xfrm>
      <a:graphic>
        <a:graphicData uri="http://schemas.openxmlformats.org/drawingml/2006/chart">
          <c:chart r:id="rId5"/>
        </a:graphicData>
      </a:graphic>
    </xdr:graphicFrame>
    <xdr:clientData fLocksWithSheet="0"/>
  </xdr:twoCellAnchor>
  <xdr:twoCellAnchor>
    <xdr:from>
      <xdr:col>15</xdr:col>
      <xdr:colOff>676275</xdr:colOff>
      <xdr:row>212</xdr:row>
      <xdr:rowOff>19050</xdr:rowOff>
    </xdr:from>
    <xdr:to>
      <xdr:col>20</xdr:col>
      <xdr:colOff>352425</xdr:colOff>
      <xdr:row>230</xdr:row>
      <xdr:rowOff>152400</xdr:rowOff>
    </xdr:to>
    <xdr:graphicFrame>
      <xdr:nvGraphicFramePr>
        <xdr:cNvPr id="6" name="Chart 6" title="Diagram"/>
        <xdr:cNvGraphicFramePr/>
      </xdr:nvGraphicFramePr>
      <xdr:xfrm>
        <a:off x="0" y="0"/>
        <a:ext cx="0" cy="0"/>
      </xdr:xfrm>
      <a:graphic>
        <a:graphicData uri="http://schemas.openxmlformats.org/drawingml/2006/chart">
          <c:chart r:id="rId6"/>
        </a:graphicData>
      </a:graphic>
    </xdr:graphicFrame>
    <xdr:clientData fLocksWithSheet="0"/>
  </xdr:twoCellAnchor>
  <xdr:twoCellAnchor>
    <xdr:from>
      <xdr:col>10</xdr:col>
      <xdr:colOff>342900</xdr:colOff>
      <xdr:row>185</xdr:row>
      <xdr:rowOff>38100</xdr:rowOff>
    </xdr:from>
    <xdr:to>
      <xdr:col>15</xdr:col>
      <xdr:colOff>295275</xdr:colOff>
      <xdr:row>203</xdr:row>
      <xdr:rowOff>142875</xdr:rowOff>
    </xdr:to>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twoCellAnchor>
  <xdr:twoCellAnchor>
    <xdr:from>
      <xdr:col>15</xdr:col>
      <xdr:colOff>666750</xdr:colOff>
      <xdr:row>185</xdr:row>
      <xdr:rowOff>47625</xdr:rowOff>
    </xdr:from>
    <xdr:to>
      <xdr:col>20</xdr:col>
      <xdr:colOff>381000</xdr:colOff>
      <xdr:row>203</xdr:row>
      <xdr:rowOff>152400</xdr:rowOff>
    </xdr:to>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twoCellAnchor>
  <xdr:twoCellAnchor>
    <xdr:from>
      <xdr:col>20</xdr:col>
      <xdr:colOff>790575</xdr:colOff>
      <xdr:row>185</xdr:row>
      <xdr:rowOff>57150</xdr:rowOff>
    </xdr:from>
    <xdr:to>
      <xdr:col>25</xdr:col>
      <xdr:colOff>742950</xdr:colOff>
      <xdr:row>203</xdr:row>
      <xdr:rowOff>161925</xdr:rowOff>
    </xdr:to>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twoCellAnchor>
  <xdr:twoCellAnchor>
    <xdr:from>
      <xdr:col>10</xdr:col>
      <xdr:colOff>361950</xdr:colOff>
      <xdr:row>154</xdr:row>
      <xdr:rowOff>19050</xdr:rowOff>
    </xdr:from>
    <xdr:to>
      <xdr:col>15</xdr:col>
      <xdr:colOff>228600</xdr:colOff>
      <xdr:row>174</xdr:row>
      <xdr:rowOff>0</xdr:rowOff>
    </xdr:to>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twoCellAnchor>
  <xdr:twoCellAnchor>
    <xdr:from>
      <xdr:col>15</xdr:col>
      <xdr:colOff>581025</xdr:colOff>
      <xdr:row>154</xdr:row>
      <xdr:rowOff>9525</xdr:rowOff>
    </xdr:from>
    <xdr:to>
      <xdr:col>20</xdr:col>
      <xdr:colOff>371475</xdr:colOff>
      <xdr:row>172</xdr:row>
      <xdr:rowOff>85725</xdr:rowOff>
    </xdr:to>
    <xdr:graphicFrame>
      <xdr:nvGraphicFramePr>
        <xdr:cNvPr id="11" name="Chart 11" title="Chart"/>
        <xdr:cNvGraphicFramePr/>
      </xdr:nvGraphicFramePr>
      <xdr:xfrm>
        <a:off x="0" y="0"/>
        <a:ext cx="0" cy="0"/>
      </xdr:xfrm>
      <a:graphic>
        <a:graphicData uri="http://schemas.openxmlformats.org/drawingml/2006/chart">
          <c:chart r:id="rId11"/>
        </a:graphicData>
      </a:graphic>
    </xdr:graphicFrame>
    <xdr:clientData fLocksWithSheet="0"/>
  </xdr:twoCellAnchor>
  <xdr:twoCellAnchor>
    <xdr:from>
      <xdr:col>20</xdr:col>
      <xdr:colOff>752475</xdr:colOff>
      <xdr:row>153</xdr:row>
      <xdr:rowOff>180975</xdr:rowOff>
    </xdr:from>
    <xdr:to>
      <xdr:col>25</xdr:col>
      <xdr:colOff>704850</xdr:colOff>
      <xdr:row>172</xdr:row>
      <xdr:rowOff>95250</xdr:rowOff>
    </xdr:to>
    <xdr:graphicFrame>
      <xdr:nvGraphicFramePr>
        <xdr:cNvPr id="12" name="Chart 12" title="Chart"/>
        <xdr:cNvGraphicFramePr/>
      </xdr:nvGraphicFramePr>
      <xdr:xfrm>
        <a:off x="0" y="0"/>
        <a:ext cx="0" cy="0"/>
      </xdr:xfrm>
      <a:graphic>
        <a:graphicData uri="http://schemas.openxmlformats.org/drawingml/2006/chart">
          <c:chart r:id="rId12"/>
        </a:graphicData>
      </a:graphic>
    </xdr:graphicFrame>
    <xdr:clientData fLocksWithSheet="0"/>
  </xdr:twoCellAnchor>
  <xdr:twoCellAnchor>
    <xdr:from>
      <xdr:col>15</xdr:col>
      <xdr:colOff>523875</xdr:colOff>
      <xdr:row>124</xdr:row>
      <xdr:rowOff>76200</xdr:rowOff>
    </xdr:from>
    <xdr:to>
      <xdr:col>20</xdr:col>
      <xdr:colOff>371475</xdr:colOff>
      <xdr:row>142</xdr:row>
      <xdr:rowOff>114300</xdr:rowOff>
    </xdr:to>
    <xdr:graphicFrame>
      <xdr:nvGraphicFramePr>
        <xdr:cNvPr id="13" name="Chart 13" title="Chart"/>
        <xdr:cNvGraphicFramePr/>
      </xdr:nvGraphicFramePr>
      <xdr:xfrm>
        <a:off x="0" y="0"/>
        <a:ext cx="0" cy="0"/>
      </xdr:xfrm>
      <a:graphic>
        <a:graphicData uri="http://schemas.openxmlformats.org/drawingml/2006/chart">
          <c:chart r:id="rId13"/>
        </a:graphicData>
      </a:graphic>
    </xdr:graphicFrame>
    <xdr:clientData fLocksWithSheet="0"/>
  </xdr:twoCellAnchor>
  <xdr:twoCellAnchor>
    <xdr:from>
      <xdr:col>20</xdr:col>
      <xdr:colOff>704850</xdr:colOff>
      <xdr:row>124</xdr:row>
      <xdr:rowOff>85725</xdr:rowOff>
    </xdr:from>
    <xdr:to>
      <xdr:col>25</xdr:col>
      <xdr:colOff>523875</xdr:colOff>
      <xdr:row>142</xdr:row>
      <xdr:rowOff>104775</xdr:rowOff>
    </xdr:to>
    <xdr:graphicFrame>
      <xdr:nvGraphicFramePr>
        <xdr:cNvPr id="14" name="Chart 14" title="Chart"/>
        <xdr:cNvGraphicFramePr/>
      </xdr:nvGraphicFramePr>
      <xdr:xfrm>
        <a:off x="0" y="0"/>
        <a:ext cx="0" cy="0"/>
      </xdr:xfrm>
      <a:graphic>
        <a:graphicData uri="http://schemas.openxmlformats.org/drawingml/2006/chart">
          <c:chart r:id="rId14"/>
        </a:graphicData>
      </a:graphic>
    </xdr:graphicFrame>
    <xdr:clientData fLocksWithSheet="0"/>
  </xdr:twoCellAnchor>
  <xdr:twoCellAnchor>
    <xdr:from>
      <xdr:col>10</xdr:col>
      <xdr:colOff>371475</xdr:colOff>
      <xdr:row>251</xdr:row>
      <xdr:rowOff>114300</xdr:rowOff>
    </xdr:from>
    <xdr:to>
      <xdr:col>15</xdr:col>
      <xdr:colOff>390525</xdr:colOff>
      <xdr:row>270</xdr:row>
      <xdr:rowOff>66675</xdr:rowOff>
    </xdr:to>
    <xdr:graphicFrame>
      <xdr:nvGraphicFramePr>
        <xdr:cNvPr id="15" name="Chart 15" title="Chart"/>
        <xdr:cNvGraphicFramePr/>
      </xdr:nvGraphicFramePr>
      <xdr:xfrm>
        <a:off x="0" y="0"/>
        <a:ext cx="0" cy="0"/>
      </xdr:xfrm>
      <a:graphic>
        <a:graphicData uri="http://schemas.openxmlformats.org/drawingml/2006/chart">
          <c:chart r:id="rId15"/>
        </a:graphicData>
      </a:graphic>
    </xdr:graphicFrame>
    <xdr:clientData fLocksWithSheet="0"/>
  </xdr:twoCellAnchor>
  <xdr:twoCellAnchor>
    <xdr:from>
      <xdr:col>15</xdr:col>
      <xdr:colOff>733425</xdr:colOff>
      <xdr:row>251</xdr:row>
      <xdr:rowOff>114300</xdr:rowOff>
    </xdr:from>
    <xdr:to>
      <xdr:col>20</xdr:col>
      <xdr:colOff>733425</xdr:colOff>
      <xdr:row>270</xdr:row>
      <xdr:rowOff>57150</xdr:rowOff>
    </xdr:to>
    <xdr:graphicFrame>
      <xdr:nvGraphicFramePr>
        <xdr:cNvPr id="16" name="Chart 16" title="Chart"/>
        <xdr:cNvGraphicFramePr/>
      </xdr:nvGraphicFramePr>
      <xdr:xfrm>
        <a:off x="0" y="0"/>
        <a:ext cx="0" cy="0"/>
      </xdr:xfrm>
      <a:graphic>
        <a:graphicData uri="http://schemas.openxmlformats.org/drawingml/2006/chart">
          <c:chart r:id="rId16"/>
        </a:graphicData>
      </a:graphic>
    </xdr:graphicFrame>
    <xdr:clientData fLocksWithSheet="0"/>
  </xdr:twoCellAnchor>
  <xdr:twoCellAnchor>
    <xdr:from>
      <xdr:col>20</xdr:col>
      <xdr:colOff>1076325</xdr:colOff>
      <xdr:row>251</xdr:row>
      <xdr:rowOff>114300</xdr:rowOff>
    </xdr:from>
    <xdr:to>
      <xdr:col>25</xdr:col>
      <xdr:colOff>981075</xdr:colOff>
      <xdr:row>269</xdr:row>
      <xdr:rowOff>180975</xdr:rowOff>
    </xdr:to>
    <xdr:graphicFrame>
      <xdr:nvGraphicFramePr>
        <xdr:cNvPr id="17" name="Chart 17" title="Chart"/>
        <xdr:cNvGraphicFramePr/>
      </xdr:nvGraphicFramePr>
      <xdr:xfrm>
        <a:off x="0" y="0"/>
        <a:ext cx="0" cy="0"/>
      </xdr:xfrm>
      <a:graphic>
        <a:graphicData uri="http://schemas.openxmlformats.org/drawingml/2006/chart">
          <c:chart r:id="rId17"/>
        </a:graphicData>
      </a:graphic>
    </xdr:graphicFrame>
    <xdr:clientData fLocksWithSheet="0"/>
  </xdr:twoCellAnchor>
  <xdr:twoCellAnchor>
    <xdr:from>
      <xdr:col>4</xdr:col>
      <xdr:colOff>657225</xdr:colOff>
      <xdr:row>21</xdr:row>
      <xdr:rowOff>142875</xdr:rowOff>
    </xdr:from>
    <xdr:to>
      <xdr:col>7</xdr:col>
      <xdr:colOff>409575</xdr:colOff>
      <xdr:row>40</xdr:row>
      <xdr:rowOff>57150</xdr:rowOff>
    </xdr:to>
    <xdr:graphicFrame>
      <xdr:nvGraphicFramePr>
        <xdr:cNvPr id="18" name="Chart 18" title="Chart"/>
        <xdr:cNvGraphicFramePr/>
      </xdr:nvGraphicFramePr>
      <xdr:xfrm>
        <a:off x="0" y="0"/>
        <a:ext cx="0" cy="0"/>
      </xdr:xfrm>
      <a:graphic>
        <a:graphicData uri="http://schemas.openxmlformats.org/drawingml/2006/chart">
          <c:chart r:id="rId18"/>
        </a:graphicData>
      </a:graphic>
    </xdr:graphicFrame>
    <xdr:clientData fLocksWithSheet="0"/>
  </xdr:twoCellAnchor>
  <xdr:twoCellAnchor>
    <xdr:from>
      <xdr:col>7</xdr:col>
      <xdr:colOff>723900</xdr:colOff>
      <xdr:row>21</xdr:row>
      <xdr:rowOff>123825</xdr:rowOff>
    </xdr:from>
    <xdr:to>
      <xdr:col>10</xdr:col>
      <xdr:colOff>400050</xdr:colOff>
      <xdr:row>40</xdr:row>
      <xdr:rowOff>47625</xdr:rowOff>
    </xdr:to>
    <xdr:graphicFrame>
      <xdr:nvGraphicFramePr>
        <xdr:cNvPr id="19" name="Chart 19" title="Chart"/>
        <xdr:cNvGraphicFramePr/>
      </xdr:nvGraphicFramePr>
      <xdr:xfrm>
        <a:off x="0" y="0"/>
        <a:ext cx="0" cy="0"/>
      </xdr:xfrm>
      <a:graphic>
        <a:graphicData uri="http://schemas.openxmlformats.org/drawingml/2006/chart">
          <c:chart r:id="rId19"/>
        </a:graphicData>
      </a:graphic>
    </xdr:graphicFrame>
    <xdr:clientData fLocksWithSheet="0"/>
  </xdr:twoCellAnchor>
  <xdr:twoCellAnchor>
    <xdr:from>
      <xdr:col>10</xdr:col>
      <xdr:colOff>619125</xdr:colOff>
      <xdr:row>21</xdr:row>
      <xdr:rowOff>142875</xdr:rowOff>
    </xdr:from>
    <xdr:to>
      <xdr:col>13</xdr:col>
      <xdr:colOff>266700</xdr:colOff>
      <xdr:row>40</xdr:row>
      <xdr:rowOff>57150</xdr:rowOff>
    </xdr:to>
    <xdr:graphicFrame>
      <xdr:nvGraphicFramePr>
        <xdr:cNvPr id="20" name="Chart 20" title="Chart"/>
        <xdr:cNvGraphicFramePr/>
      </xdr:nvGraphicFramePr>
      <xdr:xfrm>
        <a:off x="0" y="0"/>
        <a:ext cx="0" cy="0"/>
      </xdr:xfrm>
      <a:graphic>
        <a:graphicData uri="http://schemas.openxmlformats.org/drawingml/2006/chart">
          <c:chart r:id="rId20"/>
        </a:graphicData>
      </a:graphic>
    </xdr:graphicFrame>
    <xdr:clientData fLocksWithSheet="0"/>
  </xdr:twoCellAnchor>
  <xdr:twoCellAnchor>
    <xdr:from>
      <xdr:col>4</xdr:col>
      <xdr:colOff>685800</xdr:colOff>
      <xdr:row>44</xdr:row>
      <xdr:rowOff>85725</xdr:rowOff>
    </xdr:from>
    <xdr:to>
      <xdr:col>7</xdr:col>
      <xdr:colOff>457200</xdr:colOff>
      <xdr:row>63</xdr:row>
      <xdr:rowOff>0</xdr:rowOff>
    </xdr:to>
    <xdr:graphicFrame>
      <xdr:nvGraphicFramePr>
        <xdr:cNvPr id="21" name="Chart 21" title="Chart"/>
        <xdr:cNvGraphicFramePr/>
      </xdr:nvGraphicFramePr>
      <xdr:xfrm>
        <a:off x="0" y="0"/>
        <a:ext cx="0" cy="0"/>
      </xdr:xfrm>
      <a:graphic>
        <a:graphicData uri="http://schemas.openxmlformats.org/drawingml/2006/chart">
          <c:chart r:id="rId21"/>
        </a:graphicData>
      </a:graphic>
    </xdr:graphicFrame>
    <xdr:clientData fLocksWithSheet="0"/>
  </xdr:twoCellAnchor>
  <xdr:twoCellAnchor>
    <xdr:from>
      <xdr:col>7</xdr:col>
      <xdr:colOff>762000</xdr:colOff>
      <xdr:row>44</xdr:row>
      <xdr:rowOff>85725</xdr:rowOff>
    </xdr:from>
    <xdr:to>
      <xdr:col>10</xdr:col>
      <xdr:colOff>400050</xdr:colOff>
      <xdr:row>63</xdr:row>
      <xdr:rowOff>0</xdr:rowOff>
    </xdr:to>
    <xdr:graphicFrame>
      <xdr:nvGraphicFramePr>
        <xdr:cNvPr id="22" name="Chart 22" title="Chart"/>
        <xdr:cNvGraphicFramePr/>
      </xdr:nvGraphicFramePr>
      <xdr:xfrm>
        <a:off x="0" y="0"/>
        <a:ext cx="0" cy="0"/>
      </xdr:xfrm>
      <a:graphic>
        <a:graphicData uri="http://schemas.openxmlformats.org/drawingml/2006/chart">
          <c:chart r:id="rId22"/>
        </a:graphicData>
      </a:graphic>
    </xdr:graphicFrame>
    <xdr:clientData fLocksWithSheet="0"/>
  </xdr:twoCellAnchor>
  <xdr:twoCellAnchor>
    <xdr:from>
      <xdr:col>10</xdr:col>
      <xdr:colOff>666750</xdr:colOff>
      <xdr:row>44</xdr:row>
      <xdr:rowOff>47625</xdr:rowOff>
    </xdr:from>
    <xdr:to>
      <xdr:col>13</xdr:col>
      <xdr:colOff>342900</xdr:colOff>
      <xdr:row>62</xdr:row>
      <xdr:rowOff>152400</xdr:rowOff>
    </xdr:to>
    <xdr:graphicFrame>
      <xdr:nvGraphicFramePr>
        <xdr:cNvPr id="23" name="Chart 23" title="Chart"/>
        <xdr:cNvGraphicFramePr/>
      </xdr:nvGraphicFramePr>
      <xdr:xfrm>
        <a:off x="0" y="0"/>
        <a:ext cx="0" cy="0"/>
      </xdr:xfrm>
      <a:graphic>
        <a:graphicData uri="http://schemas.openxmlformats.org/drawingml/2006/chart">
          <c:chart r:id="rId23"/>
        </a:graphicData>
      </a:graphic>
    </xdr:graphicFrame>
    <xdr:clientData fLocksWithSheet="0"/>
  </xdr:twoCellAnchor>
  <xdr:twoCellAnchor>
    <xdr:from>
      <xdr:col>4</xdr:col>
      <xdr:colOff>685800</xdr:colOff>
      <xdr:row>67</xdr:row>
      <xdr:rowOff>104775</xdr:rowOff>
    </xdr:from>
    <xdr:to>
      <xdr:col>7</xdr:col>
      <xdr:colOff>447675</xdr:colOff>
      <xdr:row>86</xdr:row>
      <xdr:rowOff>19050</xdr:rowOff>
    </xdr:to>
    <xdr:graphicFrame>
      <xdr:nvGraphicFramePr>
        <xdr:cNvPr id="24" name="Chart 24" title="Chart"/>
        <xdr:cNvGraphicFramePr/>
      </xdr:nvGraphicFramePr>
      <xdr:xfrm>
        <a:off x="0" y="0"/>
        <a:ext cx="0" cy="0"/>
      </xdr:xfrm>
      <a:graphic>
        <a:graphicData uri="http://schemas.openxmlformats.org/drawingml/2006/chart">
          <c:chart r:id="rId24"/>
        </a:graphicData>
      </a:graphic>
    </xdr:graphicFrame>
    <xdr:clientData fLocksWithSheet="0"/>
  </xdr:twoCellAnchor>
  <xdr:twoCellAnchor>
    <xdr:from>
      <xdr:col>7</xdr:col>
      <xdr:colOff>771525</xdr:colOff>
      <xdr:row>67</xdr:row>
      <xdr:rowOff>95250</xdr:rowOff>
    </xdr:from>
    <xdr:to>
      <xdr:col>10</xdr:col>
      <xdr:colOff>419100</xdr:colOff>
      <xdr:row>86</xdr:row>
      <xdr:rowOff>9525</xdr:rowOff>
    </xdr:to>
    <xdr:graphicFrame>
      <xdr:nvGraphicFramePr>
        <xdr:cNvPr id="25" name="Chart 25" title="Chart"/>
        <xdr:cNvGraphicFramePr/>
      </xdr:nvGraphicFramePr>
      <xdr:xfrm>
        <a:off x="0" y="0"/>
        <a:ext cx="0" cy="0"/>
      </xdr:xfrm>
      <a:graphic>
        <a:graphicData uri="http://schemas.openxmlformats.org/drawingml/2006/chart">
          <c:chart r:id="rId25"/>
        </a:graphicData>
      </a:graphic>
    </xdr:graphicFrame>
    <xdr:clientData fLocksWithSheet="0"/>
  </xdr:twoCellAnchor>
  <xdr:twoCellAnchor>
    <xdr:from>
      <xdr:col>5</xdr:col>
      <xdr:colOff>76200</xdr:colOff>
      <xdr:row>251</xdr:row>
      <xdr:rowOff>123825</xdr:rowOff>
    </xdr:from>
    <xdr:to>
      <xdr:col>10</xdr:col>
      <xdr:colOff>9525</xdr:colOff>
      <xdr:row>270</xdr:row>
      <xdr:rowOff>38100</xdr:rowOff>
    </xdr:to>
    <xdr:graphicFrame>
      <xdr:nvGraphicFramePr>
        <xdr:cNvPr id="26" name="Chart 26" title="Chart"/>
        <xdr:cNvGraphicFramePr/>
      </xdr:nvGraphicFramePr>
      <xdr:xfrm>
        <a:off x="0" y="0"/>
        <a:ext cx="0" cy="0"/>
      </xdr:xfrm>
      <a:graphic>
        <a:graphicData uri="http://schemas.openxmlformats.org/drawingml/2006/chart">
          <c:chart r:id="rId26"/>
        </a:graphicData>
      </a:graphic>
    </xdr:graphicFrame>
    <xdr:clientData fLocksWithSheet="0"/>
  </xdr:twoCellAnchor>
  <xdr:twoCellAnchor>
    <xdr:from>
      <xdr:col>5</xdr:col>
      <xdr:colOff>104775</xdr:colOff>
      <xdr:row>185</xdr:row>
      <xdr:rowOff>28575</xdr:rowOff>
    </xdr:from>
    <xdr:to>
      <xdr:col>10</xdr:col>
      <xdr:colOff>38100</xdr:colOff>
      <xdr:row>203</xdr:row>
      <xdr:rowOff>133350</xdr:rowOff>
    </xdr:to>
    <xdr:graphicFrame>
      <xdr:nvGraphicFramePr>
        <xdr:cNvPr id="27" name="Chart 27" title="Chart"/>
        <xdr:cNvGraphicFramePr/>
      </xdr:nvGraphicFramePr>
      <xdr:xfrm>
        <a:off x="0" y="0"/>
        <a:ext cx="0" cy="0"/>
      </xdr:xfrm>
      <a:graphic>
        <a:graphicData uri="http://schemas.openxmlformats.org/drawingml/2006/chart">
          <c:chart r:id="rId27"/>
        </a:graphicData>
      </a:graphic>
    </xdr:graphicFrame>
    <xdr:clientData fLocksWithSheet="0"/>
  </xdr:twoCellAnchor>
  <xdr:twoCellAnchor>
    <xdr:from>
      <xdr:col>19</xdr:col>
      <xdr:colOff>0</xdr:colOff>
      <xdr:row>2</xdr:row>
      <xdr:rowOff>104775</xdr:rowOff>
    </xdr:from>
    <xdr:to>
      <xdr:col>23</xdr:col>
      <xdr:colOff>495300</xdr:colOff>
      <xdr:row>19</xdr:row>
      <xdr:rowOff>19050</xdr:rowOff>
    </xdr:to>
    <xdr:graphicFrame>
      <xdr:nvGraphicFramePr>
        <xdr:cNvPr id="28" name="Chart 28" title="Chart"/>
        <xdr:cNvGraphicFramePr/>
      </xdr:nvGraphicFramePr>
      <xdr:xfrm>
        <a:off x="0" y="0"/>
        <a:ext cx="0" cy="0"/>
      </xdr:xfrm>
      <a:graphic>
        <a:graphicData uri="http://schemas.openxmlformats.org/drawingml/2006/chart">
          <c:chart r:id="rId28"/>
        </a:graphicData>
      </a:graphic>
    </xdr:graphicFrame>
    <xdr:clientData fLocksWithSheet="0"/>
  </xdr:twoCellAnchor>
  <xdr:twoCellAnchor>
    <xdr:from>
      <xdr:col>10</xdr:col>
      <xdr:colOff>295275</xdr:colOff>
      <xdr:row>95</xdr:row>
      <xdr:rowOff>171450</xdr:rowOff>
    </xdr:from>
    <xdr:to>
      <xdr:col>15</xdr:col>
      <xdr:colOff>114300</xdr:colOff>
      <xdr:row>113</xdr:row>
      <xdr:rowOff>180975</xdr:rowOff>
    </xdr:to>
    <xdr:graphicFrame>
      <xdr:nvGraphicFramePr>
        <xdr:cNvPr id="29" name="Chart 29" title="Diagram"/>
        <xdr:cNvGraphicFramePr/>
      </xdr:nvGraphicFramePr>
      <xdr:xfrm>
        <a:off x="0" y="0"/>
        <a:ext cx="0" cy="0"/>
      </xdr:xfrm>
      <a:graphic>
        <a:graphicData uri="http://schemas.openxmlformats.org/drawingml/2006/chart">
          <c:chart r:id="rId29"/>
        </a:graphicData>
      </a:graphic>
    </xdr:graphicFrame>
    <xdr:clientData fLocksWithSheet="0"/>
  </xdr:twoCellAnchor>
  <xdr:twoCellAnchor>
    <xdr:from>
      <xdr:col>15</xdr:col>
      <xdr:colOff>428625</xdr:colOff>
      <xdr:row>95</xdr:row>
      <xdr:rowOff>161925</xdr:rowOff>
    </xdr:from>
    <xdr:to>
      <xdr:col>20</xdr:col>
      <xdr:colOff>314325</xdr:colOff>
      <xdr:row>114</xdr:row>
      <xdr:rowOff>38100</xdr:rowOff>
    </xdr:to>
    <xdr:graphicFrame>
      <xdr:nvGraphicFramePr>
        <xdr:cNvPr id="30" name="Chart 30" title="Diagram"/>
        <xdr:cNvGraphicFramePr/>
      </xdr:nvGraphicFramePr>
      <xdr:xfrm>
        <a:off x="0" y="0"/>
        <a:ext cx="0" cy="0"/>
      </xdr:xfrm>
      <a:graphic>
        <a:graphicData uri="http://schemas.openxmlformats.org/drawingml/2006/chart">
          <c:chart r:id="rId30"/>
        </a:graphicData>
      </a:graphic>
    </xdr:graphicFrame>
    <xdr:clientData fLocksWithSheet="0"/>
  </xdr:twoCellAnchor>
  <xdr:twoCellAnchor>
    <xdr:from>
      <xdr:col>20</xdr:col>
      <xdr:colOff>704850</xdr:colOff>
      <xdr:row>95</xdr:row>
      <xdr:rowOff>180975</xdr:rowOff>
    </xdr:from>
    <xdr:to>
      <xdr:col>25</xdr:col>
      <xdr:colOff>476250</xdr:colOff>
      <xdr:row>113</xdr:row>
      <xdr:rowOff>171450</xdr:rowOff>
    </xdr:to>
    <xdr:graphicFrame>
      <xdr:nvGraphicFramePr>
        <xdr:cNvPr id="31" name="Chart 31" title="Diagram"/>
        <xdr:cNvGraphicFramePr/>
      </xdr:nvGraphicFramePr>
      <xdr:xfrm>
        <a:off x="0" y="0"/>
        <a:ext cx="0" cy="0"/>
      </xdr:xfrm>
      <a:graphic>
        <a:graphicData uri="http://schemas.openxmlformats.org/drawingml/2006/chart">
          <c:chart r:id="rId31"/>
        </a:graphicData>
      </a:graphic>
    </xdr:graphicFrame>
    <xdr:clientData fLocksWithSheet="0"/>
  </xdr:twoCellAnchor>
  <xdr:twoCellAnchor>
    <xdr:from>
      <xdr:col>5</xdr:col>
      <xdr:colOff>66675</xdr:colOff>
      <xdr:row>154</xdr:row>
      <xdr:rowOff>38100</xdr:rowOff>
    </xdr:from>
    <xdr:to>
      <xdr:col>10</xdr:col>
      <xdr:colOff>104775</xdr:colOff>
      <xdr:row>172</xdr:row>
      <xdr:rowOff>95250</xdr:rowOff>
    </xdr:to>
    <xdr:graphicFrame>
      <xdr:nvGraphicFramePr>
        <xdr:cNvPr id="32" name="Chart 32" title="Diagram"/>
        <xdr:cNvGraphicFramePr/>
      </xdr:nvGraphicFramePr>
      <xdr:xfrm>
        <a:off x="0" y="0"/>
        <a:ext cx="0" cy="0"/>
      </xdr:xfrm>
      <a:graphic>
        <a:graphicData uri="http://schemas.openxmlformats.org/drawingml/2006/chart">
          <c:chart r:id="rId32"/>
        </a:graphicData>
      </a:graphic>
    </xdr:graphicFrame>
    <xdr:clientData fLocksWithSheet="0"/>
  </xdr:twoCellAnchor>
  <xdr:twoCellAnchor>
    <xdr:from>
      <xdr:col>14</xdr:col>
      <xdr:colOff>219075</xdr:colOff>
      <xdr:row>2</xdr:row>
      <xdr:rowOff>114300</xdr:rowOff>
    </xdr:from>
    <xdr:to>
      <xdr:col>18</xdr:col>
      <xdr:colOff>695325</xdr:colOff>
      <xdr:row>19</xdr:row>
      <xdr:rowOff>19050</xdr:rowOff>
    </xdr:to>
    <xdr:graphicFrame>
      <xdr:nvGraphicFramePr>
        <xdr:cNvPr id="33" name="Chart 33" title="Chart"/>
        <xdr:cNvGraphicFramePr/>
      </xdr:nvGraphicFramePr>
      <xdr:xfrm>
        <a:off x="0" y="0"/>
        <a:ext cx="0" cy="0"/>
      </xdr:xfrm>
      <a:graphic>
        <a:graphicData uri="http://schemas.openxmlformats.org/drawingml/2006/chart">
          <c:chart r:id="rId33"/>
        </a:graphicData>
      </a:graphic>
    </xdr:graphicFrame>
    <xdr:clientData fLocksWithSheet="0"/>
  </xdr:twoCellAnchor>
  <xdr:twoCellAnchor>
    <xdr:from>
      <xdr:col>23</xdr:col>
      <xdr:colOff>914400</xdr:colOff>
      <xdr:row>2</xdr:row>
      <xdr:rowOff>95250</xdr:rowOff>
    </xdr:from>
    <xdr:to>
      <xdr:col>28</xdr:col>
      <xdr:colOff>285750</xdr:colOff>
      <xdr:row>19</xdr:row>
      <xdr:rowOff>28575</xdr:rowOff>
    </xdr:to>
    <xdr:graphicFrame>
      <xdr:nvGraphicFramePr>
        <xdr:cNvPr id="34" name="Chart 34" title="Chart"/>
        <xdr:cNvGraphicFramePr/>
      </xdr:nvGraphicFramePr>
      <xdr:xfrm>
        <a:off x="0" y="0"/>
        <a:ext cx="0" cy="0"/>
      </xdr:xfrm>
      <a:graphic>
        <a:graphicData uri="http://schemas.openxmlformats.org/drawingml/2006/chart">
          <c:chart r:id="rId34"/>
        </a:graphicData>
      </a:graphic>
    </xdr:graphicFrame>
    <xdr:clientData fLocksWithSheet="0"/>
  </xdr:twoCellAnchor>
  <xdr:twoCellAnchor>
    <xdr:from>
      <xdr:col>4</xdr:col>
      <xdr:colOff>695325</xdr:colOff>
      <xdr:row>2</xdr:row>
      <xdr:rowOff>133350</xdr:rowOff>
    </xdr:from>
    <xdr:to>
      <xdr:col>9</xdr:col>
      <xdr:colOff>485775</xdr:colOff>
      <xdr:row>19</xdr:row>
      <xdr:rowOff>47625</xdr:rowOff>
    </xdr:to>
    <xdr:graphicFrame>
      <xdr:nvGraphicFramePr>
        <xdr:cNvPr id="35" name="Chart 35" title="Diagram"/>
        <xdr:cNvGraphicFramePr/>
      </xdr:nvGraphicFramePr>
      <xdr:xfrm>
        <a:off x="0" y="0"/>
        <a:ext cx="0" cy="0"/>
      </xdr:xfrm>
      <a:graphic>
        <a:graphicData uri="http://schemas.openxmlformats.org/drawingml/2006/chart">
          <c:chart r:id="rId35"/>
        </a:graphicData>
      </a:graphic>
    </xdr:graphicFrame>
    <xdr:clientData fLocksWithSheet="0"/>
  </xdr:twoCellAnchor>
  <xdr:twoCellAnchor>
    <xdr:from>
      <xdr:col>5</xdr:col>
      <xdr:colOff>0</xdr:colOff>
      <xdr:row>213</xdr:row>
      <xdr:rowOff>0</xdr:rowOff>
    </xdr:from>
    <xdr:to>
      <xdr:col>9</xdr:col>
      <xdr:colOff>1085850</xdr:colOff>
      <xdr:row>231</xdr:row>
      <xdr:rowOff>104775</xdr:rowOff>
    </xdr:to>
    <xdr:graphicFrame>
      <xdr:nvGraphicFramePr>
        <xdr:cNvPr id="36" name="Chart 36" title="Chart"/>
        <xdr:cNvGraphicFramePr/>
      </xdr:nvGraphicFramePr>
      <xdr:xfrm>
        <a:off x="0" y="0"/>
        <a:ext cx="0" cy="0"/>
      </xdr:xfrm>
      <a:graphic>
        <a:graphicData uri="http://schemas.openxmlformats.org/drawingml/2006/chart">
          <c:chart r:id="rId36"/>
        </a:graphicData>
      </a:graphic>
    </xdr:graphicFrame>
    <xdr:clientData fLocksWithSheet="0"/>
  </xdr:two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7</xdr:col>
      <xdr:colOff>647700</xdr:colOff>
      <xdr:row>8</xdr:row>
      <xdr:rowOff>123825</xdr:rowOff>
    </xdr:from>
    <xdr:to>
      <xdr:col>12</xdr:col>
      <xdr:colOff>600075</xdr:colOff>
      <xdr:row>27</xdr:row>
      <xdr:rowOff>38100</xdr:rowOff>
    </xdr:to>
    <xdr:graphicFrame>
      <xdr:nvGraphicFramePr>
        <xdr:cNvPr id="37" name="Chart 37"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3200400</xdr:colOff>
      <xdr:row>291</xdr:row>
      <xdr:rowOff>28575</xdr:rowOff>
    </xdr:from>
    <xdr:to>
      <xdr:col>3</xdr:col>
      <xdr:colOff>257175</xdr:colOff>
      <xdr:row>309</xdr:row>
      <xdr:rowOff>9525</xdr:rowOff>
    </xdr:to>
    <xdr:pic>
      <xdr:nvPicPr>
        <xdr:cNvPr id="0" name="image00.png" title="Image"/>
        <xdr:cNvPicPr preferRelativeResize="0"/>
      </xdr:nvPicPr>
      <xdr:blipFill>
        <a:blip cstate="print" r:embed="rId1"/>
        <a:stretch>
          <a:fillRect/>
        </a:stretch>
      </xdr:blipFill>
      <xdr:spPr>
        <a:xfrm>
          <a:ext cx="4876800" cy="34099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eco3e.eu/products/printer/" TargetMode="External"/><Relationship Id="rId3" Type="http://schemas.openxmlformats.org/officeDocument/2006/relationships/hyperlink" Target="https://www.apple.com/environment/reports/docs/iPhone6_PER_Sept2014.pdf" TargetMode="External"/><Relationship Id="rId4" Type="http://schemas.openxmlformats.org/officeDocument/2006/relationships/hyperlink" Target="http://eco3e.eu/products/refrigerator/" TargetMode="External"/><Relationship Id="rId5" Type="http://schemas.openxmlformats.org/officeDocument/2006/relationships/drawing" Target="../drawings/worksheet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9.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2" max="2" width="18.88"/>
    <col customWidth="1" min="3" max="3" width="16.63"/>
  </cols>
  <sheetData>
    <row r="1" ht="48.75" customHeight="1">
      <c r="A1" s="1"/>
      <c r="B1" s="2" t="s">
        <v>0</v>
      </c>
    </row>
  </sheetData>
  <mergeCells count="1">
    <mergeCell ref="B1:D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5.13" defaultRowHeight="15.0"/>
  <cols>
    <col customWidth="1" min="1" max="1" width="33.5"/>
    <col customWidth="1" min="2" max="2" width="11.0"/>
    <col customWidth="1" min="3" max="3" width="10.5"/>
    <col customWidth="1" min="4" max="4" width="10.25"/>
    <col customWidth="1" min="5" max="5" width="14.38"/>
    <col customWidth="1" min="6" max="6" width="19.63"/>
    <col customWidth="1" min="7" max="7" width="25.5"/>
    <col customWidth="1" min="8" max="8" width="12.5"/>
    <col customWidth="1" min="9" max="9" width="15.38"/>
    <col customWidth="1" min="10" max="10" width="18.0"/>
    <col customWidth="1" min="11" max="11" width="17.38"/>
    <col customWidth="1" min="12" max="12" width="18.5"/>
    <col customWidth="1" min="13" max="13" width="29.75"/>
    <col customWidth="1" min="14" max="15" width="17.38"/>
    <col customWidth="1" min="16" max="16" width="13.63"/>
    <col customWidth="1" min="17" max="17" width="13.38"/>
    <col customWidth="1" min="18" max="18" width="17.5"/>
  </cols>
  <sheetData>
    <row r="1" ht="48.75" customHeight="1">
      <c r="A1" s="1"/>
      <c r="B1" s="2" t="s">
        <v>1</v>
      </c>
      <c r="E1" s="3"/>
      <c r="F1" s="1"/>
      <c r="G1" s="1"/>
      <c r="H1" s="1"/>
      <c r="I1" s="1"/>
      <c r="J1" s="1"/>
      <c r="K1" s="1"/>
      <c r="L1" s="1"/>
      <c r="M1" s="1"/>
      <c r="N1" s="1"/>
      <c r="O1" s="1"/>
      <c r="P1" s="1"/>
      <c r="Q1" s="3"/>
      <c r="R1" s="1"/>
    </row>
    <row r="2">
      <c r="A2" s="4" t="s">
        <v>2</v>
      </c>
      <c r="B2" s="4" t="s">
        <v>3</v>
      </c>
      <c r="C2" s="5" t="s">
        <v>4</v>
      </c>
      <c r="D2" s="4" t="s">
        <v>5</v>
      </c>
      <c r="E2" s="6" t="s">
        <v>6</v>
      </c>
      <c r="F2" s="4" t="s">
        <v>7</v>
      </c>
      <c r="G2" s="4" t="s">
        <v>8</v>
      </c>
      <c r="H2" s="4" t="s">
        <v>9</v>
      </c>
      <c r="I2" s="4" t="s">
        <v>10</v>
      </c>
      <c r="J2" s="4" t="s">
        <v>11</v>
      </c>
      <c r="K2" s="4" t="s">
        <v>12</v>
      </c>
      <c r="L2" s="4" t="s">
        <v>13</v>
      </c>
      <c r="M2" s="4" t="s">
        <v>14</v>
      </c>
      <c r="N2" s="4" t="s">
        <v>15</v>
      </c>
      <c r="O2" s="4" t="s">
        <v>16</v>
      </c>
      <c r="P2" s="4" t="s">
        <v>17</v>
      </c>
      <c r="Q2" s="6" t="s">
        <v>18</v>
      </c>
      <c r="R2" s="4" t="s">
        <v>19</v>
      </c>
    </row>
    <row r="3">
      <c r="A3" s="7" t="s">
        <v>20</v>
      </c>
      <c r="B3" s="8"/>
      <c r="C3" s="9"/>
      <c r="D3" s="8"/>
      <c r="E3" s="8"/>
      <c r="F3" s="8"/>
      <c r="G3" s="8"/>
      <c r="H3" s="8"/>
      <c r="I3" s="8"/>
      <c r="J3" s="8"/>
      <c r="K3" s="8"/>
      <c r="L3" s="8"/>
      <c r="M3" s="8"/>
      <c r="N3" s="8"/>
      <c r="O3" s="8"/>
      <c r="P3" s="10"/>
      <c r="Q3" s="8"/>
      <c r="R3" s="8"/>
    </row>
    <row r="4">
      <c r="A4" s="11" t="s">
        <v>21</v>
      </c>
      <c r="B4" s="12"/>
      <c r="C4" s="13">
        <v>39393.0</v>
      </c>
      <c r="D4" s="14">
        <v>2015.0</v>
      </c>
      <c r="E4" s="11" t="s">
        <v>22</v>
      </c>
      <c r="F4" s="15" t="s">
        <v>23</v>
      </c>
      <c r="G4" s="16" t="s">
        <v>24</v>
      </c>
      <c r="I4" s="17" t="s">
        <v>25</v>
      </c>
      <c r="J4" s="12"/>
      <c r="K4" s="16"/>
      <c r="L4" s="12"/>
      <c r="M4" s="16"/>
      <c r="O4" s="11"/>
      <c r="P4" s="11" t="s">
        <v>26</v>
      </c>
      <c r="Q4" s="18" t="s">
        <v>27</v>
      </c>
      <c r="R4" s="12"/>
    </row>
    <row r="5">
      <c r="A5" s="12" t="s">
        <v>28</v>
      </c>
      <c r="B5" s="12"/>
      <c r="C5" s="13">
        <v>7160.0</v>
      </c>
      <c r="D5" s="14">
        <v>2015.0</v>
      </c>
      <c r="E5" s="11" t="s">
        <v>22</v>
      </c>
      <c r="F5" s="15" t="s">
        <v>23</v>
      </c>
      <c r="G5" s="11" t="s">
        <v>29</v>
      </c>
      <c r="H5" s="16" t="s">
        <v>30</v>
      </c>
      <c r="I5" s="11" t="s">
        <v>31</v>
      </c>
      <c r="J5" s="11" t="s">
        <v>32</v>
      </c>
      <c r="K5" s="19" t="s">
        <v>33</v>
      </c>
      <c r="L5" s="11" t="s">
        <v>34</v>
      </c>
      <c r="M5" s="12"/>
      <c r="N5" s="12"/>
      <c r="O5" s="12"/>
      <c r="P5" s="11" t="s">
        <v>26</v>
      </c>
      <c r="Q5" s="11" t="s">
        <v>35</v>
      </c>
      <c r="R5" s="12"/>
    </row>
    <row r="6">
      <c r="A6" s="12" t="s">
        <v>36</v>
      </c>
      <c r="B6" s="12"/>
      <c r="C6" s="13" t="s">
        <v>37</v>
      </c>
      <c r="D6" s="14">
        <v>2014.0</v>
      </c>
      <c r="E6" s="11" t="s">
        <v>22</v>
      </c>
      <c r="F6" s="15" t="s">
        <v>38</v>
      </c>
      <c r="G6" s="11" t="s">
        <v>39</v>
      </c>
      <c r="H6" s="16" t="s">
        <v>39</v>
      </c>
      <c r="I6" s="17" t="s">
        <v>40</v>
      </c>
      <c r="J6" s="16" t="s">
        <v>41</v>
      </c>
      <c r="L6" s="20" t="s">
        <v>31</v>
      </c>
      <c r="M6" s="12"/>
      <c r="N6" s="12"/>
      <c r="O6" s="12"/>
      <c r="P6" s="11" t="s">
        <v>26</v>
      </c>
      <c r="Q6" s="11" t="s">
        <v>35</v>
      </c>
      <c r="R6" s="12"/>
    </row>
    <row r="7">
      <c r="A7" s="12" t="s">
        <v>42</v>
      </c>
      <c r="B7" s="12"/>
      <c r="C7" s="13" t="s">
        <v>43</v>
      </c>
      <c r="D7" s="14">
        <v>2015.0</v>
      </c>
      <c r="E7" s="11" t="s">
        <v>22</v>
      </c>
      <c r="F7" s="15" t="s">
        <v>44</v>
      </c>
      <c r="G7" s="11" t="s">
        <v>45</v>
      </c>
      <c r="H7" s="16" t="s">
        <v>46</v>
      </c>
      <c r="I7" s="11" t="s">
        <v>47</v>
      </c>
      <c r="J7" s="16" t="s">
        <v>41</v>
      </c>
      <c r="L7" s="20" t="s">
        <v>31</v>
      </c>
      <c r="M7" s="12"/>
      <c r="N7" s="12"/>
      <c r="O7" s="12"/>
      <c r="P7" s="11" t="s">
        <v>26</v>
      </c>
      <c r="Q7" s="11" t="s">
        <v>35</v>
      </c>
      <c r="R7" s="12"/>
    </row>
    <row r="8">
      <c r="A8" s="11" t="s">
        <v>48</v>
      </c>
      <c r="C8" s="21" t="s">
        <v>49</v>
      </c>
      <c r="D8" s="15">
        <v>2015.0</v>
      </c>
      <c r="E8" s="11" t="s">
        <v>22</v>
      </c>
      <c r="F8" s="15"/>
      <c r="G8" s="16"/>
      <c r="H8" s="16"/>
      <c r="I8" s="11"/>
      <c r="J8" s="11" t="s">
        <v>50</v>
      </c>
      <c r="K8" s="18" t="s">
        <v>51</v>
      </c>
      <c r="L8" s="11" t="s">
        <v>34</v>
      </c>
      <c r="M8" s="22"/>
      <c r="N8" s="23"/>
      <c r="P8" s="18" t="s">
        <v>52</v>
      </c>
      <c r="Q8" s="11" t="s">
        <v>35</v>
      </c>
      <c r="R8" s="12"/>
    </row>
    <row r="9">
      <c r="A9" s="11" t="s">
        <v>53</v>
      </c>
      <c r="C9" s="24" t="s">
        <v>54</v>
      </c>
      <c r="D9" s="14"/>
      <c r="E9" s="11"/>
      <c r="F9" s="14"/>
      <c r="G9" s="19"/>
      <c r="H9" s="19"/>
      <c r="I9" s="11"/>
      <c r="J9" s="16" t="s">
        <v>55</v>
      </c>
      <c r="K9" s="25"/>
      <c r="L9" s="11" t="s">
        <v>31</v>
      </c>
      <c r="M9" s="11" t="s">
        <v>56</v>
      </c>
      <c r="N9" s="12"/>
      <c r="O9" s="12"/>
      <c r="P9" s="11" t="s">
        <v>57</v>
      </c>
      <c r="Q9" s="11" t="s">
        <v>35</v>
      </c>
      <c r="R9" s="12"/>
    </row>
    <row r="10">
      <c r="A10" s="11" t="s">
        <v>58</v>
      </c>
      <c r="B10" s="11"/>
      <c r="C10" s="24" t="s">
        <v>54</v>
      </c>
      <c r="D10" s="14"/>
      <c r="E10" s="11"/>
      <c r="F10" s="14"/>
      <c r="G10" s="19"/>
      <c r="H10" s="19"/>
      <c r="I10" s="11"/>
      <c r="J10" s="16" t="s">
        <v>59</v>
      </c>
      <c r="K10" s="16"/>
      <c r="L10" s="11" t="s">
        <v>31</v>
      </c>
      <c r="O10" s="11" t="s">
        <v>60</v>
      </c>
      <c r="P10" s="11" t="s">
        <v>57</v>
      </c>
      <c r="Q10" s="11" t="s">
        <v>35</v>
      </c>
      <c r="R10" s="12"/>
    </row>
    <row r="11">
      <c r="A11" s="11" t="s">
        <v>61</v>
      </c>
      <c r="B11" s="12"/>
      <c r="C11" s="26" t="s">
        <v>62</v>
      </c>
      <c r="D11" s="15">
        <v>2008.0</v>
      </c>
      <c r="E11" s="11" t="s">
        <v>22</v>
      </c>
      <c r="F11" s="15" t="s">
        <v>63</v>
      </c>
      <c r="G11" s="19" t="s">
        <v>64</v>
      </c>
      <c r="H11" s="16" t="s">
        <v>65</v>
      </c>
      <c r="I11" s="11" t="s">
        <v>66</v>
      </c>
      <c r="J11" s="27"/>
      <c r="K11" s="28" t="s">
        <v>67</v>
      </c>
      <c r="L11" s="29" t="s">
        <v>68</v>
      </c>
      <c r="M11" s="27"/>
      <c r="N11" s="16"/>
      <c r="O11" s="27"/>
      <c r="P11" s="11" t="s">
        <v>69</v>
      </c>
      <c r="Q11" s="18" t="s">
        <v>70</v>
      </c>
      <c r="R11" s="12"/>
    </row>
    <row r="12">
      <c r="A12" s="30" t="s">
        <v>71</v>
      </c>
      <c r="B12" s="18" t="s">
        <v>72</v>
      </c>
      <c r="C12" s="18">
        <v>18490.0</v>
      </c>
      <c r="D12" s="14"/>
      <c r="E12" s="11" t="s">
        <v>22</v>
      </c>
      <c r="F12" s="15" t="s">
        <v>73</v>
      </c>
      <c r="G12" s="16" t="s">
        <v>74</v>
      </c>
      <c r="H12" s="18" t="s">
        <v>75</v>
      </c>
      <c r="I12" s="11" t="s">
        <v>76</v>
      </c>
      <c r="J12" s="27"/>
      <c r="K12" s="27"/>
      <c r="M12" s="27"/>
      <c r="O12" s="27"/>
      <c r="P12" s="11" t="s">
        <v>77</v>
      </c>
      <c r="Q12" s="18" t="s">
        <v>27</v>
      </c>
      <c r="R12" s="12"/>
    </row>
    <row r="13">
      <c r="A13" s="30" t="s">
        <v>78</v>
      </c>
      <c r="B13" s="12"/>
      <c r="C13" s="31">
        <v>4.0</v>
      </c>
      <c r="D13" s="15">
        <v>2008.0</v>
      </c>
      <c r="E13" s="11" t="s">
        <v>22</v>
      </c>
      <c r="F13" s="15" t="s">
        <v>63</v>
      </c>
      <c r="G13" s="16" t="s">
        <v>79</v>
      </c>
      <c r="H13" s="16" t="s">
        <v>80</v>
      </c>
      <c r="I13" s="11" t="s">
        <v>76</v>
      </c>
      <c r="J13" s="27"/>
      <c r="K13" s="27"/>
      <c r="L13" s="27"/>
      <c r="M13" s="27"/>
      <c r="O13" s="27"/>
      <c r="P13" s="11" t="s">
        <v>57</v>
      </c>
      <c r="Q13" s="18" t="s">
        <v>27</v>
      </c>
      <c r="R13" s="12"/>
    </row>
    <row r="14">
      <c r="A14" s="30" t="s">
        <v>81</v>
      </c>
      <c r="B14" s="18" t="s">
        <v>82</v>
      </c>
      <c r="C14" s="13">
        <v>3236.0</v>
      </c>
      <c r="D14" s="15">
        <v>2007.0</v>
      </c>
      <c r="E14" s="11" t="s">
        <v>22</v>
      </c>
      <c r="F14" s="32" t="s">
        <v>83</v>
      </c>
      <c r="G14" s="16" t="s">
        <v>84</v>
      </c>
      <c r="H14" s="18" t="s">
        <v>85</v>
      </c>
      <c r="I14" s="11" t="s">
        <v>76</v>
      </c>
      <c r="J14" s="12"/>
      <c r="K14" s="12"/>
      <c r="L14" s="12"/>
      <c r="M14" s="12"/>
      <c r="O14" s="12"/>
      <c r="P14" s="11" t="s">
        <v>57</v>
      </c>
      <c r="Q14" s="18" t="s">
        <v>27</v>
      </c>
      <c r="R14" s="12"/>
    </row>
    <row r="15">
      <c r="A15" s="30" t="s">
        <v>86</v>
      </c>
      <c r="B15" s="18" t="s">
        <v>72</v>
      </c>
      <c r="C15" s="13">
        <v>25266.0</v>
      </c>
      <c r="D15" s="15">
        <v>2007.0</v>
      </c>
      <c r="E15" s="11" t="s">
        <v>22</v>
      </c>
      <c r="F15" s="32" t="s">
        <v>83</v>
      </c>
      <c r="G15" s="16" t="s">
        <v>87</v>
      </c>
      <c r="H15" s="16" t="s">
        <v>88</v>
      </c>
      <c r="I15" s="11" t="s">
        <v>76</v>
      </c>
      <c r="J15" s="12"/>
      <c r="K15" s="16"/>
      <c r="L15" s="12"/>
      <c r="M15" s="12"/>
      <c r="O15" s="12"/>
      <c r="P15" s="11" t="s">
        <v>57</v>
      </c>
      <c r="Q15" s="18" t="s">
        <v>27</v>
      </c>
      <c r="R15" s="12"/>
    </row>
    <row r="16">
      <c r="A16" s="11" t="s">
        <v>89</v>
      </c>
      <c r="B16" s="12"/>
      <c r="C16" s="13" t="s">
        <v>90</v>
      </c>
      <c r="D16" s="11">
        <v>2008.0</v>
      </c>
      <c r="E16" s="11" t="s">
        <v>22</v>
      </c>
      <c r="F16" s="15" t="s">
        <v>63</v>
      </c>
      <c r="G16" s="33" t="s">
        <v>54</v>
      </c>
      <c r="H16" s="27"/>
      <c r="I16" s="11"/>
      <c r="J16" s="33" t="s">
        <v>54</v>
      </c>
      <c r="K16" s="27"/>
      <c r="L16" s="12"/>
      <c r="M16" s="33" t="s">
        <v>54</v>
      </c>
      <c r="N16" s="27"/>
      <c r="O16" s="12"/>
      <c r="P16" s="11" t="s">
        <v>52</v>
      </c>
      <c r="Q16" s="11" t="s">
        <v>35</v>
      </c>
      <c r="R16" s="12"/>
    </row>
    <row r="17">
      <c r="A17" s="30" t="s">
        <v>91</v>
      </c>
      <c r="B17" s="12"/>
      <c r="C17" s="13" t="s">
        <v>92</v>
      </c>
      <c r="D17" s="11">
        <v>2008.0</v>
      </c>
      <c r="E17" s="11" t="s">
        <v>22</v>
      </c>
      <c r="F17" s="15" t="s">
        <v>63</v>
      </c>
      <c r="G17" s="34" t="s">
        <v>54</v>
      </c>
      <c r="H17" s="19"/>
      <c r="I17" s="11"/>
      <c r="J17" s="34" t="s">
        <v>54</v>
      </c>
      <c r="K17" s="27"/>
      <c r="L17" s="12"/>
      <c r="M17" s="34" t="s">
        <v>54</v>
      </c>
      <c r="N17" s="35"/>
      <c r="O17" s="12"/>
      <c r="P17" s="11" t="s">
        <v>52</v>
      </c>
      <c r="Q17" s="11" t="s">
        <v>35</v>
      </c>
      <c r="R17" s="12"/>
    </row>
    <row r="18">
      <c r="A18" s="30" t="s">
        <v>93</v>
      </c>
      <c r="B18" s="12"/>
      <c r="C18" s="13" t="s">
        <v>94</v>
      </c>
      <c r="D18" s="11">
        <v>2008.0</v>
      </c>
      <c r="E18" s="11" t="s">
        <v>22</v>
      </c>
      <c r="F18" s="15" t="s">
        <v>63</v>
      </c>
      <c r="G18" s="34" t="s">
        <v>54</v>
      </c>
      <c r="H18" s="19"/>
      <c r="I18" s="11"/>
      <c r="J18" s="34" t="s">
        <v>54</v>
      </c>
      <c r="K18" s="27"/>
      <c r="L18" s="12"/>
      <c r="M18" s="34" t="s">
        <v>54</v>
      </c>
      <c r="N18" s="35"/>
      <c r="O18" s="12"/>
      <c r="P18" s="11" t="s">
        <v>52</v>
      </c>
      <c r="Q18" s="11" t="s">
        <v>35</v>
      </c>
      <c r="R18" s="12"/>
    </row>
    <row r="19">
      <c r="A19" s="11" t="s">
        <v>95</v>
      </c>
      <c r="B19" s="12"/>
      <c r="C19" s="36">
        <v>133500.0</v>
      </c>
      <c r="D19" s="37">
        <v>2014.0</v>
      </c>
      <c r="E19" s="11" t="s">
        <v>22</v>
      </c>
      <c r="F19" s="15" t="s">
        <v>96</v>
      </c>
      <c r="G19" s="11" t="s">
        <v>97</v>
      </c>
      <c r="H19" s="16" t="s">
        <v>98</v>
      </c>
      <c r="I19" s="11" t="s">
        <v>31</v>
      </c>
      <c r="J19" s="11" t="s">
        <v>99</v>
      </c>
      <c r="K19" s="16" t="s">
        <v>100</v>
      </c>
      <c r="L19" s="11" t="s">
        <v>34</v>
      </c>
      <c r="M19" s="12"/>
      <c r="N19" s="12"/>
      <c r="O19" s="12"/>
      <c r="P19" s="11" t="s">
        <v>26</v>
      </c>
      <c r="Q19" s="38" t="s">
        <v>96</v>
      </c>
      <c r="R19" s="12"/>
    </row>
    <row r="20">
      <c r="A20" s="11" t="s">
        <v>101</v>
      </c>
      <c r="B20" s="12"/>
      <c r="C20" s="13" t="s">
        <v>102</v>
      </c>
      <c r="D20" s="32">
        <v>2016.0</v>
      </c>
      <c r="E20" s="11" t="s">
        <v>22</v>
      </c>
      <c r="F20" s="32" t="s">
        <v>103</v>
      </c>
      <c r="G20" s="11"/>
      <c r="H20" s="16" t="s">
        <v>104</v>
      </c>
      <c r="I20" s="11" t="s">
        <v>103</v>
      </c>
      <c r="J20" s="12"/>
      <c r="K20" s="12"/>
      <c r="L20" s="39"/>
      <c r="M20" s="12"/>
      <c r="N20" s="11"/>
      <c r="O20" s="12"/>
      <c r="P20" s="11" t="s">
        <v>105</v>
      </c>
      <c r="Q20" s="17" t="s">
        <v>106</v>
      </c>
      <c r="R20" s="12"/>
    </row>
    <row r="21">
      <c r="A21" s="11" t="s">
        <v>107</v>
      </c>
      <c r="B21" s="11" t="s">
        <v>108</v>
      </c>
      <c r="C21" s="13">
        <v>4133.0</v>
      </c>
      <c r="D21" s="32">
        <v>2016.0</v>
      </c>
      <c r="E21" s="11" t="s">
        <v>22</v>
      </c>
      <c r="F21" s="32" t="s">
        <v>103</v>
      </c>
      <c r="G21" s="16" t="s">
        <v>109</v>
      </c>
      <c r="H21" s="18" t="s">
        <v>110</v>
      </c>
      <c r="I21" s="11" t="s">
        <v>111</v>
      </c>
      <c r="M21" s="12"/>
      <c r="N21" s="12"/>
      <c r="O21" s="12"/>
      <c r="P21" s="11" t="s">
        <v>105</v>
      </c>
      <c r="Q21" s="11" t="s">
        <v>112</v>
      </c>
      <c r="R21" s="12"/>
    </row>
    <row r="22">
      <c r="A22" s="11" t="s">
        <v>113</v>
      </c>
      <c r="B22" s="12"/>
      <c r="C22" s="13" t="s">
        <v>114</v>
      </c>
      <c r="D22" s="32">
        <v>2016.0</v>
      </c>
      <c r="E22" s="11" t="s">
        <v>22</v>
      </c>
      <c r="F22" s="32" t="s">
        <v>103</v>
      </c>
      <c r="G22" s="12"/>
      <c r="H22" s="16"/>
      <c r="I22" s="11"/>
      <c r="J22" s="18" t="s">
        <v>115</v>
      </c>
      <c r="K22" s="16" t="s">
        <v>116</v>
      </c>
      <c r="L22" s="11" t="s">
        <v>25</v>
      </c>
      <c r="M22" s="12"/>
      <c r="N22" s="11"/>
      <c r="O22" s="12"/>
      <c r="P22" s="11" t="s">
        <v>105</v>
      </c>
      <c r="Q22" s="11" t="s">
        <v>112</v>
      </c>
      <c r="R22" s="12"/>
    </row>
    <row r="23">
      <c r="A23" s="11" t="s">
        <v>117</v>
      </c>
      <c r="B23" s="18" t="s">
        <v>118</v>
      </c>
      <c r="C23" s="19" t="s">
        <v>119</v>
      </c>
      <c r="D23" s="32">
        <v>2007.0</v>
      </c>
      <c r="E23" s="11" t="s">
        <v>22</v>
      </c>
      <c r="F23" s="32" t="s">
        <v>73</v>
      </c>
      <c r="G23" s="16" t="s">
        <v>120</v>
      </c>
      <c r="H23" s="18" t="s">
        <v>121</v>
      </c>
      <c r="I23" s="11" t="s">
        <v>111</v>
      </c>
      <c r="J23" s="12"/>
      <c r="K23" s="12"/>
      <c r="L23" s="12"/>
      <c r="M23" s="12"/>
      <c r="O23" s="12"/>
      <c r="P23" s="11" t="s">
        <v>57</v>
      </c>
      <c r="Q23" s="11" t="s">
        <v>122</v>
      </c>
      <c r="R23" s="12"/>
    </row>
    <row r="24">
      <c r="A24" s="12" t="s">
        <v>123</v>
      </c>
      <c r="B24" s="12"/>
      <c r="C24" s="13" t="s">
        <v>124</v>
      </c>
      <c r="D24" s="32">
        <v>2016.0</v>
      </c>
      <c r="E24" s="11" t="s">
        <v>22</v>
      </c>
      <c r="F24" s="15" t="s">
        <v>125</v>
      </c>
      <c r="G24" s="11" t="s">
        <v>126</v>
      </c>
      <c r="H24" s="16" t="s">
        <v>127</v>
      </c>
      <c r="I24" s="17" t="s">
        <v>128</v>
      </c>
      <c r="J24" s="12"/>
      <c r="K24" s="12"/>
      <c r="L24" s="12"/>
      <c r="M24" s="12"/>
      <c r="O24" s="12"/>
      <c r="P24" s="11" t="s">
        <v>129</v>
      </c>
      <c r="Q24" s="17" t="s">
        <v>130</v>
      </c>
      <c r="R24" s="12"/>
    </row>
    <row r="25">
      <c r="A25" s="11" t="s">
        <v>131</v>
      </c>
      <c r="B25" s="18" t="s">
        <v>72</v>
      </c>
      <c r="C25" s="13">
        <v>26580.0</v>
      </c>
      <c r="D25" s="32">
        <v>2007.0</v>
      </c>
      <c r="E25" s="11" t="s">
        <v>22</v>
      </c>
      <c r="F25" s="32" t="s">
        <v>83</v>
      </c>
      <c r="G25" s="16" t="s">
        <v>132</v>
      </c>
      <c r="H25" s="16" t="s">
        <v>133</v>
      </c>
      <c r="I25" s="11" t="s">
        <v>76</v>
      </c>
      <c r="J25" s="12"/>
      <c r="L25" s="12"/>
      <c r="M25" s="12"/>
      <c r="N25" s="16"/>
      <c r="O25" s="12"/>
      <c r="P25" s="11" t="s">
        <v>134</v>
      </c>
      <c r="Q25" s="11" t="s">
        <v>35</v>
      </c>
      <c r="R25" s="12"/>
    </row>
    <row r="26">
      <c r="A26" s="11" t="s">
        <v>135</v>
      </c>
      <c r="B26" s="18" t="s">
        <v>82</v>
      </c>
      <c r="C26" s="13">
        <v>6251.0</v>
      </c>
      <c r="D26" s="32">
        <v>2007.0</v>
      </c>
      <c r="E26" s="11" t="s">
        <v>22</v>
      </c>
      <c r="F26" s="32" t="s">
        <v>83</v>
      </c>
      <c r="G26" s="16" t="s">
        <v>136</v>
      </c>
      <c r="H26" s="16" t="s">
        <v>137</v>
      </c>
      <c r="I26" s="11" t="s">
        <v>76</v>
      </c>
      <c r="J26" s="12"/>
      <c r="L26" s="12"/>
      <c r="M26" s="12"/>
      <c r="N26" s="16"/>
      <c r="O26" s="12"/>
      <c r="P26" s="11" t="s">
        <v>134</v>
      </c>
      <c r="Q26" s="11" t="s">
        <v>35</v>
      </c>
      <c r="R26" s="12"/>
    </row>
    <row r="27">
      <c r="A27" s="30" t="s">
        <v>138</v>
      </c>
      <c r="B27" s="18" t="s">
        <v>82</v>
      </c>
      <c r="C27" s="13">
        <v>919.0</v>
      </c>
      <c r="D27" s="32">
        <v>2007.0</v>
      </c>
      <c r="E27" s="11" t="s">
        <v>22</v>
      </c>
      <c r="F27" s="32" t="s">
        <v>83</v>
      </c>
      <c r="G27" s="16" t="s">
        <v>139</v>
      </c>
      <c r="H27" s="11" t="s">
        <v>140</v>
      </c>
      <c r="I27" s="11" t="s">
        <v>76</v>
      </c>
      <c r="J27" s="12"/>
      <c r="L27" s="12"/>
      <c r="M27" s="12"/>
      <c r="N27" s="16"/>
      <c r="O27" s="12"/>
      <c r="P27" s="11" t="s">
        <v>134</v>
      </c>
      <c r="Q27" s="11" t="s">
        <v>141</v>
      </c>
      <c r="R27" s="12"/>
    </row>
    <row r="28">
      <c r="A28" s="11" t="s">
        <v>142</v>
      </c>
      <c r="B28" s="11" t="s">
        <v>143</v>
      </c>
      <c r="C28" s="13" t="s">
        <v>118</v>
      </c>
      <c r="D28" s="37"/>
      <c r="E28" s="11" t="s">
        <v>22</v>
      </c>
      <c r="F28" s="32" t="s">
        <v>144</v>
      </c>
      <c r="G28" s="11" t="s">
        <v>145</v>
      </c>
      <c r="H28" s="16" t="s">
        <v>146</v>
      </c>
      <c r="I28" s="11" t="s">
        <v>144</v>
      </c>
      <c r="J28" s="12"/>
      <c r="L28" s="12"/>
      <c r="M28" s="12"/>
      <c r="N28" s="12"/>
      <c r="O28" s="12"/>
      <c r="P28" s="11" t="s">
        <v>147</v>
      </c>
      <c r="Q28" s="17" t="s">
        <v>148</v>
      </c>
      <c r="R28" s="12"/>
    </row>
    <row r="29">
      <c r="A29" s="11" t="s">
        <v>149</v>
      </c>
      <c r="B29" s="12"/>
      <c r="C29" s="13">
        <v>1150.0</v>
      </c>
      <c r="D29" s="15">
        <v>2016.0</v>
      </c>
      <c r="E29" s="11" t="s">
        <v>22</v>
      </c>
      <c r="F29" s="15" t="s">
        <v>150</v>
      </c>
      <c r="G29" s="12"/>
      <c r="H29" s="40" t="s">
        <v>151</v>
      </c>
      <c r="I29" s="11" t="s">
        <v>152</v>
      </c>
      <c r="J29" s="12"/>
      <c r="L29" s="12"/>
      <c r="M29" s="12"/>
      <c r="O29" s="12"/>
      <c r="P29" s="11" t="s">
        <v>147</v>
      </c>
      <c r="Q29" s="17" t="s">
        <v>153</v>
      </c>
      <c r="R29" s="12"/>
    </row>
    <row r="30">
      <c r="A30" s="30" t="s">
        <v>154</v>
      </c>
      <c r="B30" s="12"/>
      <c r="C30" s="18" t="s">
        <v>155</v>
      </c>
      <c r="D30" s="32">
        <v>2011.0</v>
      </c>
      <c r="E30" s="11" t="s">
        <v>22</v>
      </c>
      <c r="F30" s="32" t="s">
        <v>156</v>
      </c>
      <c r="G30" s="12"/>
      <c r="H30" s="12"/>
      <c r="I30" s="12"/>
      <c r="J30" s="11" t="s">
        <v>157</v>
      </c>
      <c r="K30" s="16" t="s">
        <v>158</v>
      </c>
      <c r="L30" s="11"/>
      <c r="M30" s="12"/>
      <c r="N30" s="12"/>
      <c r="O30" s="12"/>
      <c r="P30" s="11" t="s">
        <v>159</v>
      </c>
      <c r="Q30" s="11" t="s">
        <v>160</v>
      </c>
      <c r="R30" s="12"/>
    </row>
    <row r="31">
      <c r="A31" s="30" t="s">
        <v>161</v>
      </c>
      <c r="B31" s="18" t="s">
        <v>72</v>
      </c>
      <c r="C31" s="13">
        <v>11464.0</v>
      </c>
      <c r="D31" s="12"/>
      <c r="E31" s="11" t="s">
        <v>22</v>
      </c>
      <c r="F31" s="32" t="s">
        <v>162</v>
      </c>
      <c r="G31" s="16" t="s">
        <v>163</v>
      </c>
      <c r="I31" s="11" t="s">
        <v>76</v>
      </c>
      <c r="J31" s="12"/>
      <c r="K31" s="12"/>
      <c r="L31" s="12"/>
      <c r="M31" s="12"/>
      <c r="N31" s="12"/>
      <c r="O31" s="12"/>
      <c r="P31" s="11" t="s">
        <v>77</v>
      </c>
      <c r="Q31" s="11" t="s">
        <v>122</v>
      </c>
      <c r="R31" s="12"/>
    </row>
    <row r="32">
      <c r="A32" s="4"/>
      <c r="B32" s="4"/>
      <c r="C32" s="5"/>
      <c r="D32" s="4"/>
      <c r="E32" s="4"/>
      <c r="F32" s="4"/>
      <c r="G32" s="4"/>
      <c r="H32" s="4"/>
      <c r="I32" s="6"/>
      <c r="J32" s="4"/>
      <c r="K32" s="4"/>
      <c r="L32" s="4"/>
      <c r="M32" s="4"/>
      <c r="N32" s="4"/>
      <c r="O32" s="4"/>
      <c r="P32" s="4"/>
      <c r="Q32" s="6"/>
      <c r="R32" s="4"/>
    </row>
    <row r="33">
      <c r="A33" s="41" t="s">
        <v>164</v>
      </c>
      <c r="B33" s="12"/>
      <c r="C33" s="36"/>
      <c r="D33" s="12"/>
      <c r="E33" s="12"/>
      <c r="F33" s="12"/>
      <c r="G33" s="12"/>
      <c r="H33" s="12"/>
      <c r="I33" s="12"/>
      <c r="J33" s="12"/>
      <c r="K33" s="12"/>
      <c r="L33" s="12"/>
      <c r="M33" s="12"/>
      <c r="N33" s="12"/>
      <c r="O33" s="12"/>
      <c r="P33" s="12"/>
      <c r="Q33" s="12"/>
      <c r="R33" s="12"/>
    </row>
    <row r="34">
      <c r="A34" s="11" t="s">
        <v>165</v>
      </c>
      <c r="B34" s="12"/>
      <c r="C34" s="36">
        <v>1500.0</v>
      </c>
      <c r="D34" s="12">
        <v>2013.0</v>
      </c>
      <c r="E34" s="11" t="s">
        <v>166</v>
      </c>
      <c r="F34" s="38" t="s">
        <v>167</v>
      </c>
      <c r="G34" s="11" t="s">
        <v>168</v>
      </c>
      <c r="H34" s="11">
        <v>27000.0</v>
      </c>
      <c r="I34" s="17" t="s">
        <v>169</v>
      </c>
      <c r="J34" s="12"/>
      <c r="K34" s="12"/>
      <c r="L34" s="12"/>
      <c r="M34" s="12"/>
      <c r="N34" s="12"/>
      <c r="O34" s="12"/>
      <c r="P34" s="12"/>
      <c r="Q34" s="11" t="s">
        <v>167</v>
      </c>
      <c r="R34" s="11"/>
    </row>
    <row r="35">
      <c r="A35" s="11" t="s">
        <v>170</v>
      </c>
      <c r="B35" s="12" t="s">
        <v>171</v>
      </c>
      <c r="C35" s="36" t="str">
        <f>128+1+83+1</f>
        <v>213</v>
      </c>
      <c r="D35" s="12">
        <v>2016.0</v>
      </c>
      <c r="E35" s="12" t="s">
        <v>22</v>
      </c>
      <c r="F35" s="38" t="s">
        <v>23</v>
      </c>
      <c r="G35" s="12"/>
      <c r="H35" s="12" t="str">
        <f>H34/C34</f>
        <v>18</v>
      </c>
      <c r="I35" s="12"/>
      <c r="J35" s="12"/>
      <c r="K35" s="12"/>
      <c r="L35" s="12"/>
      <c r="M35" s="12"/>
      <c r="N35" s="12"/>
      <c r="O35" s="12"/>
      <c r="P35" s="12" t="s">
        <v>172</v>
      </c>
      <c r="Q35" s="11"/>
      <c r="R35" s="12"/>
    </row>
    <row r="36">
      <c r="A36" s="11" t="s">
        <v>173</v>
      </c>
      <c r="B36" s="12"/>
      <c r="C36" s="36">
        <v>35.0</v>
      </c>
      <c r="D36" s="12">
        <v>2015.0</v>
      </c>
      <c r="E36" s="11" t="s">
        <v>166</v>
      </c>
      <c r="F36" s="38" t="s">
        <v>174</v>
      </c>
      <c r="G36" s="11" t="s">
        <v>175</v>
      </c>
      <c r="H36" s="12" t="str">
        <f>204.1*C36</f>
        <v>7143.5</v>
      </c>
      <c r="I36" s="12"/>
      <c r="J36" s="12"/>
      <c r="K36" s="12"/>
      <c r="L36" s="12"/>
      <c r="M36" s="12"/>
      <c r="N36" s="12"/>
      <c r="O36" s="12"/>
      <c r="P36" s="12"/>
      <c r="Q36" s="11" t="s">
        <v>176</v>
      </c>
      <c r="R36" s="11"/>
    </row>
    <row r="37">
      <c r="A37" s="12" t="s">
        <v>177</v>
      </c>
      <c r="B37" s="12"/>
      <c r="C37" s="13">
        <v>1100.0</v>
      </c>
      <c r="D37" s="12">
        <v>2016.0</v>
      </c>
      <c r="E37" s="12" t="s">
        <v>178</v>
      </c>
      <c r="F37" s="38" t="s">
        <v>23</v>
      </c>
      <c r="G37" s="11" t="s">
        <v>179</v>
      </c>
      <c r="H37" s="12" t="str">
        <f>C37*0.4</f>
        <v>440</v>
      </c>
      <c r="I37" s="12"/>
      <c r="J37" s="12"/>
      <c r="K37" s="12"/>
      <c r="L37" s="12"/>
      <c r="M37" s="12"/>
      <c r="N37" s="12"/>
      <c r="O37" s="12"/>
      <c r="P37" s="12"/>
      <c r="Q37" s="11" t="s">
        <v>180</v>
      </c>
      <c r="R37" s="12"/>
    </row>
    <row r="38">
      <c r="A38" s="11" t="s">
        <v>181</v>
      </c>
      <c r="B38" s="12"/>
      <c r="C38" s="36">
        <v>73.0</v>
      </c>
      <c r="D38" s="12">
        <v>2016.0</v>
      </c>
      <c r="E38" s="12" t="s">
        <v>178</v>
      </c>
      <c r="F38" s="38" t="s">
        <v>182</v>
      </c>
      <c r="G38" s="11" t="s">
        <v>183</v>
      </c>
      <c r="H38" s="11" t="s">
        <v>184</v>
      </c>
      <c r="I38" s="11" t="s">
        <v>185</v>
      </c>
      <c r="J38" s="12"/>
      <c r="K38" s="12"/>
      <c r="L38" s="12"/>
      <c r="M38" s="12"/>
      <c r="N38" s="12"/>
      <c r="O38" s="12"/>
      <c r="P38" s="12"/>
      <c r="Q38" s="11" t="s">
        <v>186</v>
      </c>
      <c r="R38" s="11"/>
    </row>
    <row r="39">
      <c r="A39" s="11" t="s">
        <v>187</v>
      </c>
      <c r="B39" s="12"/>
      <c r="C39" s="13" t="s">
        <v>188</v>
      </c>
      <c r="D39" s="11">
        <v>2015.0</v>
      </c>
      <c r="E39" s="11" t="s">
        <v>22</v>
      </c>
      <c r="F39" s="11" t="s">
        <v>189</v>
      </c>
      <c r="G39" s="11" t="s">
        <v>190</v>
      </c>
      <c r="H39" s="11" t="s">
        <v>190</v>
      </c>
      <c r="I39" s="11" t="s">
        <v>189</v>
      </c>
      <c r="J39" s="12"/>
      <c r="K39" s="12"/>
      <c r="L39" s="12"/>
      <c r="M39" s="12"/>
      <c r="N39" s="12"/>
      <c r="O39" s="12"/>
      <c r="P39" s="12"/>
      <c r="Q39" s="11" t="s">
        <v>189</v>
      </c>
      <c r="R39" s="12"/>
    </row>
    <row r="40">
      <c r="A40" s="42" t="s">
        <v>191</v>
      </c>
      <c r="B40" s="12"/>
      <c r="C40" s="11">
        <v>16527.0</v>
      </c>
      <c r="D40" s="11">
        <v>2014.0</v>
      </c>
      <c r="E40" s="11" t="s">
        <v>22</v>
      </c>
      <c r="F40" s="11" t="s">
        <v>192</v>
      </c>
      <c r="G40" s="11"/>
      <c r="I40" s="11"/>
      <c r="J40" s="11" t="s">
        <v>193</v>
      </c>
      <c r="K40" s="43" t="str">
        <f>(5289941*0.003124321224)*6.375</f>
        <v>105363</v>
      </c>
      <c r="L40" s="11" t="s">
        <v>194</v>
      </c>
      <c r="M40" s="12"/>
      <c r="N40" s="12"/>
      <c r="O40" s="11"/>
      <c r="P40" s="16" t="s">
        <v>147</v>
      </c>
      <c r="Q40" s="17" t="s">
        <v>195</v>
      </c>
      <c r="R40" s="11"/>
    </row>
    <row r="41">
      <c r="A41" s="42" t="s">
        <v>196</v>
      </c>
      <c r="B41" s="12"/>
      <c r="C41" s="11">
        <v>20799.0</v>
      </c>
      <c r="D41" s="11">
        <v>2014.0</v>
      </c>
      <c r="E41" s="11" t="s">
        <v>22</v>
      </c>
      <c r="F41" s="11" t="s">
        <v>192</v>
      </c>
      <c r="G41" s="12"/>
      <c r="I41" s="11"/>
      <c r="J41" s="11" t="s">
        <v>197</v>
      </c>
      <c r="K41" s="43" t="str">
        <f>(6657160*0.003124321224)*5.625</f>
        <v>116995</v>
      </c>
      <c r="L41" s="11" t="s">
        <v>194</v>
      </c>
      <c r="M41" s="12"/>
      <c r="N41" s="12"/>
      <c r="O41" s="11"/>
      <c r="P41" s="16" t="s">
        <v>147</v>
      </c>
      <c r="Q41" s="17" t="s">
        <v>195</v>
      </c>
      <c r="R41" s="11"/>
    </row>
    <row r="42">
      <c r="A42" s="42" t="s">
        <v>198</v>
      </c>
      <c r="B42" s="12"/>
      <c r="C42" s="11">
        <v>17436.0</v>
      </c>
      <c r="D42" s="11">
        <v>2014.0</v>
      </c>
      <c r="E42" s="11" t="s">
        <v>22</v>
      </c>
      <c r="F42" s="11" t="s">
        <v>192</v>
      </c>
      <c r="G42" s="11"/>
      <c r="H42" s="44"/>
      <c r="I42" s="11"/>
      <c r="J42" s="11" t="s">
        <v>199</v>
      </c>
      <c r="K42" s="43" t="str">
        <f>(5580625*0.003124321224)*6.942</f>
        <v>121038</v>
      </c>
      <c r="L42" s="11" t="s">
        <v>194</v>
      </c>
      <c r="M42" s="11" t="s">
        <v>200</v>
      </c>
      <c r="N42" s="43" t="str">
        <f>(5580625*0.003124321224)*0.39</f>
        <v>6800</v>
      </c>
      <c r="O42" s="11" t="s">
        <v>194</v>
      </c>
      <c r="P42" s="16" t="s">
        <v>147</v>
      </c>
      <c r="Q42" s="17" t="s">
        <v>195</v>
      </c>
      <c r="R42" s="11"/>
    </row>
    <row r="43">
      <c r="A43" s="42" t="s">
        <v>201</v>
      </c>
      <c r="B43" s="12"/>
      <c r="C43" s="11">
        <v>31451.0</v>
      </c>
      <c r="D43" s="11">
        <v>2014.0</v>
      </c>
      <c r="E43" s="11" t="s">
        <v>22</v>
      </c>
      <c r="F43" s="11" t="s">
        <v>192</v>
      </c>
      <c r="G43" s="12"/>
      <c r="I43" s="11"/>
      <c r="J43" s="42" t="s">
        <v>202</v>
      </c>
      <c r="K43" s="43" t="str">
        <f>(10066658*0.003124321224)*5.11</f>
        <v>160717</v>
      </c>
      <c r="L43" s="11" t="s">
        <v>194</v>
      </c>
      <c r="M43" s="11" t="s">
        <v>203</v>
      </c>
      <c r="N43" s="43" t="str">
        <f>(10066658*0.003124321224)*0.29</f>
        <v>9121</v>
      </c>
      <c r="O43" s="11" t="s">
        <v>194</v>
      </c>
      <c r="P43" s="16" t="s">
        <v>147</v>
      </c>
      <c r="Q43" s="17" t="s">
        <v>195</v>
      </c>
      <c r="R43" s="11"/>
    </row>
    <row r="44">
      <c r="A44" s="42" t="s">
        <v>204</v>
      </c>
      <c r="B44" s="12"/>
      <c r="C44" s="11">
        <v>41102.0</v>
      </c>
      <c r="D44" s="11">
        <v>2014.0</v>
      </c>
      <c r="E44" s="11" t="s">
        <v>22</v>
      </c>
      <c r="F44" s="11" t="s">
        <v>192</v>
      </c>
      <c r="G44" s="12"/>
      <c r="I44" s="11"/>
      <c r="J44" s="11" t="s">
        <v>205</v>
      </c>
      <c r="K44" s="43" t="str">
        <f>(13155480*0.003124321224)*3.65</f>
        <v>150022</v>
      </c>
      <c r="L44" s="11" t="s">
        <v>194</v>
      </c>
      <c r="M44" s="11" t="s">
        <v>206</v>
      </c>
      <c r="N44" s="43" t="str">
        <f>(13155480*0.003124321224)*0.205</f>
        <v>8426</v>
      </c>
      <c r="O44" s="11" t="s">
        <v>194</v>
      </c>
      <c r="P44" s="16" t="s">
        <v>147</v>
      </c>
      <c r="Q44" s="17" t="s">
        <v>195</v>
      </c>
      <c r="R44" s="11"/>
    </row>
    <row r="45">
      <c r="A45" s="42" t="s">
        <v>207</v>
      </c>
      <c r="B45" s="12"/>
      <c r="C45" s="11">
        <v>55969.0</v>
      </c>
      <c r="D45" s="11">
        <v>2014.0</v>
      </c>
      <c r="E45" s="11" t="s">
        <v>22</v>
      </c>
      <c r="F45" s="11" t="s">
        <v>192</v>
      </c>
      <c r="G45" s="11" t="s">
        <v>208</v>
      </c>
      <c r="H45" s="43" t="str">
        <f>(17913861*0.003124321224)*3.699</f>
        <v>207028</v>
      </c>
      <c r="I45" s="11" t="s">
        <v>194</v>
      </c>
      <c r="J45" s="45" t="s">
        <v>209</v>
      </c>
      <c r="K45" s="43" t="str">
        <f>(17913861*0.003124321224)*0.22115</f>
        <v>12377</v>
      </c>
      <c r="L45" s="11" t="s">
        <v>194</v>
      </c>
      <c r="M45" s="12"/>
      <c r="N45" s="12"/>
      <c r="O45" s="12"/>
      <c r="P45" s="16" t="s">
        <v>147</v>
      </c>
      <c r="Q45" s="17" t="s">
        <v>195</v>
      </c>
      <c r="R45" s="11"/>
    </row>
    <row r="46">
      <c r="A46" s="42" t="s">
        <v>210</v>
      </c>
      <c r="B46" s="12"/>
      <c r="C46" s="11">
        <v>71419.0</v>
      </c>
      <c r="D46" s="11">
        <v>2014.0</v>
      </c>
      <c r="E46" s="11" t="s">
        <v>22</v>
      </c>
      <c r="F46" s="11" t="s">
        <v>192</v>
      </c>
      <c r="G46" s="45" t="s">
        <v>211</v>
      </c>
      <c r="H46" s="43" t="str">
        <f>(22859177*0.003124321224)*2.887</f>
        <v>206188</v>
      </c>
      <c r="I46" s="11" t="s">
        <v>194</v>
      </c>
      <c r="J46" s="45" t="s">
        <v>212</v>
      </c>
      <c r="K46" s="43" t="str">
        <f>(22859177*0.003124321224)*0.173</f>
        <v>12356</v>
      </c>
      <c r="L46" s="11" t="s">
        <v>194</v>
      </c>
      <c r="M46" s="12"/>
      <c r="N46" s="12"/>
      <c r="O46" s="12"/>
      <c r="P46" s="16" t="s">
        <v>147</v>
      </c>
      <c r="Q46" s="17" t="s">
        <v>195</v>
      </c>
      <c r="R46" s="12"/>
    </row>
    <row r="47">
      <c r="A47" s="42" t="s">
        <v>213</v>
      </c>
      <c r="B47" s="12"/>
      <c r="C47" s="11">
        <v>91851.0</v>
      </c>
      <c r="D47" s="11">
        <v>2014.0</v>
      </c>
      <c r="E47" s="11" t="s">
        <v>22</v>
      </c>
      <c r="F47" s="11" t="s">
        <v>192</v>
      </c>
      <c r="G47" s="45" t="s">
        <v>214</v>
      </c>
      <c r="H47" s="43" t="str">
        <f>(29398700*0.003124321224)*2.17</f>
        <v>199317</v>
      </c>
      <c r="I47" s="11" t="s">
        <v>194</v>
      </c>
      <c r="J47" s="45" t="s">
        <v>215</v>
      </c>
      <c r="K47" s="43" t="str">
        <f>(29398700*0.003124321224)*0.129</f>
        <v>11849</v>
      </c>
      <c r="L47" s="11" t="s">
        <v>194</v>
      </c>
      <c r="M47" s="12"/>
      <c r="N47" s="12"/>
      <c r="O47" s="12"/>
      <c r="P47" s="16" t="s">
        <v>147</v>
      </c>
      <c r="Q47" s="17" t="s">
        <v>195</v>
      </c>
      <c r="R47" s="12"/>
    </row>
    <row r="48">
      <c r="A48" s="11" t="s">
        <v>216</v>
      </c>
      <c r="B48" s="12"/>
      <c r="C48" s="13" t="str">
        <f>42*6</f>
        <v>252</v>
      </c>
      <c r="D48" s="11">
        <v>2016.0</v>
      </c>
      <c r="E48" s="11" t="s">
        <v>22</v>
      </c>
      <c r="F48" s="17" t="s">
        <v>217</v>
      </c>
      <c r="G48" s="11" t="s">
        <v>218</v>
      </c>
      <c r="H48" s="12" t="str">
        <f>C48*250</f>
        <v>63000</v>
      </c>
      <c r="I48" s="11" t="s">
        <v>219</v>
      </c>
      <c r="J48" s="12"/>
      <c r="K48" s="12"/>
      <c r="L48" s="12"/>
      <c r="M48" s="12"/>
      <c r="N48" s="12"/>
      <c r="O48" s="12"/>
      <c r="P48" s="12"/>
      <c r="Q48" s="11" t="s">
        <v>220</v>
      </c>
      <c r="R48" s="12"/>
    </row>
    <row r="49">
      <c r="A49" s="11" t="s">
        <v>221</v>
      </c>
      <c r="B49" s="12" t="s">
        <v>49</v>
      </c>
      <c r="C49" s="13">
        <v>341.0</v>
      </c>
      <c r="D49" s="12">
        <v>2016.0</v>
      </c>
      <c r="E49" s="12" t="s">
        <v>22</v>
      </c>
      <c r="F49" s="38" t="s">
        <v>222</v>
      </c>
      <c r="G49" s="11" t="s">
        <v>223</v>
      </c>
      <c r="H49" s="16">
        <v>170500.0</v>
      </c>
      <c r="I49" s="46" t="s">
        <v>224</v>
      </c>
      <c r="J49" s="16" t="s">
        <v>225</v>
      </c>
      <c r="K49" s="11">
        <v>25643.2</v>
      </c>
      <c r="L49" s="11" t="s">
        <v>224</v>
      </c>
      <c r="M49" s="11" t="s">
        <v>226</v>
      </c>
      <c r="N49" s="11">
        <v>12923.9</v>
      </c>
      <c r="O49" s="11" t="s">
        <v>224</v>
      </c>
      <c r="P49" s="12" t="s">
        <v>227</v>
      </c>
      <c r="Q49" s="11" t="s">
        <v>228</v>
      </c>
      <c r="R49" s="11"/>
    </row>
    <row r="50">
      <c r="A50" s="11" t="s">
        <v>229</v>
      </c>
      <c r="B50" s="12"/>
      <c r="C50" s="13">
        <v>285.0</v>
      </c>
      <c r="D50" s="11">
        <v>2016.0</v>
      </c>
      <c r="E50" s="11" t="s">
        <v>22</v>
      </c>
      <c r="F50" s="17" t="s">
        <v>182</v>
      </c>
      <c r="G50" s="12"/>
      <c r="H50" s="12"/>
      <c r="I50" s="12"/>
      <c r="J50" s="12"/>
      <c r="K50" s="12"/>
      <c r="L50" s="12"/>
      <c r="M50" s="11" t="s">
        <v>230</v>
      </c>
      <c r="N50" s="12" t="str">
        <f>2*38*285</f>
        <v>21660</v>
      </c>
      <c r="O50" s="17" t="s">
        <v>231</v>
      </c>
      <c r="P50" s="12"/>
      <c r="Q50" s="11" t="s">
        <v>232</v>
      </c>
      <c r="R50" s="12"/>
    </row>
    <row r="51">
      <c r="A51" s="11" t="s">
        <v>233</v>
      </c>
      <c r="B51" s="12"/>
      <c r="C51" s="11">
        <v>27.0</v>
      </c>
      <c r="D51" s="11">
        <v>2016.0</v>
      </c>
      <c r="E51" s="11" t="s">
        <v>22</v>
      </c>
      <c r="F51" s="11" t="s">
        <v>234</v>
      </c>
      <c r="G51" s="11" t="s">
        <v>235</v>
      </c>
      <c r="H51" s="12" t="str">
        <f>23.16*27</f>
        <v>625.32</v>
      </c>
      <c r="I51" s="11" t="s">
        <v>236</v>
      </c>
      <c r="J51" s="12"/>
      <c r="K51" s="12"/>
      <c r="L51" s="12"/>
      <c r="M51" s="12"/>
      <c r="N51" s="12"/>
      <c r="O51" s="12"/>
      <c r="P51" s="12"/>
      <c r="Q51" s="11" t="s">
        <v>167</v>
      </c>
      <c r="R51" s="11"/>
    </row>
    <row r="52">
      <c r="A52" s="11" t="s">
        <v>237</v>
      </c>
      <c r="B52" s="12"/>
      <c r="C52" s="11">
        <v>27.0</v>
      </c>
      <c r="D52" s="11">
        <v>2003.0</v>
      </c>
      <c r="E52" s="11" t="s">
        <v>22</v>
      </c>
      <c r="F52" s="11" t="s">
        <v>234</v>
      </c>
      <c r="G52" s="11" t="s">
        <v>238</v>
      </c>
      <c r="H52" s="12" t="str">
        <f>27*117</f>
        <v>3159</v>
      </c>
      <c r="I52" s="11" t="s">
        <v>239</v>
      </c>
      <c r="J52" s="12"/>
      <c r="K52" s="12"/>
      <c r="L52" s="12"/>
      <c r="M52" s="12"/>
      <c r="N52" s="12"/>
      <c r="O52" s="12"/>
      <c r="P52" s="12"/>
      <c r="Q52" s="11" t="s">
        <v>240</v>
      </c>
      <c r="R52" s="11"/>
    </row>
    <row r="53">
      <c r="A53" s="11" t="s">
        <v>241</v>
      </c>
      <c r="B53" s="12"/>
      <c r="C53" s="36" t="str">
        <f>37616-((2016-2003)*2000)</f>
        <v>11616</v>
      </c>
      <c r="D53" s="11" t="s">
        <v>242</v>
      </c>
      <c r="E53" s="11" t="s">
        <v>22</v>
      </c>
      <c r="F53" s="17" t="s">
        <v>243</v>
      </c>
      <c r="G53" s="16">
        <v>25.0</v>
      </c>
      <c r="H53" s="12" t="str">
        <f>C53*25</f>
        <v>290400</v>
      </c>
      <c r="I53" s="47" t="s">
        <v>243</v>
      </c>
      <c r="J53" s="12"/>
      <c r="K53" s="12"/>
      <c r="L53" s="12"/>
      <c r="M53" s="12"/>
      <c r="N53" s="12"/>
      <c r="O53" s="12"/>
      <c r="P53" s="12"/>
      <c r="Q53" s="11" t="s">
        <v>244</v>
      </c>
      <c r="R53" s="12"/>
    </row>
    <row r="54">
      <c r="A54" s="11" t="s">
        <v>245</v>
      </c>
      <c r="B54" s="12"/>
      <c r="C54" s="48">
        <v>13.0</v>
      </c>
      <c r="D54" s="11">
        <v>2016.0</v>
      </c>
      <c r="E54" s="11" t="s">
        <v>22</v>
      </c>
      <c r="F54" s="17" t="s">
        <v>246</v>
      </c>
      <c r="G54" s="16">
        <v>7670.0</v>
      </c>
      <c r="H54" s="16" t="str">
        <f>G54*13</f>
        <v>99710</v>
      </c>
      <c r="I54" s="11" t="s">
        <v>246</v>
      </c>
      <c r="J54" s="12"/>
      <c r="L54" s="12"/>
      <c r="M54" s="11">
        <v>45.0</v>
      </c>
      <c r="N54" s="12" t="str">
        <f>M54*C54</f>
        <v>585</v>
      </c>
      <c r="O54" s="12"/>
      <c r="P54" s="12"/>
      <c r="Q54" s="11" t="s">
        <v>246</v>
      </c>
      <c r="R54" s="12"/>
    </row>
    <row r="55">
      <c r="A55" s="4"/>
      <c r="B55" s="4"/>
      <c r="C55" s="5"/>
      <c r="D55" s="4"/>
      <c r="E55" s="4"/>
      <c r="F55" s="4"/>
      <c r="G55" s="4"/>
      <c r="H55" s="4"/>
      <c r="I55" s="6"/>
      <c r="J55" s="4"/>
      <c r="K55" s="4"/>
      <c r="L55" s="4"/>
      <c r="M55" s="4"/>
      <c r="N55" s="4"/>
      <c r="O55" s="4"/>
      <c r="P55" s="4"/>
      <c r="Q55" s="6"/>
      <c r="R55" s="4"/>
    </row>
    <row r="56">
      <c r="A56" s="41" t="s">
        <v>247</v>
      </c>
      <c r="B56" s="12"/>
      <c r="C56" s="36"/>
      <c r="D56" s="12"/>
      <c r="E56" s="12"/>
      <c r="F56" s="12"/>
      <c r="G56" s="12"/>
      <c r="H56" s="12"/>
      <c r="I56" s="12"/>
      <c r="J56" s="12"/>
      <c r="K56" s="12"/>
      <c r="L56" s="12"/>
      <c r="M56" s="12"/>
      <c r="N56" s="12"/>
      <c r="O56" s="12"/>
      <c r="P56" s="12"/>
      <c r="Q56" s="12"/>
      <c r="R56" s="12"/>
    </row>
    <row r="57">
      <c r="A57" s="8" t="s">
        <v>248</v>
      </c>
      <c r="B57" s="12"/>
      <c r="C57" s="36">
        <v>228691.0</v>
      </c>
      <c r="D57" s="14">
        <v>2015.0</v>
      </c>
      <c r="E57" s="11" t="s">
        <v>22</v>
      </c>
      <c r="F57" s="49" t="s">
        <v>23</v>
      </c>
      <c r="G57" s="11" t="s">
        <v>249</v>
      </c>
      <c r="H57" s="12" t="str">
        <f>840*228691</f>
        <v>192100440</v>
      </c>
      <c r="I57" s="17" t="s">
        <v>250</v>
      </c>
      <c r="J57" s="11" t="s">
        <v>251</v>
      </c>
      <c r="K57" s="12" t="str">
        <f>22*C57</f>
        <v>5031202</v>
      </c>
      <c r="L57" s="17" t="s">
        <v>252</v>
      </c>
      <c r="M57" s="16" t="s">
        <v>253</v>
      </c>
      <c r="N57" s="12" t="str">
        <f>C57*119</f>
        <v>27214229</v>
      </c>
      <c r="O57" s="50" t="s">
        <v>254</v>
      </c>
      <c r="P57" s="51" t="s">
        <v>255</v>
      </c>
      <c r="Q57" s="11" t="s">
        <v>76</v>
      </c>
      <c r="R57" s="12"/>
    </row>
    <row r="58">
      <c r="A58" s="12" t="s">
        <v>256</v>
      </c>
      <c r="B58" s="12"/>
      <c r="C58" s="36">
        <v>2377.0</v>
      </c>
      <c r="D58" s="14">
        <v>2015.0</v>
      </c>
      <c r="E58" s="11" t="s">
        <v>22</v>
      </c>
      <c r="F58" s="49" t="s">
        <v>23</v>
      </c>
      <c r="G58" s="11" t="s">
        <v>249</v>
      </c>
      <c r="H58" s="12" t="str">
        <f t="shared" ref="H58:H59" si="1">840*C58</f>
        <v>1996680</v>
      </c>
      <c r="I58" s="17" t="s">
        <v>250</v>
      </c>
      <c r="J58" s="11" t="s">
        <v>251</v>
      </c>
      <c r="K58" s="12" t="str">
        <f>C58*22</f>
        <v>52294</v>
      </c>
      <c r="L58" s="17" t="s">
        <v>252</v>
      </c>
      <c r="M58" s="16" t="s">
        <v>257</v>
      </c>
      <c r="N58" s="12" t="str">
        <f>119*C58</f>
        <v>282863</v>
      </c>
      <c r="O58" s="50" t="s">
        <v>254</v>
      </c>
      <c r="P58" s="11" t="s">
        <v>258</v>
      </c>
      <c r="Q58" s="11" t="s">
        <v>76</v>
      </c>
      <c r="R58" s="12"/>
    </row>
    <row r="59">
      <c r="A59" s="52" t="s">
        <v>259</v>
      </c>
      <c r="B59" s="12"/>
      <c r="C59" s="36">
        <v>20009.0</v>
      </c>
      <c r="D59" s="14">
        <v>2015.0</v>
      </c>
      <c r="E59" s="11" t="s">
        <v>22</v>
      </c>
      <c r="F59" s="49" t="s">
        <v>23</v>
      </c>
      <c r="G59" s="11" t="s">
        <v>249</v>
      </c>
      <c r="H59" s="12" t="str">
        <f t="shared" si="1"/>
        <v>16807560</v>
      </c>
      <c r="I59" s="17" t="s">
        <v>250</v>
      </c>
      <c r="J59" s="11" t="s">
        <v>251</v>
      </c>
      <c r="K59" s="12" t="str">
        <f>22*C59</f>
        <v>440198</v>
      </c>
      <c r="L59" s="17" t="s">
        <v>252</v>
      </c>
      <c r="M59" s="11" t="s">
        <v>260</v>
      </c>
      <c r="N59" s="12" t="str">
        <f>124*C59</f>
        <v>2481116</v>
      </c>
      <c r="O59" s="50" t="s">
        <v>254</v>
      </c>
      <c r="P59" s="11" t="s">
        <v>261</v>
      </c>
      <c r="Q59" s="11" t="s">
        <v>262</v>
      </c>
      <c r="R59" s="12"/>
    </row>
    <row r="60">
      <c r="A60" s="8" t="s">
        <v>263</v>
      </c>
      <c r="B60" s="12"/>
      <c r="C60" s="36">
        <v>1096.0</v>
      </c>
      <c r="D60" s="14">
        <v>2015.0</v>
      </c>
      <c r="E60" s="11" t="s">
        <v>22</v>
      </c>
      <c r="F60" s="49" t="s">
        <v>23</v>
      </c>
      <c r="G60" s="53" t="s">
        <v>264</v>
      </c>
      <c r="H60" s="11">
        <v>8548800.0</v>
      </c>
      <c r="I60" s="17" t="s">
        <v>76</v>
      </c>
      <c r="J60" s="51" t="s">
        <v>265</v>
      </c>
      <c r="K60" s="12" t="str">
        <f>20*C60</f>
        <v>21920</v>
      </c>
      <c r="L60" s="51" t="s">
        <v>266</v>
      </c>
      <c r="M60" s="11" t="s">
        <v>267</v>
      </c>
      <c r="N60" s="12" t="str">
        <f>262.5*C60</f>
        <v>287700</v>
      </c>
      <c r="O60" s="11" t="s">
        <v>76</v>
      </c>
      <c r="P60" s="11" t="s">
        <v>268</v>
      </c>
      <c r="Q60" s="11" t="s">
        <v>269</v>
      </c>
      <c r="R60" s="12"/>
    </row>
    <row r="61">
      <c r="A61" s="12" t="s">
        <v>270</v>
      </c>
      <c r="B61" s="12"/>
      <c r="C61" s="36">
        <v>18009.0</v>
      </c>
      <c r="D61" s="14">
        <v>2015.0</v>
      </c>
      <c r="E61" s="11" t="s">
        <v>22</v>
      </c>
      <c r="F61" s="49" t="s">
        <v>23</v>
      </c>
      <c r="G61" s="11" t="s">
        <v>271</v>
      </c>
      <c r="H61" s="12" t="str">
        <f>105*C61</f>
        <v>1890945</v>
      </c>
      <c r="I61" s="11" t="s">
        <v>272</v>
      </c>
      <c r="J61" s="11" t="s">
        <v>273</v>
      </c>
      <c r="K61" s="12" t="str">
        <f>3*C61</f>
        <v>54027</v>
      </c>
      <c r="L61" s="51" t="s">
        <v>274</v>
      </c>
      <c r="M61" s="11" t="s">
        <v>275</v>
      </c>
      <c r="N61" s="12" t="str">
        <f>45*C61</f>
        <v>810405</v>
      </c>
      <c r="O61" s="17" t="s">
        <v>276</v>
      </c>
      <c r="P61" s="11" t="s">
        <v>277</v>
      </c>
      <c r="Q61" s="17" t="s">
        <v>278</v>
      </c>
      <c r="R61" s="12"/>
    </row>
    <row r="62">
      <c r="A62" s="54" t="s">
        <v>279</v>
      </c>
      <c r="B62" s="12"/>
      <c r="C62" s="13">
        <v>211.0</v>
      </c>
      <c r="D62" s="14">
        <v>2015.0</v>
      </c>
      <c r="E62" s="11" t="s">
        <v>22</v>
      </c>
      <c r="F62" s="49" t="s">
        <v>280</v>
      </c>
      <c r="G62" s="11" t="s">
        <v>281</v>
      </c>
      <c r="H62" s="11">
        <v>1380600.0</v>
      </c>
      <c r="I62" s="11" t="s">
        <v>282</v>
      </c>
      <c r="J62" s="11" t="s">
        <v>283</v>
      </c>
      <c r="K62" s="11">
        <v>218400.0</v>
      </c>
      <c r="L62" s="17" t="s">
        <v>284</v>
      </c>
      <c r="M62" s="11" t="s">
        <v>285</v>
      </c>
      <c r="N62" s="11">
        <v>3337100.0</v>
      </c>
      <c r="O62" s="11" t="s">
        <v>76</v>
      </c>
      <c r="P62" s="11" t="s">
        <v>286</v>
      </c>
      <c r="Q62" s="11" t="s">
        <v>262</v>
      </c>
      <c r="R62" s="12"/>
    </row>
    <row r="63">
      <c r="A63" s="11" t="s">
        <v>287</v>
      </c>
      <c r="B63" s="12"/>
      <c r="C63" s="13">
        <v>800000.0</v>
      </c>
      <c r="D63" s="12"/>
      <c r="E63" s="11" t="s">
        <v>22</v>
      </c>
      <c r="F63" s="49" t="s">
        <v>288</v>
      </c>
      <c r="G63" s="11" t="s">
        <v>289</v>
      </c>
      <c r="H63" s="11" t="str">
        <f>6.16*C63</f>
        <v>4928000</v>
      </c>
      <c r="I63" s="11" t="s">
        <v>290</v>
      </c>
      <c r="J63" s="12"/>
      <c r="K63" s="11"/>
      <c r="L63" s="12"/>
      <c r="M63" s="11" t="s">
        <v>291</v>
      </c>
      <c r="N63" s="11" t="str">
        <f>5.47*C63</f>
        <v>4376000</v>
      </c>
      <c r="O63" s="17" t="s">
        <v>292</v>
      </c>
      <c r="P63" s="11" t="s">
        <v>293</v>
      </c>
      <c r="Q63" s="11" t="s">
        <v>76</v>
      </c>
      <c r="R63" s="12"/>
    </row>
    <row r="64">
      <c r="A64" s="11" t="s">
        <v>294</v>
      </c>
      <c r="B64" s="12"/>
      <c r="C64" s="13">
        <v>56253.0</v>
      </c>
      <c r="D64" s="12">
        <v>2015.0</v>
      </c>
      <c r="E64" s="11" t="s">
        <v>22</v>
      </c>
      <c r="F64" s="49" t="s">
        <v>23</v>
      </c>
      <c r="G64" s="11" t="s">
        <v>295</v>
      </c>
      <c r="H64" s="11">
        <v>3009072.0</v>
      </c>
      <c r="I64" s="11" t="s">
        <v>272</v>
      </c>
      <c r="J64" s="11" t="s">
        <v>296</v>
      </c>
      <c r="K64" s="11">
        <v>75759.0</v>
      </c>
      <c r="L64" s="55" t="s">
        <v>297</v>
      </c>
      <c r="M64" s="11" t="s">
        <v>298</v>
      </c>
      <c r="N64" s="11">
        <v>852965.0</v>
      </c>
      <c r="O64" s="11" t="s">
        <v>299</v>
      </c>
      <c r="P64" s="11" t="s">
        <v>300</v>
      </c>
      <c r="Q64" s="17" t="s">
        <v>301</v>
      </c>
      <c r="R64" s="12"/>
    </row>
    <row r="65">
      <c r="A65" s="11" t="s">
        <v>302</v>
      </c>
      <c r="B65" s="12"/>
      <c r="C65" s="13">
        <v>172.0</v>
      </c>
      <c r="D65" s="12">
        <v>2014.0</v>
      </c>
      <c r="E65" s="11" t="s">
        <v>303</v>
      </c>
      <c r="F65" s="49" t="s">
        <v>280</v>
      </c>
      <c r="G65" s="53" t="s">
        <v>304</v>
      </c>
      <c r="H65" s="11">
        <v>997542.0</v>
      </c>
      <c r="I65" s="53" t="s">
        <v>305</v>
      </c>
      <c r="J65" s="11" t="s">
        <v>306</v>
      </c>
      <c r="K65" s="11">
        <v>31466.0</v>
      </c>
      <c r="L65" s="17" t="s">
        <v>305</v>
      </c>
      <c r="M65" s="11" t="s">
        <v>307</v>
      </c>
      <c r="N65" s="11" t="s">
        <v>308</v>
      </c>
      <c r="O65" s="17" t="s">
        <v>305</v>
      </c>
      <c r="P65" s="11" t="s">
        <v>309</v>
      </c>
      <c r="Q65" s="11" t="s">
        <v>262</v>
      </c>
      <c r="R65" s="12"/>
    </row>
    <row r="66">
      <c r="A66" s="54" t="s">
        <v>310</v>
      </c>
      <c r="B66" s="12"/>
      <c r="C66" s="13">
        <v>90.0</v>
      </c>
      <c r="D66" s="12">
        <v>2014.0</v>
      </c>
      <c r="E66" s="11" t="s">
        <v>303</v>
      </c>
      <c r="F66" s="49" t="s">
        <v>280</v>
      </c>
      <c r="G66" s="11" t="s">
        <v>311</v>
      </c>
      <c r="H66" s="11">
        <v>4023560.0</v>
      </c>
      <c r="I66" s="11" t="s">
        <v>312</v>
      </c>
      <c r="J66" s="56">
        <v>0.026</v>
      </c>
      <c r="K66" s="11">
        <v>215696.0</v>
      </c>
      <c r="L66" s="11" t="s">
        <v>313</v>
      </c>
      <c r="M66" s="56">
        <v>0.308</v>
      </c>
      <c r="N66" s="11">
        <v>2555168.0</v>
      </c>
      <c r="O66" s="11" t="s">
        <v>312</v>
      </c>
      <c r="P66" s="11" t="s">
        <v>314</v>
      </c>
      <c r="Q66" s="11" t="s">
        <v>315</v>
      </c>
      <c r="R66" s="12"/>
    </row>
    <row r="67">
      <c r="A67" s="4"/>
      <c r="B67" s="4"/>
      <c r="C67" s="5"/>
      <c r="D67" s="4"/>
      <c r="E67" s="4"/>
      <c r="F67" s="4"/>
      <c r="G67" s="4"/>
      <c r="H67" s="4"/>
      <c r="I67" s="6"/>
      <c r="J67" s="4"/>
      <c r="K67" s="4"/>
      <c r="L67" s="4"/>
      <c r="M67" s="4"/>
      <c r="N67" s="4"/>
      <c r="O67" s="4"/>
      <c r="P67" s="4"/>
      <c r="Q67" s="6"/>
      <c r="R67" s="4"/>
    </row>
    <row r="68">
      <c r="A68" s="7" t="s">
        <v>316</v>
      </c>
      <c r="B68" s="12"/>
      <c r="C68" s="13"/>
      <c r="D68" s="11"/>
      <c r="E68" s="11"/>
      <c r="F68" s="12"/>
      <c r="G68" s="11"/>
      <c r="H68" s="11"/>
      <c r="I68" s="11"/>
      <c r="J68" s="11"/>
      <c r="K68" s="11"/>
      <c r="L68" s="12"/>
      <c r="M68" s="11"/>
      <c r="N68" s="11" t="s">
        <v>317</v>
      </c>
      <c r="O68" s="12"/>
      <c r="P68" s="12"/>
      <c r="Q68" s="12"/>
      <c r="R68" s="12"/>
    </row>
    <row r="69">
      <c r="A69" s="57" t="s">
        <v>318</v>
      </c>
      <c r="B69" s="58"/>
      <c r="C69" s="59">
        <v>432610.0</v>
      </c>
      <c r="D69" s="60">
        <v>2012.0</v>
      </c>
      <c r="E69" s="60" t="s">
        <v>319</v>
      </c>
      <c r="F69" s="61" t="s">
        <v>320</v>
      </c>
      <c r="G69" s="60"/>
      <c r="H69" s="60"/>
      <c r="I69" s="60"/>
      <c r="J69" s="60"/>
      <c r="K69" s="60"/>
      <c r="L69" s="58"/>
      <c r="M69" s="60"/>
      <c r="N69" s="60"/>
      <c r="O69" s="58"/>
      <c r="P69" s="58"/>
      <c r="Q69" s="58"/>
      <c r="R69" s="58"/>
    </row>
    <row r="70">
      <c r="A70" s="57" t="s">
        <v>321</v>
      </c>
      <c r="B70" s="58"/>
      <c r="C70" s="59">
        <v>790110.0</v>
      </c>
      <c r="D70" s="60">
        <v>2012.0</v>
      </c>
      <c r="E70" s="60" t="s">
        <v>22</v>
      </c>
      <c r="F70" s="61" t="s">
        <v>320</v>
      </c>
      <c r="G70" s="60"/>
      <c r="H70" s="60"/>
      <c r="I70" s="60"/>
      <c r="J70" s="60"/>
      <c r="K70" s="60"/>
      <c r="L70" s="58"/>
      <c r="M70" s="60"/>
      <c r="N70" s="60"/>
      <c r="O70" s="58"/>
      <c r="P70" s="58"/>
      <c r="Q70" s="58"/>
      <c r="R70" s="58"/>
    </row>
    <row r="71">
      <c r="A71" s="57" t="s">
        <v>322</v>
      </c>
      <c r="B71" s="58"/>
      <c r="C71" s="59">
        <v>340537.0</v>
      </c>
      <c r="D71" s="60"/>
      <c r="E71" s="60" t="s">
        <v>22</v>
      </c>
      <c r="F71" s="60" t="s">
        <v>323</v>
      </c>
      <c r="G71" s="60"/>
      <c r="H71" s="60"/>
      <c r="I71" s="60"/>
      <c r="J71" s="60"/>
      <c r="K71" s="60"/>
      <c r="L71" s="58"/>
      <c r="M71" s="60"/>
      <c r="N71" s="60"/>
      <c r="O71" s="58"/>
      <c r="P71" s="58"/>
      <c r="Q71" s="58"/>
      <c r="R71" s="58"/>
    </row>
    <row r="72">
      <c r="A72" s="62" t="s">
        <v>324</v>
      </c>
      <c r="B72" s="12"/>
      <c r="C72" s="13" t="s">
        <v>325</v>
      </c>
      <c r="D72" s="12"/>
      <c r="E72" s="11" t="s">
        <v>22</v>
      </c>
      <c r="F72" s="11" t="s">
        <v>323</v>
      </c>
      <c r="G72" s="11" t="s">
        <v>326</v>
      </c>
      <c r="H72" s="11"/>
      <c r="I72" s="11" t="s">
        <v>327</v>
      </c>
      <c r="J72" s="11" t="s">
        <v>328</v>
      </c>
      <c r="K72" s="11"/>
      <c r="L72" s="11" t="s">
        <v>327</v>
      </c>
      <c r="M72" s="11" t="s">
        <v>329</v>
      </c>
      <c r="N72" s="11">
        <v>58.0</v>
      </c>
      <c r="O72" s="63" t="s">
        <v>330</v>
      </c>
      <c r="P72" s="12"/>
      <c r="Q72" s="12"/>
      <c r="R72" s="12"/>
    </row>
    <row r="73">
      <c r="B73" s="12"/>
      <c r="C73" s="36"/>
      <c r="D73" s="12"/>
      <c r="E73" s="12"/>
      <c r="F73" s="12"/>
      <c r="G73" s="11" t="s">
        <v>331</v>
      </c>
      <c r="H73" s="11">
        <v>275.0</v>
      </c>
      <c r="I73" s="17" t="s">
        <v>332</v>
      </c>
      <c r="J73" s="11" t="s">
        <v>333</v>
      </c>
      <c r="K73" s="11">
        <v>14.5</v>
      </c>
      <c r="L73" s="17" t="s">
        <v>332</v>
      </c>
      <c r="M73" s="11" t="s">
        <v>334</v>
      </c>
      <c r="N73" s="11"/>
      <c r="O73" s="11" t="s">
        <v>327</v>
      </c>
      <c r="P73" s="11" t="s">
        <v>335</v>
      </c>
      <c r="Q73" s="11" t="s">
        <v>336</v>
      </c>
      <c r="R73" s="12"/>
    </row>
    <row r="74">
      <c r="A74" s="62" t="s">
        <v>337</v>
      </c>
      <c r="B74" s="12"/>
      <c r="C74" s="36"/>
      <c r="D74" s="12"/>
      <c r="E74" s="12"/>
      <c r="F74" s="12"/>
      <c r="G74" s="11" t="s">
        <v>338</v>
      </c>
      <c r="H74" s="12"/>
      <c r="I74" s="11" t="s">
        <v>339</v>
      </c>
      <c r="J74" s="11" t="s">
        <v>340</v>
      </c>
      <c r="K74" s="12"/>
      <c r="L74" s="11" t="s">
        <v>341</v>
      </c>
      <c r="M74" s="11" t="s">
        <v>342</v>
      </c>
      <c r="N74" s="12"/>
      <c r="O74" s="11" t="s">
        <v>343</v>
      </c>
      <c r="P74" s="11" t="s">
        <v>344</v>
      </c>
      <c r="Q74" s="12"/>
      <c r="R74" s="12"/>
    </row>
    <row r="75">
      <c r="B75" s="12"/>
      <c r="C75" s="13"/>
      <c r="D75" s="11"/>
      <c r="E75" s="11"/>
      <c r="F75" s="64"/>
      <c r="G75" s="12"/>
      <c r="H75" s="12"/>
      <c r="I75" s="12"/>
      <c r="J75" s="11" t="s">
        <v>345</v>
      </c>
      <c r="K75" s="12"/>
      <c r="L75" s="11" t="s">
        <v>339</v>
      </c>
      <c r="M75" s="11" t="s">
        <v>346</v>
      </c>
      <c r="N75" s="12"/>
      <c r="O75" s="11" t="s">
        <v>339</v>
      </c>
      <c r="P75" s="12"/>
      <c r="Q75" s="12"/>
      <c r="R75" s="12"/>
    </row>
    <row r="76">
      <c r="A76" s="12" t="s">
        <v>347</v>
      </c>
      <c r="B76" s="12"/>
      <c r="C76" s="13" t="s">
        <v>348</v>
      </c>
      <c r="D76" s="11">
        <v>2006.0</v>
      </c>
      <c r="E76" s="11" t="s">
        <v>22</v>
      </c>
      <c r="F76" s="17" t="s">
        <v>349</v>
      </c>
      <c r="G76" s="11" t="s">
        <v>350</v>
      </c>
      <c r="H76" s="11">
        <v>20.8</v>
      </c>
      <c r="I76" s="17" t="s">
        <v>351</v>
      </c>
      <c r="J76" s="12"/>
      <c r="K76" s="12"/>
      <c r="L76" s="12"/>
      <c r="M76" s="11" t="s">
        <v>352</v>
      </c>
      <c r="N76" s="11">
        <v>21.7</v>
      </c>
      <c r="O76" s="63" t="s">
        <v>353</v>
      </c>
      <c r="P76" s="11" t="s">
        <v>354</v>
      </c>
      <c r="Q76" s="11" t="s">
        <v>355</v>
      </c>
      <c r="R76" s="12"/>
    </row>
    <row r="77">
      <c r="A77" s="62" t="s">
        <v>356</v>
      </c>
      <c r="B77" s="12"/>
      <c r="C77" s="13" t="s">
        <v>357</v>
      </c>
      <c r="D77" s="11">
        <v>2004.0</v>
      </c>
      <c r="E77" s="11" t="s">
        <v>22</v>
      </c>
      <c r="F77" s="17" t="s">
        <v>349</v>
      </c>
      <c r="G77" s="11" t="s">
        <v>358</v>
      </c>
      <c r="H77" s="11">
        <v>351.3</v>
      </c>
      <c r="I77" s="11" t="s">
        <v>224</v>
      </c>
      <c r="J77" s="11" t="s">
        <v>359</v>
      </c>
      <c r="K77" s="11">
        <v>54.0</v>
      </c>
      <c r="L77" s="11" t="s">
        <v>224</v>
      </c>
      <c r="M77" s="11" t="s">
        <v>360</v>
      </c>
      <c r="N77" s="11">
        <v>27.2</v>
      </c>
      <c r="O77" s="11" t="s">
        <v>224</v>
      </c>
      <c r="P77" s="11" t="s">
        <v>361</v>
      </c>
      <c r="Q77" s="12"/>
      <c r="R77" s="12"/>
    </row>
    <row r="78">
      <c r="B78" s="12"/>
      <c r="C78" s="13" t="s">
        <v>362</v>
      </c>
      <c r="D78" s="11">
        <v>2012.0</v>
      </c>
      <c r="E78" s="11" t="s">
        <v>22</v>
      </c>
      <c r="F78" s="11" t="s">
        <v>363</v>
      </c>
      <c r="G78" s="11"/>
      <c r="H78" s="12"/>
      <c r="I78" s="11"/>
      <c r="J78" s="11" t="s">
        <v>364</v>
      </c>
      <c r="K78" s="11"/>
      <c r="L78" s="11" t="s">
        <v>341</v>
      </c>
      <c r="M78" s="11" t="s">
        <v>365</v>
      </c>
      <c r="N78" s="12"/>
      <c r="O78" s="11" t="s">
        <v>343</v>
      </c>
      <c r="P78" s="11" t="s">
        <v>366</v>
      </c>
      <c r="Q78" s="11" t="s">
        <v>355</v>
      </c>
      <c r="R78" s="12"/>
    </row>
    <row r="79">
      <c r="A79" s="11" t="s">
        <v>367</v>
      </c>
      <c r="B79" s="12"/>
      <c r="C79" s="13" t="s">
        <v>368</v>
      </c>
      <c r="D79" s="11">
        <v>2012.0</v>
      </c>
      <c r="E79" s="11" t="s">
        <v>22</v>
      </c>
      <c r="F79" s="11" t="s">
        <v>363</v>
      </c>
      <c r="G79" s="11" t="s">
        <v>369</v>
      </c>
      <c r="H79" s="11">
        <v>612.4</v>
      </c>
      <c r="I79" s="11" t="s">
        <v>370</v>
      </c>
      <c r="J79" s="11" t="s">
        <v>371</v>
      </c>
      <c r="K79" s="11">
        <v>141.0</v>
      </c>
      <c r="L79" s="11" t="s">
        <v>370</v>
      </c>
      <c r="M79" s="11" t="s">
        <v>372</v>
      </c>
      <c r="N79" s="11">
        <v>203.0</v>
      </c>
      <c r="O79" s="11" t="s">
        <v>370</v>
      </c>
      <c r="P79" s="11" t="s">
        <v>373</v>
      </c>
      <c r="Q79" s="11" t="s">
        <v>355</v>
      </c>
      <c r="R79" s="12"/>
    </row>
    <row r="80">
      <c r="A80" s="65" t="s">
        <v>374</v>
      </c>
      <c r="B80" s="12"/>
      <c r="C80" s="13" t="s">
        <v>375</v>
      </c>
      <c r="D80" s="11">
        <v>2003.0</v>
      </c>
      <c r="E80" s="11" t="s">
        <v>22</v>
      </c>
      <c r="F80" s="17" t="s">
        <v>349</v>
      </c>
      <c r="G80" s="11" t="s">
        <v>376</v>
      </c>
      <c r="H80" s="11">
        <v>2162.0</v>
      </c>
      <c r="I80" s="11" t="s">
        <v>377</v>
      </c>
      <c r="J80" s="11" t="s">
        <v>378</v>
      </c>
      <c r="K80" s="11">
        <v>636.0</v>
      </c>
      <c r="L80" s="11" t="s">
        <v>377</v>
      </c>
      <c r="M80" s="11" t="s">
        <v>379</v>
      </c>
      <c r="N80" s="11">
        <v>254.0</v>
      </c>
      <c r="O80" s="11" t="s">
        <v>343</v>
      </c>
      <c r="P80" s="11" t="s">
        <v>380</v>
      </c>
      <c r="Q80" s="12"/>
      <c r="R80" s="12"/>
    </row>
    <row r="81">
      <c r="B81" s="12"/>
      <c r="C81" s="13" t="s">
        <v>381</v>
      </c>
      <c r="D81" s="11"/>
      <c r="E81" s="11" t="s">
        <v>22</v>
      </c>
      <c r="F81" s="11" t="s">
        <v>323</v>
      </c>
      <c r="G81" s="11"/>
      <c r="H81" s="12"/>
      <c r="I81" s="11"/>
      <c r="J81" s="11"/>
      <c r="K81" s="12"/>
      <c r="L81" s="11"/>
      <c r="M81" s="11"/>
      <c r="N81" s="12"/>
      <c r="O81" s="11"/>
      <c r="P81" s="11" t="s">
        <v>268</v>
      </c>
      <c r="Q81" s="11" t="s">
        <v>355</v>
      </c>
      <c r="R81" s="12"/>
    </row>
    <row r="82">
      <c r="B82" s="12"/>
      <c r="C82" s="13" t="s">
        <v>382</v>
      </c>
      <c r="D82" s="11">
        <v>2012.0</v>
      </c>
      <c r="E82" s="11" t="s">
        <v>22</v>
      </c>
      <c r="F82" s="11" t="s">
        <v>363</v>
      </c>
      <c r="G82" s="11" t="s">
        <v>383</v>
      </c>
      <c r="H82" s="12"/>
      <c r="I82" s="11" t="s">
        <v>339</v>
      </c>
      <c r="J82" s="11" t="s">
        <v>384</v>
      </c>
      <c r="K82" s="12"/>
      <c r="L82" s="11" t="s">
        <v>339</v>
      </c>
      <c r="M82" s="11" t="s">
        <v>385</v>
      </c>
      <c r="N82" s="12"/>
      <c r="O82" s="11" t="s">
        <v>386</v>
      </c>
      <c r="P82" s="12"/>
      <c r="Q82" s="12"/>
      <c r="R82" s="12"/>
    </row>
    <row r="83">
      <c r="A83" s="65" t="s">
        <v>387</v>
      </c>
      <c r="B83" s="12"/>
      <c r="C83" s="13" t="s">
        <v>388</v>
      </c>
      <c r="D83" s="11">
        <v>2012.0</v>
      </c>
      <c r="E83" s="11" t="s">
        <v>22</v>
      </c>
      <c r="F83" s="11" t="s">
        <v>363</v>
      </c>
      <c r="G83" s="11" t="s">
        <v>389</v>
      </c>
      <c r="H83" s="11">
        <v>5083.0</v>
      </c>
      <c r="I83" s="11" t="s">
        <v>377</v>
      </c>
      <c r="J83" s="11" t="s">
        <v>390</v>
      </c>
      <c r="K83" s="11">
        <v>254.0</v>
      </c>
      <c r="L83" s="11" t="s">
        <v>377</v>
      </c>
      <c r="M83" s="11" t="s">
        <v>391</v>
      </c>
      <c r="N83" s="12"/>
      <c r="O83" s="11" t="s">
        <v>343</v>
      </c>
      <c r="P83" s="11" t="s">
        <v>268</v>
      </c>
      <c r="Q83" s="11" t="s">
        <v>377</v>
      </c>
      <c r="R83" s="12"/>
    </row>
    <row r="84">
      <c r="B84" s="12"/>
      <c r="C84" s="13" t="s">
        <v>392</v>
      </c>
      <c r="D84" s="12"/>
      <c r="E84" s="11" t="s">
        <v>22</v>
      </c>
      <c r="F84" s="11" t="s">
        <v>323</v>
      </c>
      <c r="G84" s="12"/>
      <c r="H84" s="12"/>
      <c r="I84" s="12"/>
      <c r="J84" s="11" t="s">
        <v>393</v>
      </c>
      <c r="K84" s="12"/>
      <c r="L84" s="11" t="s">
        <v>394</v>
      </c>
      <c r="M84" s="11" t="s">
        <v>395</v>
      </c>
      <c r="N84" s="11">
        <v>254.0</v>
      </c>
      <c r="O84" s="11" t="s">
        <v>377</v>
      </c>
      <c r="P84" s="12"/>
      <c r="Q84" s="12"/>
      <c r="R84" s="12"/>
    </row>
    <row r="85">
      <c r="A85" s="65" t="s">
        <v>396</v>
      </c>
      <c r="B85" s="12"/>
      <c r="C85" s="13" t="s">
        <v>397</v>
      </c>
      <c r="D85" s="11">
        <v>2012.0</v>
      </c>
      <c r="E85" s="11" t="s">
        <v>22</v>
      </c>
      <c r="F85" s="11" t="s">
        <v>363</v>
      </c>
      <c r="G85" s="11" t="s">
        <v>398</v>
      </c>
      <c r="H85" s="11">
        <v>8417.0</v>
      </c>
      <c r="I85" s="11" t="s">
        <v>399</v>
      </c>
      <c r="J85" s="11" t="s">
        <v>400</v>
      </c>
      <c r="K85" s="11">
        <v>538.0</v>
      </c>
      <c r="L85" s="11" t="s">
        <v>401</v>
      </c>
      <c r="M85" s="11" t="s">
        <v>402</v>
      </c>
      <c r="N85" s="12"/>
      <c r="O85" s="11" t="s">
        <v>343</v>
      </c>
      <c r="P85" s="11" t="s">
        <v>403</v>
      </c>
      <c r="Q85" s="11" t="s">
        <v>377</v>
      </c>
      <c r="R85" s="12"/>
    </row>
    <row r="86">
      <c r="B86" s="12"/>
      <c r="C86" s="13" t="s">
        <v>404</v>
      </c>
      <c r="D86" s="12"/>
      <c r="E86" s="11" t="s">
        <v>22</v>
      </c>
      <c r="F86" s="11" t="s">
        <v>323</v>
      </c>
      <c r="G86" s="11"/>
      <c r="H86" s="12"/>
      <c r="I86" s="11"/>
      <c r="J86" s="11"/>
      <c r="K86" s="12"/>
      <c r="L86" s="11"/>
      <c r="M86" s="11" t="s">
        <v>405</v>
      </c>
      <c r="N86" s="11">
        <v>188.0</v>
      </c>
      <c r="O86" s="11" t="s">
        <v>406</v>
      </c>
      <c r="P86" s="11"/>
      <c r="Q86" s="12"/>
      <c r="R86" s="12"/>
    </row>
    <row r="87">
      <c r="A87" s="65" t="s">
        <v>407</v>
      </c>
      <c r="B87" s="12"/>
      <c r="C87" s="36"/>
      <c r="D87" s="12"/>
      <c r="E87" s="12"/>
      <c r="F87" s="12"/>
      <c r="G87" s="11" t="s">
        <v>408</v>
      </c>
      <c r="H87" s="11">
        <v>15782.0</v>
      </c>
      <c r="I87" s="11" t="s">
        <v>377</v>
      </c>
      <c r="J87" s="11" t="s">
        <v>409</v>
      </c>
      <c r="K87" s="11">
        <v>748.0</v>
      </c>
      <c r="L87" s="11" t="s">
        <v>377</v>
      </c>
      <c r="M87" s="11" t="s">
        <v>410</v>
      </c>
      <c r="N87" s="11">
        <v>789.0</v>
      </c>
      <c r="O87" s="11" t="s">
        <v>343</v>
      </c>
      <c r="P87" s="11" t="s">
        <v>411</v>
      </c>
      <c r="Q87" s="12"/>
      <c r="R87" s="12"/>
    </row>
    <row r="88">
      <c r="B88" s="12"/>
      <c r="C88" s="13" t="s">
        <v>412</v>
      </c>
      <c r="D88" s="11">
        <v>2012.0</v>
      </c>
      <c r="E88" s="11" t="s">
        <v>22</v>
      </c>
      <c r="F88" s="11" t="s">
        <v>363</v>
      </c>
      <c r="G88" s="11" t="s">
        <v>413</v>
      </c>
      <c r="H88" s="12"/>
      <c r="I88" s="11" t="s">
        <v>339</v>
      </c>
      <c r="J88" s="11" t="s">
        <v>414</v>
      </c>
      <c r="K88" s="12"/>
      <c r="L88" s="11" t="s">
        <v>339</v>
      </c>
      <c r="M88" s="11" t="s">
        <v>415</v>
      </c>
      <c r="N88" s="12"/>
      <c r="O88" s="11" t="s">
        <v>386</v>
      </c>
      <c r="P88" s="11" t="s">
        <v>403</v>
      </c>
      <c r="Q88" s="11" t="s">
        <v>377</v>
      </c>
      <c r="R88" s="12"/>
    </row>
    <row r="89">
      <c r="B89" s="12"/>
      <c r="C89" s="13" t="s">
        <v>416</v>
      </c>
      <c r="D89" s="12"/>
      <c r="E89" s="11" t="s">
        <v>22</v>
      </c>
      <c r="F89" s="11" t="s">
        <v>323</v>
      </c>
      <c r="G89" s="12"/>
      <c r="H89" s="12"/>
      <c r="I89" s="12"/>
      <c r="J89" s="11" t="s">
        <v>417</v>
      </c>
      <c r="K89" s="12"/>
      <c r="L89" s="11" t="s">
        <v>394</v>
      </c>
      <c r="M89" s="11"/>
      <c r="N89" s="12"/>
      <c r="O89" s="11"/>
      <c r="P89" s="11" t="s">
        <v>418</v>
      </c>
      <c r="Q89" s="11" t="s">
        <v>355</v>
      </c>
      <c r="R89" s="12"/>
    </row>
    <row r="90">
      <c r="B90" s="12"/>
      <c r="C90" s="36"/>
      <c r="D90" s="12"/>
      <c r="E90" s="12"/>
      <c r="F90" s="12"/>
      <c r="G90" s="12"/>
      <c r="H90" s="12"/>
      <c r="I90" s="12"/>
      <c r="J90" s="11" t="s">
        <v>419</v>
      </c>
      <c r="K90" s="12"/>
      <c r="L90" s="11" t="s">
        <v>341</v>
      </c>
      <c r="M90" s="11" t="s">
        <v>420</v>
      </c>
      <c r="N90" s="12"/>
      <c r="O90" s="11" t="s">
        <v>377</v>
      </c>
      <c r="P90" s="11" t="s">
        <v>421</v>
      </c>
      <c r="Q90" s="12"/>
      <c r="R90" s="12"/>
    </row>
    <row r="91">
      <c r="A91" s="12" t="s">
        <v>422</v>
      </c>
      <c r="B91" s="12"/>
      <c r="C91" s="13" t="s">
        <v>423</v>
      </c>
      <c r="D91" s="11">
        <v>2012.0</v>
      </c>
      <c r="E91" s="11" t="s">
        <v>22</v>
      </c>
      <c r="F91" s="11" t="s">
        <v>363</v>
      </c>
      <c r="G91" s="11" t="s">
        <v>424</v>
      </c>
      <c r="H91" s="11">
        <v>1395.0</v>
      </c>
      <c r="I91" s="11" t="s">
        <v>425</v>
      </c>
      <c r="J91" s="11" t="s">
        <v>426</v>
      </c>
      <c r="K91" s="11">
        <v>239.0</v>
      </c>
      <c r="L91" s="11" t="s">
        <v>425</v>
      </c>
      <c r="M91" s="11" t="s">
        <v>427</v>
      </c>
      <c r="N91" s="11">
        <v>476.0</v>
      </c>
      <c r="O91" s="11" t="s">
        <v>425</v>
      </c>
      <c r="P91" s="12"/>
      <c r="Q91" s="12"/>
      <c r="R91" s="12"/>
    </row>
    <row r="92">
      <c r="A92" s="62" t="s">
        <v>428</v>
      </c>
      <c r="B92" s="12"/>
      <c r="C92" s="13" t="s">
        <v>429</v>
      </c>
      <c r="D92" s="12"/>
      <c r="E92" s="11" t="s">
        <v>22</v>
      </c>
      <c r="F92" s="11" t="s">
        <v>323</v>
      </c>
      <c r="G92" s="11" t="s">
        <v>430</v>
      </c>
      <c r="H92" s="11">
        <v>19312.0</v>
      </c>
      <c r="I92" s="12"/>
      <c r="J92" s="11" t="s">
        <v>431</v>
      </c>
      <c r="K92" s="11">
        <v>53.0</v>
      </c>
      <c r="L92" s="12"/>
      <c r="M92" s="11" t="s">
        <v>432</v>
      </c>
      <c r="N92" s="12"/>
      <c r="O92" s="11" t="s">
        <v>343</v>
      </c>
      <c r="P92" s="11" t="s">
        <v>268</v>
      </c>
      <c r="Q92" s="11" t="s">
        <v>377</v>
      </c>
      <c r="R92" s="12"/>
    </row>
    <row r="93">
      <c r="B93" s="12"/>
      <c r="C93" s="13"/>
      <c r="D93" s="11"/>
      <c r="E93" s="11"/>
      <c r="F93" s="11"/>
      <c r="G93" s="11"/>
      <c r="H93" s="12"/>
      <c r="I93" s="11"/>
      <c r="J93" s="11"/>
      <c r="K93" s="11"/>
      <c r="L93" s="11"/>
      <c r="M93" s="11" t="s">
        <v>433</v>
      </c>
      <c r="N93" s="11">
        <v>536.4</v>
      </c>
      <c r="O93" s="11"/>
      <c r="P93" s="11"/>
      <c r="Q93" s="12"/>
      <c r="R93" s="12"/>
    </row>
    <row r="94">
      <c r="A94" s="65" t="s">
        <v>434</v>
      </c>
      <c r="B94" s="12"/>
      <c r="C94" s="13" t="s">
        <v>435</v>
      </c>
      <c r="D94" s="11">
        <v>2012.0</v>
      </c>
      <c r="E94" s="11" t="s">
        <v>22</v>
      </c>
      <c r="F94" s="11" t="s">
        <v>363</v>
      </c>
      <c r="G94" s="11" t="s">
        <v>436</v>
      </c>
      <c r="H94" s="12"/>
      <c r="I94" s="11" t="s">
        <v>377</v>
      </c>
      <c r="J94" s="11" t="s">
        <v>437</v>
      </c>
      <c r="K94" s="11">
        <v>212.0</v>
      </c>
      <c r="L94" s="11" t="s">
        <v>377</v>
      </c>
      <c r="M94" s="11" t="s">
        <v>438</v>
      </c>
      <c r="N94" s="11">
        <v>212.0</v>
      </c>
      <c r="O94" s="11" t="s">
        <v>343</v>
      </c>
      <c r="P94" s="11" t="s">
        <v>421</v>
      </c>
      <c r="Q94" s="12"/>
      <c r="R94" s="12"/>
    </row>
    <row r="95">
      <c r="B95" s="12"/>
      <c r="C95" s="13" t="s">
        <v>439</v>
      </c>
      <c r="D95" s="12"/>
      <c r="E95" s="11" t="s">
        <v>22</v>
      </c>
      <c r="F95" s="11" t="s">
        <v>323</v>
      </c>
      <c r="G95" s="11" t="s">
        <v>440</v>
      </c>
      <c r="H95" s="11">
        <v>3886.0</v>
      </c>
      <c r="I95" s="11"/>
      <c r="J95" s="11" t="s">
        <v>441</v>
      </c>
      <c r="K95" s="11"/>
      <c r="L95" s="11" t="s">
        <v>341</v>
      </c>
      <c r="M95" s="11"/>
      <c r="N95" s="11"/>
      <c r="O95" s="11"/>
      <c r="P95" s="11" t="s">
        <v>403</v>
      </c>
      <c r="Q95" s="11" t="s">
        <v>377</v>
      </c>
      <c r="R95" s="12"/>
    </row>
    <row r="96">
      <c r="A96" s="62" t="s">
        <v>442</v>
      </c>
      <c r="B96" s="12"/>
      <c r="C96" s="13">
        <v>432610.0</v>
      </c>
      <c r="D96" s="12"/>
      <c r="E96" s="11" t="s">
        <v>22</v>
      </c>
      <c r="F96" s="11" t="s">
        <v>443</v>
      </c>
      <c r="G96" s="11" t="s">
        <v>444</v>
      </c>
      <c r="H96" s="11">
        <v>22279.0</v>
      </c>
      <c r="I96" s="11" t="s">
        <v>445</v>
      </c>
      <c r="J96" s="11" t="s">
        <v>446</v>
      </c>
      <c r="K96" s="11">
        <v>1081.0</v>
      </c>
      <c r="L96" s="17" t="s">
        <v>332</v>
      </c>
      <c r="M96" s="11" t="s">
        <v>447</v>
      </c>
      <c r="N96" s="11">
        <v>1081.0</v>
      </c>
      <c r="O96" s="63" t="s">
        <v>448</v>
      </c>
      <c r="P96" s="11" t="s">
        <v>449</v>
      </c>
      <c r="Q96" s="12"/>
      <c r="R96" s="12"/>
    </row>
    <row r="97">
      <c r="B97" s="12"/>
      <c r="C97" s="13" t="s">
        <v>450</v>
      </c>
      <c r="D97" s="11">
        <v>2012.0</v>
      </c>
      <c r="E97" s="11" t="s">
        <v>22</v>
      </c>
      <c r="F97" s="11" t="s">
        <v>363</v>
      </c>
      <c r="G97" s="11" t="s">
        <v>451</v>
      </c>
      <c r="H97" s="12"/>
      <c r="I97" s="11" t="s">
        <v>377</v>
      </c>
      <c r="J97" s="11" t="s">
        <v>452</v>
      </c>
      <c r="K97" s="12"/>
      <c r="L97" s="11" t="s">
        <v>377</v>
      </c>
      <c r="M97" s="11" t="s">
        <v>453</v>
      </c>
      <c r="N97" s="12"/>
      <c r="O97" s="11" t="s">
        <v>343</v>
      </c>
      <c r="P97" s="12"/>
      <c r="Q97" s="12"/>
      <c r="R97" s="12"/>
    </row>
    <row r="98">
      <c r="B98" s="12"/>
      <c r="C98" s="13" t="s">
        <v>454</v>
      </c>
      <c r="D98" s="12"/>
      <c r="E98" s="11" t="s">
        <v>22</v>
      </c>
      <c r="F98" s="11" t="s">
        <v>323</v>
      </c>
      <c r="G98" s="11" t="s">
        <v>455</v>
      </c>
      <c r="H98" s="12"/>
      <c r="I98" s="11" t="s">
        <v>339</v>
      </c>
      <c r="J98" s="11" t="s">
        <v>456</v>
      </c>
      <c r="K98" s="12"/>
      <c r="L98" s="11" t="s">
        <v>341</v>
      </c>
      <c r="M98" s="11" t="s">
        <v>457</v>
      </c>
      <c r="N98" s="12"/>
      <c r="O98" s="11" t="s">
        <v>377</v>
      </c>
      <c r="P98" s="11" t="s">
        <v>421</v>
      </c>
      <c r="Q98" s="12"/>
      <c r="R98" s="12"/>
    </row>
    <row r="99">
      <c r="B99" s="12"/>
      <c r="C99" s="36"/>
      <c r="D99" s="12"/>
      <c r="E99" s="12"/>
      <c r="F99" s="12"/>
      <c r="G99" s="12"/>
      <c r="H99" s="12"/>
      <c r="I99" s="12"/>
      <c r="J99" s="11" t="s">
        <v>458</v>
      </c>
      <c r="K99" s="12"/>
      <c r="L99" s="11" t="s">
        <v>339</v>
      </c>
      <c r="M99" s="11" t="s">
        <v>459</v>
      </c>
      <c r="N99" s="12"/>
      <c r="O99" s="11" t="s">
        <v>339</v>
      </c>
      <c r="P99" s="11" t="s">
        <v>460</v>
      </c>
      <c r="Q99" s="11" t="s">
        <v>355</v>
      </c>
      <c r="R99" s="12"/>
    </row>
    <row r="100">
      <c r="A100" s="12" t="s">
        <v>461</v>
      </c>
      <c r="B100" s="12"/>
      <c r="C100" s="36"/>
      <c r="D100" s="12"/>
      <c r="E100" s="12"/>
      <c r="F100" s="12"/>
      <c r="G100" s="12"/>
      <c r="H100" s="12"/>
      <c r="I100" s="12"/>
      <c r="J100" s="12"/>
      <c r="K100" s="12"/>
      <c r="L100" s="12"/>
      <c r="M100" s="12"/>
      <c r="N100" s="12"/>
      <c r="O100" s="12"/>
      <c r="P100" s="12"/>
      <c r="Q100" s="12"/>
      <c r="R100" s="12"/>
    </row>
    <row r="101">
      <c r="A101" s="11" t="s">
        <v>462</v>
      </c>
      <c r="B101" s="12"/>
      <c r="C101" s="13" t="s">
        <v>463</v>
      </c>
      <c r="D101" s="11">
        <v>2012.0</v>
      </c>
      <c r="E101" s="11" t="s">
        <v>22</v>
      </c>
      <c r="F101" s="11" t="s">
        <v>363</v>
      </c>
      <c r="G101" s="12"/>
      <c r="H101" s="12"/>
      <c r="I101" s="12"/>
      <c r="J101" s="12"/>
      <c r="K101" s="12"/>
      <c r="L101" s="12"/>
      <c r="M101" s="11"/>
      <c r="N101" s="12"/>
      <c r="O101" s="11"/>
      <c r="P101" s="12"/>
      <c r="Q101" s="12"/>
      <c r="R101" s="12"/>
    </row>
    <row r="102">
      <c r="A102" s="12" t="s">
        <v>464</v>
      </c>
      <c r="B102" s="12"/>
      <c r="C102" s="36"/>
      <c r="D102" s="12"/>
      <c r="E102" s="12"/>
      <c r="F102" s="12"/>
      <c r="G102" s="12"/>
      <c r="H102" s="12"/>
      <c r="I102" s="12"/>
      <c r="J102" s="12"/>
      <c r="K102" s="12"/>
      <c r="L102" s="12"/>
      <c r="M102" s="12"/>
      <c r="N102" s="12"/>
      <c r="O102" s="12"/>
      <c r="P102" s="12"/>
      <c r="Q102" s="12"/>
      <c r="R102" s="12"/>
    </row>
    <row r="103">
      <c r="A103" s="11" t="s">
        <v>465</v>
      </c>
      <c r="B103" s="12"/>
      <c r="C103" s="13" t="s">
        <v>435</v>
      </c>
      <c r="D103" s="11">
        <v>2012.0</v>
      </c>
      <c r="E103" s="11" t="s">
        <v>22</v>
      </c>
      <c r="F103" s="11" t="s">
        <v>363</v>
      </c>
      <c r="G103" s="12"/>
      <c r="H103" s="12"/>
      <c r="I103" s="12"/>
      <c r="J103" s="12"/>
      <c r="K103" s="12"/>
      <c r="L103" s="12"/>
      <c r="M103" s="12"/>
      <c r="N103" s="12"/>
      <c r="O103" s="12"/>
      <c r="P103" s="12"/>
      <c r="Q103" s="12"/>
      <c r="R103" s="12"/>
    </row>
    <row r="104">
      <c r="A104" s="4"/>
      <c r="B104" s="4"/>
      <c r="C104" s="5"/>
      <c r="D104" s="4"/>
      <c r="E104" s="4"/>
      <c r="F104" s="4"/>
      <c r="G104" s="4"/>
      <c r="H104" s="4"/>
      <c r="I104" s="6"/>
      <c r="J104" s="4"/>
      <c r="K104" s="4"/>
      <c r="L104" s="4"/>
      <c r="M104" s="4"/>
      <c r="N104" s="4"/>
      <c r="O104" s="4"/>
      <c r="P104" s="4"/>
      <c r="Q104" s="6"/>
      <c r="R104" s="4"/>
    </row>
    <row r="105">
      <c r="A105" s="66" t="s">
        <v>466</v>
      </c>
      <c r="B105" s="12"/>
      <c r="C105" s="67"/>
      <c r="D105" s="12"/>
      <c r="E105" s="12"/>
      <c r="F105" s="12"/>
      <c r="G105" s="12"/>
      <c r="H105" s="12"/>
      <c r="I105" s="12"/>
      <c r="J105" s="12"/>
      <c r="K105" s="12"/>
      <c r="L105" s="12"/>
      <c r="M105" s="12"/>
      <c r="N105" s="12"/>
      <c r="O105" s="12"/>
      <c r="P105" s="12"/>
      <c r="Q105" s="12"/>
      <c r="R105" s="12"/>
    </row>
    <row r="106">
      <c r="A106" s="11" t="s">
        <v>467</v>
      </c>
      <c r="B106" s="12"/>
      <c r="C106" s="13">
        <v>23936.0</v>
      </c>
      <c r="D106" s="11">
        <v>2015.0</v>
      </c>
      <c r="E106" s="11" t="s">
        <v>22</v>
      </c>
      <c r="F106" s="11" t="s">
        <v>468</v>
      </c>
      <c r="G106" s="11" t="s">
        <v>444</v>
      </c>
      <c r="H106" s="11">
        <v>1233781.0</v>
      </c>
      <c r="I106" s="11" t="s">
        <v>445</v>
      </c>
      <c r="J106" s="68">
        <v>0.03</v>
      </c>
      <c r="K106" s="11">
        <v>60678.0</v>
      </c>
      <c r="L106" s="11" t="s">
        <v>76</v>
      </c>
      <c r="M106" s="11" t="s">
        <v>469</v>
      </c>
      <c r="N106" s="11">
        <v>239360.0</v>
      </c>
      <c r="O106" s="11" t="s">
        <v>470</v>
      </c>
      <c r="P106" s="11">
        <v>15.0</v>
      </c>
      <c r="Q106" s="11" t="s">
        <v>471</v>
      </c>
      <c r="R106" s="12"/>
    </row>
    <row r="107">
      <c r="A107" s="11" t="s">
        <v>472</v>
      </c>
      <c r="B107" s="12"/>
      <c r="C107" s="13">
        <v>26287.0</v>
      </c>
      <c r="D107" s="11">
        <v>2015.0</v>
      </c>
      <c r="E107" s="11" t="s">
        <v>22</v>
      </c>
      <c r="F107" s="11" t="s">
        <v>468</v>
      </c>
      <c r="G107" s="11" t="s">
        <v>444</v>
      </c>
      <c r="H107" s="11">
        <v>240526.0</v>
      </c>
      <c r="I107" s="11" t="s">
        <v>445</v>
      </c>
      <c r="J107" s="68">
        <v>0.03</v>
      </c>
      <c r="K107" s="11">
        <v>11829.0</v>
      </c>
      <c r="L107" s="11" t="s">
        <v>76</v>
      </c>
      <c r="M107" s="11" t="s">
        <v>469</v>
      </c>
      <c r="N107" s="11">
        <v>11829.0</v>
      </c>
      <c r="O107" s="11" t="s">
        <v>470</v>
      </c>
      <c r="P107" s="11">
        <v>15.0</v>
      </c>
      <c r="Q107" s="11" t="s">
        <v>471</v>
      </c>
      <c r="R107" s="12"/>
    </row>
    <row r="108">
      <c r="A108" s="11" t="s">
        <v>473</v>
      </c>
      <c r="B108" s="12"/>
      <c r="C108" s="13">
        <v>1772.0</v>
      </c>
      <c r="D108" s="11">
        <v>2015.0</v>
      </c>
      <c r="E108" s="11" t="s">
        <v>22</v>
      </c>
      <c r="F108" s="11" t="s">
        <v>474</v>
      </c>
      <c r="G108" s="11" t="s">
        <v>408</v>
      </c>
      <c r="H108" s="11">
        <v>202191.0</v>
      </c>
      <c r="I108" s="11" t="s">
        <v>377</v>
      </c>
      <c r="J108" s="56">
        <v>0.024</v>
      </c>
      <c r="K108" s="11">
        <v>9571.0</v>
      </c>
      <c r="L108" s="11" t="s">
        <v>377</v>
      </c>
      <c r="M108" s="56">
        <v>0.028</v>
      </c>
      <c r="N108" s="11">
        <v>11166.0</v>
      </c>
      <c r="O108" s="11" t="s">
        <v>343</v>
      </c>
      <c r="P108" s="11">
        <v>7.0</v>
      </c>
      <c r="Q108" s="11" t="s">
        <v>471</v>
      </c>
      <c r="R108" s="12"/>
    </row>
    <row r="109">
      <c r="A109" s="11" t="s">
        <v>475</v>
      </c>
      <c r="B109" s="12"/>
      <c r="C109" s="13">
        <v>1772.0</v>
      </c>
      <c r="D109" s="11">
        <v>2015.0</v>
      </c>
      <c r="E109" s="11" t="s">
        <v>22</v>
      </c>
      <c r="F109" s="11" t="s">
        <v>474</v>
      </c>
      <c r="G109" s="11" t="s">
        <v>408</v>
      </c>
      <c r="H109" s="11">
        <v>202191.0</v>
      </c>
      <c r="I109" s="11" t="s">
        <v>377</v>
      </c>
      <c r="J109" s="56">
        <v>0.024</v>
      </c>
      <c r="K109" s="11">
        <v>9571.0</v>
      </c>
      <c r="L109" s="11" t="s">
        <v>377</v>
      </c>
      <c r="M109" s="56">
        <v>0.028</v>
      </c>
      <c r="N109" s="11">
        <v>11166.0</v>
      </c>
      <c r="O109" s="11" t="s">
        <v>343</v>
      </c>
      <c r="P109" s="11">
        <v>15.0</v>
      </c>
      <c r="Q109" s="11" t="s">
        <v>471</v>
      </c>
      <c r="R109" s="12"/>
    </row>
    <row r="110">
      <c r="A110" s="11" t="s">
        <v>476</v>
      </c>
      <c r="B110" s="12"/>
      <c r="C110" s="13">
        <v>7528.0</v>
      </c>
      <c r="D110" s="11">
        <v>2015.0</v>
      </c>
      <c r="E110" s="11" t="s">
        <v>22</v>
      </c>
      <c r="F110" s="11" t="s">
        <v>477</v>
      </c>
      <c r="G110" s="11" t="s">
        <v>478</v>
      </c>
      <c r="H110" s="11">
        <v>3764.0</v>
      </c>
      <c r="I110" s="11" t="s">
        <v>377</v>
      </c>
      <c r="J110" s="56">
        <v>0.025</v>
      </c>
      <c r="K110" s="11">
        <v>188.0</v>
      </c>
      <c r="L110" s="11" t="s">
        <v>377</v>
      </c>
      <c r="M110" s="56">
        <v>0.035</v>
      </c>
      <c r="N110" s="16">
        <v>263.0</v>
      </c>
      <c r="O110" s="11" t="s">
        <v>343</v>
      </c>
      <c r="P110" s="11">
        <v>7.0</v>
      </c>
      <c r="Q110" s="11" t="s">
        <v>471</v>
      </c>
      <c r="R110" s="12"/>
    </row>
    <row r="111">
      <c r="A111" s="11" t="s">
        <v>479</v>
      </c>
      <c r="B111" s="12"/>
      <c r="C111" s="13">
        <v>15056.0</v>
      </c>
      <c r="D111" s="11">
        <v>2015.0</v>
      </c>
      <c r="E111" s="11" t="s">
        <v>22</v>
      </c>
      <c r="F111" s="11" t="s">
        <v>468</v>
      </c>
      <c r="G111" s="68">
        <v>0.72</v>
      </c>
      <c r="H111" s="11">
        <v>867226.0</v>
      </c>
      <c r="I111" s="11" t="s">
        <v>480</v>
      </c>
      <c r="J111" s="56">
        <v>0.002</v>
      </c>
      <c r="K111" s="11">
        <v>2409.0</v>
      </c>
      <c r="L111" s="11" t="s">
        <v>481</v>
      </c>
      <c r="M111" s="68">
        <v>0.02</v>
      </c>
      <c r="N111" s="11">
        <v>24090.0</v>
      </c>
      <c r="O111" s="11" t="s">
        <v>343</v>
      </c>
      <c r="P111" s="11">
        <v>15.0</v>
      </c>
      <c r="Q111" s="11" t="s">
        <v>471</v>
      </c>
      <c r="R111" s="12"/>
    </row>
    <row r="112">
      <c r="A112" s="11" t="s">
        <v>482</v>
      </c>
      <c r="B112" s="12"/>
      <c r="C112" s="13">
        <v>18781.0</v>
      </c>
      <c r="D112" s="11">
        <v>2015.0</v>
      </c>
      <c r="E112" s="11" t="s">
        <v>22</v>
      </c>
      <c r="F112" s="11" t="s">
        <v>483</v>
      </c>
      <c r="G112" s="56">
        <v>0.711</v>
      </c>
      <c r="H112" s="11">
        <v>200859.0</v>
      </c>
      <c r="I112" s="11" t="s">
        <v>484</v>
      </c>
      <c r="J112" s="56">
        <v>0.039</v>
      </c>
      <c r="K112" s="11">
        <v>10987.0</v>
      </c>
      <c r="L112" s="11" t="s">
        <v>485</v>
      </c>
      <c r="M112" s="11" t="s">
        <v>486</v>
      </c>
      <c r="N112" s="11">
        <v>9390.0</v>
      </c>
      <c r="O112" s="11" t="s">
        <v>343</v>
      </c>
      <c r="P112" s="11">
        <v>15.0</v>
      </c>
      <c r="Q112" s="11" t="s">
        <v>471</v>
      </c>
      <c r="R112" s="12"/>
    </row>
    <row r="113">
      <c r="A113" s="11" t="s">
        <v>487</v>
      </c>
      <c r="B113" s="12"/>
      <c r="C113" s="13">
        <v>402032.0</v>
      </c>
      <c r="D113" s="11">
        <v>2015.0</v>
      </c>
      <c r="E113" s="11" t="s">
        <v>22</v>
      </c>
      <c r="F113" s="11" t="s">
        <v>488</v>
      </c>
      <c r="G113" s="11" t="s">
        <v>369</v>
      </c>
      <c r="H113" s="11">
        <v>4595.0</v>
      </c>
      <c r="I113" s="11" t="s">
        <v>489</v>
      </c>
      <c r="J113" s="11" t="s">
        <v>371</v>
      </c>
      <c r="K113" s="11">
        <v>262688.0</v>
      </c>
      <c r="L113" s="11" t="s">
        <v>489</v>
      </c>
      <c r="M113" s="11" t="s">
        <v>372</v>
      </c>
      <c r="N113" s="11">
        <v>378111.0</v>
      </c>
      <c r="O113" s="11" t="s">
        <v>370</v>
      </c>
      <c r="P113" s="11">
        <v>3.0</v>
      </c>
      <c r="Q113" s="11" t="s">
        <v>471</v>
      </c>
      <c r="R113" s="12"/>
    </row>
    <row r="114">
      <c r="A114" s="11" t="s">
        <v>490</v>
      </c>
      <c r="B114" s="12"/>
      <c r="C114" s="69">
        <v>44487.0</v>
      </c>
      <c r="D114" s="11">
        <v>2015.0</v>
      </c>
      <c r="E114" s="11" t="s">
        <v>22</v>
      </c>
      <c r="F114" s="11" t="s">
        <v>491</v>
      </c>
      <c r="G114" s="68">
        <v>0.19</v>
      </c>
      <c r="H114" s="11">
        <v>43108.0</v>
      </c>
      <c r="I114" s="11" t="s">
        <v>484</v>
      </c>
      <c r="J114" s="68">
        <v>0.05</v>
      </c>
      <c r="K114" s="11">
        <v>11344.0</v>
      </c>
      <c r="L114" s="11" t="s">
        <v>377</v>
      </c>
      <c r="M114" s="68">
        <v>0.01</v>
      </c>
      <c r="N114" s="11">
        <v>11344.0</v>
      </c>
      <c r="O114" s="11" t="s">
        <v>470</v>
      </c>
      <c r="P114" s="11">
        <v>5.0</v>
      </c>
      <c r="Q114" s="11" t="s">
        <v>471</v>
      </c>
      <c r="R114" s="12"/>
    </row>
    <row r="115">
      <c r="A115" s="11" t="s">
        <v>492</v>
      </c>
      <c r="B115" s="12"/>
      <c r="C115" s="69">
        <v>294792.0</v>
      </c>
      <c r="D115" s="11">
        <v>2015.0</v>
      </c>
      <c r="E115" s="11" t="s">
        <v>22</v>
      </c>
      <c r="F115" s="11" t="s">
        <v>493</v>
      </c>
      <c r="G115" s="70">
        <v>0.07</v>
      </c>
      <c r="H115" s="71">
        <v>4127.0</v>
      </c>
      <c r="I115" s="11" t="s">
        <v>484</v>
      </c>
      <c r="J115" s="68">
        <v>0.0892</v>
      </c>
      <c r="K115" s="11">
        <v>5259.0</v>
      </c>
      <c r="L115" s="11" t="s">
        <v>425</v>
      </c>
      <c r="M115" s="68">
        <v>0.01</v>
      </c>
      <c r="N115" s="11">
        <v>590.0</v>
      </c>
      <c r="O115" s="11" t="s">
        <v>470</v>
      </c>
      <c r="P115" s="11">
        <v>5.0</v>
      </c>
      <c r="Q115" s="11" t="s">
        <v>471</v>
      </c>
      <c r="R115" s="12"/>
    </row>
    <row r="116">
      <c r="A116" s="16" t="s">
        <v>494</v>
      </c>
      <c r="B116" s="12"/>
      <c r="C116" s="69">
        <v>15316.0</v>
      </c>
      <c r="D116" s="11">
        <v>2015.0</v>
      </c>
      <c r="E116" s="11" t="s">
        <v>22</v>
      </c>
      <c r="F116" s="11" t="s">
        <v>491</v>
      </c>
      <c r="G116" s="68">
        <v>0.1</v>
      </c>
      <c r="H116" s="11">
        <v>4595.0</v>
      </c>
      <c r="I116" s="11" t="s">
        <v>484</v>
      </c>
      <c r="J116" s="68">
        <v>0.03</v>
      </c>
      <c r="K116" s="11">
        <v>1378.0</v>
      </c>
      <c r="L116" s="11" t="s">
        <v>485</v>
      </c>
      <c r="M116" s="68">
        <v>0.02</v>
      </c>
      <c r="N116" s="11">
        <v>919.0</v>
      </c>
      <c r="O116" s="11" t="s">
        <v>470</v>
      </c>
      <c r="P116" s="11">
        <v>7.0</v>
      </c>
      <c r="Q116" s="11" t="s">
        <v>471</v>
      </c>
      <c r="R116" s="12"/>
    </row>
    <row r="117">
      <c r="A117" s="11" t="s">
        <v>495</v>
      </c>
      <c r="B117" s="12"/>
      <c r="C117" s="69">
        <v>3376.0</v>
      </c>
      <c r="D117" s="11">
        <v>2015.0</v>
      </c>
      <c r="E117" s="11" t="s">
        <v>22</v>
      </c>
      <c r="F117" s="11" t="s">
        <v>496</v>
      </c>
      <c r="G117" s="56">
        <v>0.4213</v>
      </c>
      <c r="H117" s="11">
        <v>113778.0</v>
      </c>
      <c r="I117" s="11" t="s">
        <v>425</v>
      </c>
      <c r="J117" s="11">
        <v>0.0</v>
      </c>
      <c r="K117" s="11">
        <v>0.0</v>
      </c>
      <c r="L117" s="11" t="s">
        <v>485</v>
      </c>
      <c r="M117" s="11" t="s">
        <v>497</v>
      </c>
      <c r="N117" s="11">
        <v>16879.0</v>
      </c>
      <c r="O117" s="11" t="s">
        <v>470</v>
      </c>
      <c r="P117" s="11">
        <v>5.0</v>
      </c>
      <c r="Q117" s="11" t="s">
        <v>471</v>
      </c>
      <c r="R117" s="12"/>
    </row>
    <row r="118">
      <c r="A118" s="11" t="s">
        <v>498</v>
      </c>
      <c r="B118" s="12"/>
      <c r="C118" s="13">
        <v>60339.0</v>
      </c>
      <c r="D118" s="11">
        <v>2015.0</v>
      </c>
      <c r="E118" s="11" t="s">
        <v>22</v>
      </c>
      <c r="F118" s="11" t="s">
        <v>499</v>
      </c>
      <c r="G118" s="11" t="s">
        <v>500</v>
      </c>
      <c r="H118" s="11">
        <v>482712.0</v>
      </c>
      <c r="I118" s="11" t="s">
        <v>501</v>
      </c>
      <c r="J118" s="11">
        <v>0.0</v>
      </c>
      <c r="K118" s="11">
        <v>0.0</v>
      </c>
      <c r="L118" s="11"/>
      <c r="M118" s="11">
        <v>0.0</v>
      </c>
      <c r="N118" s="11">
        <v>0.0</v>
      </c>
      <c r="O118" s="11"/>
      <c r="P118" s="11">
        <v>15.0</v>
      </c>
      <c r="Q118" s="11" t="s">
        <v>471</v>
      </c>
      <c r="R118" s="12"/>
    </row>
    <row r="119">
      <c r="A119" s="11" t="s">
        <v>502</v>
      </c>
      <c r="B119" s="12"/>
      <c r="C119" s="13">
        <v>51714.0</v>
      </c>
      <c r="D119" s="11">
        <v>2015.0</v>
      </c>
      <c r="E119" s="11" t="s">
        <v>22</v>
      </c>
      <c r="F119" s="11" t="s">
        <v>503</v>
      </c>
      <c r="G119" s="11" t="s">
        <v>504</v>
      </c>
      <c r="H119" s="11">
        <v>4654260.0</v>
      </c>
      <c r="I119" s="11" t="s">
        <v>505</v>
      </c>
      <c r="J119" s="11">
        <v>0.0</v>
      </c>
      <c r="K119" s="11">
        <v>0.0</v>
      </c>
      <c r="L119" s="11"/>
      <c r="M119" s="11">
        <v>0.0</v>
      </c>
      <c r="N119" s="11">
        <v>0.0</v>
      </c>
      <c r="O119" s="11"/>
      <c r="P119" s="11">
        <v>15.0</v>
      </c>
      <c r="Q119" s="11" t="s">
        <v>471</v>
      </c>
      <c r="R119" s="12"/>
    </row>
    <row r="120">
      <c r="A120" s="11" t="s">
        <v>506</v>
      </c>
      <c r="B120" s="12"/>
      <c r="C120" s="13">
        <v>217832.0</v>
      </c>
      <c r="D120" s="11" t="s">
        <v>507</v>
      </c>
      <c r="E120" s="11" t="s">
        <v>22</v>
      </c>
      <c r="F120" s="11" t="s">
        <v>508</v>
      </c>
      <c r="G120" s="11" t="s">
        <v>509</v>
      </c>
      <c r="H120" s="11">
        <v>1.3353105E7</v>
      </c>
      <c r="I120" s="11" t="s">
        <v>510</v>
      </c>
      <c r="J120" s="11">
        <v>0.0</v>
      </c>
      <c r="K120" s="11">
        <v>0.0</v>
      </c>
      <c r="L120" s="11"/>
      <c r="M120" s="11">
        <v>0.0</v>
      </c>
      <c r="N120" s="11">
        <v>0.0</v>
      </c>
      <c r="O120" s="11"/>
      <c r="P120" s="12"/>
      <c r="Q120" s="12"/>
      <c r="R120" s="12"/>
    </row>
    <row r="121">
      <c r="A121" s="11" t="s">
        <v>511</v>
      </c>
      <c r="B121" s="12"/>
      <c r="C121" s="13">
        <v>562634.0</v>
      </c>
      <c r="D121" s="11">
        <v>2015.0</v>
      </c>
      <c r="E121" s="11" t="s">
        <v>22</v>
      </c>
      <c r="F121" s="11" t="s">
        <v>512</v>
      </c>
      <c r="G121" s="11" t="s">
        <v>513</v>
      </c>
      <c r="H121" s="11">
        <v>1.1854708E7</v>
      </c>
      <c r="I121" s="11" t="s">
        <v>514</v>
      </c>
      <c r="J121" s="11">
        <v>0.0</v>
      </c>
      <c r="K121" s="11">
        <v>0.0</v>
      </c>
      <c r="L121" s="11"/>
      <c r="M121" s="11">
        <v>0.0</v>
      </c>
      <c r="N121" s="11">
        <v>0.0</v>
      </c>
      <c r="O121" s="11"/>
      <c r="P121" s="11">
        <v>15.0</v>
      </c>
      <c r="Q121" s="11" t="s">
        <v>471</v>
      </c>
      <c r="R121" s="12"/>
    </row>
    <row r="122">
      <c r="A122" s="11" t="s">
        <v>515</v>
      </c>
      <c r="B122" s="12"/>
      <c r="C122" s="13">
        <v>562634.0</v>
      </c>
      <c r="D122" s="11">
        <v>2015.0</v>
      </c>
      <c r="E122" s="11" t="s">
        <v>22</v>
      </c>
      <c r="F122" s="11" t="s">
        <v>512</v>
      </c>
      <c r="G122" s="11" t="s">
        <v>469</v>
      </c>
      <c r="H122" s="11">
        <v>5626343.0</v>
      </c>
      <c r="I122" s="11" t="s">
        <v>516</v>
      </c>
      <c r="J122" s="11">
        <v>0.0</v>
      </c>
      <c r="K122" s="11">
        <v>0.0</v>
      </c>
      <c r="L122" s="11"/>
      <c r="M122" s="11">
        <v>0.0</v>
      </c>
      <c r="N122" s="11">
        <v>0.0</v>
      </c>
      <c r="O122" s="11"/>
      <c r="P122" s="11">
        <v>15.0</v>
      </c>
      <c r="Q122" s="11" t="s">
        <v>471</v>
      </c>
      <c r="R122" s="12"/>
    </row>
    <row r="123">
      <c r="A123" s="11" t="s">
        <v>517</v>
      </c>
      <c r="B123" s="12"/>
      <c r="C123" s="13">
        <v>2450.0</v>
      </c>
      <c r="D123" s="11">
        <v>2015.0</v>
      </c>
      <c r="E123" s="11" t="s">
        <v>22</v>
      </c>
      <c r="F123" s="11" t="s">
        <v>518</v>
      </c>
      <c r="G123" s="11" t="s">
        <v>519</v>
      </c>
      <c r="H123" s="11">
        <v>4900000.0</v>
      </c>
      <c r="I123" s="11" t="s">
        <v>520</v>
      </c>
      <c r="J123" s="11">
        <v>0.0</v>
      </c>
      <c r="K123" s="11">
        <v>0.0</v>
      </c>
      <c r="L123" s="11"/>
      <c r="M123" s="11">
        <v>0.0</v>
      </c>
      <c r="N123" s="11">
        <v>0.0</v>
      </c>
      <c r="O123" s="11"/>
      <c r="P123" s="11">
        <v>10.0</v>
      </c>
      <c r="Q123" s="12"/>
      <c r="R123" s="12"/>
    </row>
    <row r="124">
      <c r="A124" s="11" t="s">
        <v>521</v>
      </c>
      <c r="B124" s="12"/>
      <c r="C124" s="13">
        <v>1692.0</v>
      </c>
      <c r="D124" s="11">
        <v>2015.0</v>
      </c>
      <c r="E124" s="11" t="s">
        <v>22</v>
      </c>
      <c r="F124" s="11" t="s">
        <v>522</v>
      </c>
      <c r="G124" s="68">
        <v>0.85</v>
      </c>
      <c r="H124" s="11">
        <v>652224.0</v>
      </c>
      <c r="I124" s="11" t="s">
        <v>484</v>
      </c>
      <c r="J124" s="68">
        <v>0.05</v>
      </c>
      <c r="K124" s="11">
        <v>16920.0</v>
      </c>
      <c r="L124" s="11" t="s">
        <v>485</v>
      </c>
      <c r="M124" s="11" t="s">
        <v>469</v>
      </c>
      <c r="N124" s="11">
        <v>38366.0</v>
      </c>
      <c r="O124" s="11" t="s">
        <v>470</v>
      </c>
      <c r="P124" s="11">
        <v>15.0</v>
      </c>
      <c r="Q124" s="11" t="s">
        <v>471</v>
      </c>
      <c r="R124" s="12"/>
    </row>
    <row r="125">
      <c r="A125" s="11" t="s">
        <v>523</v>
      </c>
      <c r="B125" s="12"/>
      <c r="C125" s="13" t="s">
        <v>524</v>
      </c>
      <c r="D125" s="11">
        <v>2015.0</v>
      </c>
      <c r="E125" s="11" t="s">
        <v>22</v>
      </c>
      <c r="F125" s="11" t="s">
        <v>525</v>
      </c>
      <c r="G125" s="11" t="s">
        <v>526</v>
      </c>
      <c r="H125" s="11">
        <v>4149166.0</v>
      </c>
      <c r="I125" s="11" t="s">
        <v>484</v>
      </c>
      <c r="J125" s="11">
        <v>0.0</v>
      </c>
      <c r="K125" s="11">
        <v>0.0</v>
      </c>
      <c r="L125" s="11"/>
      <c r="M125" s="11" t="s">
        <v>527</v>
      </c>
      <c r="N125" s="11">
        <v>81356.0</v>
      </c>
      <c r="O125" s="11" t="s">
        <v>470</v>
      </c>
      <c r="P125" s="11">
        <v>5.0</v>
      </c>
      <c r="Q125" s="11" t="s">
        <v>471</v>
      </c>
      <c r="R125" s="12"/>
    </row>
    <row r="126">
      <c r="A126" s="4"/>
      <c r="B126" s="4"/>
      <c r="C126" s="5"/>
      <c r="D126" s="4"/>
      <c r="E126" s="4"/>
      <c r="F126" s="4"/>
      <c r="G126" s="4"/>
      <c r="H126" s="4"/>
      <c r="I126" s="6"/>
      <c r="J126" s="4"/>
      <c r="K126" s="4"/>
      <c r="L126" s="4"/>
      <c r="M126" s="4"/>
      <c r="N126" s="4"/>
      <c r="O126" s="4"/>
      <c r="P126" s="4"/>
      <c r="Q126" s="6"/>
      <c r="R126" s="4"/>
    </row>
    <row r="127">
      <c r="A127" s="66" t="s">
        <v>528</v>
      </c>
      <c r="B127" s="12"/>
      <c r="C127" s="36"/>
      <c r="D127" s="12"/>
      <c r="E127" s="12"/>
      <c r="F127" s="12"/>
      <c r="G127" s="12"/>
      <c r="H127" s="12"/>
      <c r="I127" s="12"/>
      <c r="J127" s="12"/>
      <c r="K127" s="12"/>
      <c r="L127" s="12"/>
      <c r="M127" s="12"/>
      <c r="N127" s="12"/>
      <c r="O127" s="12"/>
      <c r="P127" s="12"/>
      <c r="Q127" s="12"/>
      <c r="R127" s="12"/>
    </row>
    <row r="128">
      <c r="A128" s="11" t="s">
        <v>529</v>
      </c>
      <c r="B128" s="12"/>
      <c r="C128" s="13">
        <v>82.0</v>
      </c>
      <c r="D128" s="11">
        <v>2015.0</v>
      </c>
      <c r="E128" s="11" t="s">
        <v>22</v>
      </c>
      <c r="F128" s="11" t="s">
        <v>23</v>
      </c>
      <c r="G128" s="68">
        <v>0.9</v>
      </c>
      <c r="H128" s="11">
        <v>516600.0</v>
      </c>
      <c r="I128" s="11" t="s">
        <v>484</v>
      </c>
      <c r="J128" s="11" t="s">
        <v>530</v>
      </c>
      <c r="K128" s="11">
        <v>2378.0</v>
      </c>
      <c r="L128" s="11" t="s">
        <v>485</v>
      </c>
      <c r="M128" s="56">
        <v>0.005</v>
      </c>
      <c r="N128" s="11">
        <v>2870.0</v>
      </c>
      <c r="O128" s="11" t="s">
        <v>470</v>
      </c>
      <c r="P128" s="11">
        <v>15.0</v>
      </c>
      <c r="Q128" s="11" t="s">
        <v>471</v>
      </c>
      <c r="R128" s="12"/>
    </row>
    <row r="129">
      <c r="A129" s="11" t="s">
        <v>531</v>
      </c>
      <c r="B129" s="12"/>
      <c r="C129" s="13">
        <v>246.0</v>
      </c>
      <c r="D129" s="11">
        <v>2015.0</v>
      </c>
      <c r="E129" s="11" t="s">
        <v>22</v>
      </c>
      <c r="F129" s="11" t="s">
        <v>23</v>
      </c>
      <c r="G129" s="68">
        <v>0.85</v>
      </c>
      <c r="H129" s="11">
        <v>261375.0</v>
      </c>
      <c r="I129" s="11" t="s">
        <v>484</v>
      </c>
      <c r="J129" s="11" t="s">
        <v>530</v>
      </c>
      <c r="K129" s="11">
        <v>7134.0</v>
      </c>
      <c r="L129" s="11" t="s">
        <v>485</v>
      </c>
      <c r="M129" s="68">
        <v>0.01</v>
      </c>
      <c r="N129" s="11">
        <v>3075.0</v>
      </c>
      <c r="O129" s="11" t="s">
        <v>470</v>
      </c>
      <c r="P129" s="11">
        <v>15.0</v>
      </c>
      <c r="Q129" s="11" t="s">
        <v>471</v>
      </c>
      <c r="R129" s="12"/>
    </row>
    <row r="130">
      <c r="A130" s="11" t="s">
        <v>532</v>
      </c>
      <c r="B130" s="12"/>
      <c r="C130" s="13">
        <v>1051.0</v>
      </c>
      <c r="D130" s="11">
        <v>2015.0</v>
      </c>
      <c r="E130" s="11" t="s">
        <v>22</v>
      </c>
      <c r="F130" s="11" t="s">
        <v>23</v>
      </c>
      <c r="G130" s="68">
        <v>0.9</v>
      </c>
      <c r="H130" s="11">
        <v>2.17557E7</v>
      </c>
      <c r="I130" s="11" t="s">
        <v>484</v>
      </c>
      <c r="J130" s="56">
        <v>0.005</v>
      </c>
      <c r="K130" s="11">
        <v>120865.0</v>
      </c>
      <c r="L130" s="11" t="s">
        <v>485</v>
      </c>
      <c r="M130" s="56">
        <v>0.005</v>
      </c>
      <c r="N130" s="11">
        <v>120865.0</v>
      </c>
      <c r="O130" s="11" t="s">
        <v>470</v>
      </c>
      <c r="P130" s="11">
        <v>15.0</v>
      </c>
      <c r="Q130" s="11" t="s">
        <v>471</v>
      </c>
      <c r="R130" s="12"/>
    </row>
    <row r="131">
      <c r="A131" s="11" t="s">
        <v>533</v>
      </c>
      <c r="B131" s="12"/>
      <c r="C131" s="13">
        <v>42.0</v>
      </c>
      <c r="D131" s="11">
        <v>2015.0</v>
      </c>
      <c r="E131" s="11" t="s">
        <v>22</v>
      </c>
      <c r="F131" s="11" t="s">
        <v>484</v>
      </c>
      <c r="G131" s="68">
        <v>0.85</v>
      </c>
      <c r="H131" s="11">
        <v>9715934.0</v>
      </c>
      <c r="I131" s="11" t="s">
        <v>484</v>
      </c>
      <c r="J131" s="11" t="s">
        <v>534</v>
      </c>
      <c r="K131" s="11">
        <v>441000.0</v>
      </c>
      <c r="L131" s="11" t="s">
        <v>485</v>
      </c>
      <c r="M131" s="56">
        <v>0.005</v>
      </c>
      <c r="N131" s="11">
        <v>57153.0</v>
      </c>
      <c r="O131" s="11" t="s">
        <v>470</v>
      </c>
      <c r="P131" s="11">
        <v>20.0</v>
      </c>
      <c r="Q131" s="11" t="s">
        <v>471</v>
      </c>
      <c r="R131" s="12"/>
    </row>
    <row r="132">
      <c r="A132" s="11" t="s">
        <v>535</v>
      </c>
      <c r="B132" s="12"/>
      <c r="C132" s="13">
        <v>31.0</v>
      </c>
      <c r="D132" s="11">
        <v>2015.0</v>
      </c>
      <c r="E132" s="11" t="s">
        <v>22</v>
      </c>
      <c r="F132" s="11" t="s">
        <v>536</v>
      </c>
      <c r="G132" s="68">
        <v>0.85</v>
      </c>
      <c r="H132" s="11">
        <v>2390428.0</v>
      </c>
      <c r="I132" s="11" t="s">
        <v>484</v>
      </c>
      <c r="J132" s="11" t="s">
        <v>537</v>
      </c>
      <c r="K132" s="11">
        <v>108500.0</v>
      </c>
      <c r="L132" s="11" t="s">
        <v>485</v>
      </c>
      <c r="M132" s="56">
        <v>0.005</v>
      </c>
      <c r="N132" s="11">
        <v>14061.0</v>
      </c>
      <c r="O132" s="11" t="s">
        <v>470</v>
      </c>
      <c r="P132" s="11">
        <v>20.0</v>
      </c>
      <c r="Q132" s="11" t="s">
        <v>471</v>
      </c>
      <c r="R132" s="12"/>
    </row>
    <row r="133">
      <c r="A133" s="11" t="s">
        <v>538</v>
      </c>
      <c r="B133" s="12"/>
      <c r="C133" s="13">
        <v>12854.0</v>
      </c>
      <c r="D133" s="11">
        <v>2015.0</v>
      </c>
      <c r="E133" s="11" t="s">
        <v>22</v>
      </c>
      <c r="F133" s="11" t="s">
        <v>23</v>
      </c>
      <c r="G133" s="68">
        <v>0.9</v>
      </c>
      <c r="H133" s="11">
        <v>261450.0</v>
      </c>
      <c r="I133" s="11" t="s">
        <v>484</v>
      </c>
      <c r="J133" s="11">
        <v>0.0</v>
      </c>
      <c r="K133" s="11">
        <v>0.0</v>
      </c>
      <c r="L133" s="11"/>
      <c r="M133" s="56">
        <v>0.002</v>
      </c>
      <c r="N133" s="11">
        <v>581.0</v>
      </c>
      <c r="O133" s="11" t="s">
        <v>470</v>
      </c>
      <c r="P133" s="11">
        <v>7.0</v>
      </c>
      <c r="Q133" s="11" t="s">
        <v>471</v>
      </c>
      <c r="R133" s="12"/>
    </row>
    <row r="134">
      <c r="A134" s="11" t="s">
        <v>539</v>
      </c>
      <c r="B134" s="12"/>
      <c r="C134" s="13">
        <v>203.0</v>
      </c>
      <c r="D134" s="11">
        <v>2015.0</v>
      </c>
      <c r="E134" s="11" t="s">
        <v>22</v>
      </c>
      <c r="F134" s="11" t="s">
        <v>540</v>
      </c>
      <c r="G134" s="68">
        <v>0.7</v>
      </c>
      <c r="H134" s="11">
        <v>568750.0</v>
      </c>
      <c r="I134" s="11" t="s">
        <v>484</v>
      </c>
      <c r="J134" s="11" t="s">
        <v>541</v>
      </c>
      <c r="K134" s="11">
        <v>12797.0</v>
      </c>
      <c r="L134" s="11" t="s">
        <v>485</v>
      </c>
      <c r="M134" s="11" t="s">
        <v>542</v>
      </c>
      <c r="N134" s="11">
        <v>6094.0</v>
      </c>
      <c r="O134" s="11" t="s">
        <v>470</v>
      </c>
      <c r="P134" s="11">
        <v>15.0</v>
      </c>
      <c r="Q134" s="11" t="s">
        <v>471</v>
      </c>
      <c r="R134" s="12"/>
    </row>
    <row r="135">
      <c r="A135" s="11" t="s">
        <v>543</v>
      </c>
      <c r="B135" s="12"/>
      <c r="C135" s="13">
        <v>67713.0</v>
      </c>
      <c r="D135" s="11">
        <v>2015.0</v>
      </c>
      <c r="E135" s="11" t="s">
        <v>22</v>
      </c>
      <c r="F135" s="11" t="s">
        <v>544</v>
      </c>
      <c r="G135" s="12"/>
      <c r="H135" s="12"/>
      <c r="I135" s="12"/>
      <c r="J135" s="11">
        <v>0.0</v>
      </c>
      <c r="K135" s="11">
        <v>0.0</v>
      </c>
      <c r="L135" s="11" t="s">
        <v>485</v>
      </c>
      <c r="M135" s="11">
        <v>0.0</v>
      </c>
      <c r="N135" s="11">
        <v>0.0</v>
      </c>
      <c r="O135" s="11" t="s">
        <v>470</v>
      </c>
      <c r="P135" s="11">
        <v>15.0</v>
      </c>
      <c r="Q135" s="11" t="s">
        <v>471</v>
      </c>
      <c r="R135" s="12"/>
    </row>
    <row r="136">
      <c r="A136" s="11" t="s">
        <v>545</v>
      </c>
      <c r="B136" s="12"/>
      <c r="C136" s="13">
        <v>640.0</v>
      </c>
      <c r="D136" s="11">
        <v>2015.0</v>
      </c>
      <c r="E136" s="11" t="s">
        <v>22</v>
      </c>
      <c r="F136" s="11" t="s">
        <v>536</v>
      </c>
      <c r="G136" s="11" t="s">
        <v>546</v>
      </c>
      <c r="H136" s="72">
        <v>3.4371776E8</v>
      </c>
      <c r="I136" s="11" t="s">
        <v>484</v>
      </c>
      <c r="J136" s="11">
        <v>0.0</v>
      </c>
      <c r="K136" s="11">
        <v>0.0</v>
      </c>
      <c r="L136" s="11"/>
      <c r="M136" s="11">
        <v>0.0</v>
      </c>
      <c r="N136" s="11">
        <v>0.0</v>
      </c>
      <c r="O136" s="11" t="s">
        <v>49</v>
      </c>
      <c r="P136" s="11">
        <v>15.0</v>
      </c>
      <c r="Q136" s="11" t="s">
        <v>471</v>
      </c>
      <c r="R136" s="12"/>
    </row>
    <row r="137">
      <c r="A137" s="73" t="s">
        <v>547</v>
      </c>
      <c r="B137" s="11" t="s">
        <v>548</v>
      </c>
      <c r="C137" s="13" t="s">
        <v>549</v>
      </c>
      <c r="D137" s="11">
        <v>2015.0</v>
      </c>
      <c r="E137" s="11" t="s">
        <v>22</v>
      </c>
      <c r="F137" s="11" t="s">
        <v>23</v>
      </c>
      <c r="G137" s="11" t="s">
        <v>550</v>
      </c>
      <c r="H137" s="11">
        <v>5.6591678E7</v>
      </c>
      <c r="I137" s="11" t="s">
        <v>484</v>
      </c>
      <c r="J137" s="11" t="s">
        <v>551</v>
      </c>
      <c r="K137" s="11">
        <v>3864667.0</v>
      </c>
      <c r="L137" s="11" t="s">
        <v>485</v>
      </c>
      <c r="M137" s="11" t="s">
        <v>552</v>
      </c>
      <c r="N137" s="11">
        <v>1423164.0</v>
      </c>
      <c r="O137" s="11" t="s">
        <v>470</v>
      </c>
      <c r="P137" s="11" t="s">
        <v>553</v>
      </c>
      <c r="Q137" s="11" t="s">
        <v>471</v>
      </c>
      <c r="R137" s="12"/>
    </row>
    <row r="138">
      <c r="A138" s="73" t="s">
        <v>554</v>
      </c>
      <c r="B138" s="11" t="s">
        <v>548</v>
      </c>
      <c r="C138" s="13" t="s">
        <v>549</v>
      </c>
      <c r="D138" s="11">
        <v>2015.0</v>
      </c>
      <c r="E138" s="11" t="s">
        <v>22</v>
      </c>
      <c r="F138" s="11" t="s">
        <v>23</v>
      </c>
      <c r="G138" s="11" t="s">
        <v>555</v>
      </c>
      <c r="H138" s="11">
        <v>5.0396731E7</v>
      </c>
      <c r="I138" s="11" t="s">
        <v>484</v>
      </c>
      <c r="J138" s="11" t="s">
        <v>556</v>
      </c>
      <c r="K138" s="11">
        <v>2915451.0</v>
      </c>
      <c r="L138" s="11" t="s">
        <v>485</v>
      </c>
      <c r="M138" s="11" t="s">
        <v>557</v>
      </c>
      <c r="N138" s="11">
        <v>1088302.0</v>
      </c>
      <c r="O138" s="11" t="s">
        <v>470</v>
      </c>
      <c r="P138" s="11">
        <v>15.0</v>
      </c>
      <c r="Q138" s="11" t="s">
        <v>471</v>
      </c>
      <c r="R138" s="12"/>
    </row>
    <row r="139">
      <c r="A139" s="11" t="s">
        <v>558</v>
      </c>
      <c r="B139" s="12"/>
      <c r="C139" s="13">
        <v>39.0</v>
      </c>
      <c r="D139" s="11">
        <v>2015.0</v>
      </c>
      <c r="E139" s="11" t="s">
        <v>22</v>
      </c>
      <c r="F139" s="11" t="s">
        <v>23</v>
      </c>
      <c r="G139" s="11" t="s">
        <v>559</v>
      </c>
      <c r="H139" s="11">
        <v>9163476.0</v>
      </c>
      <c r="I139" s="11" t="s">
        <v>560</v>
      </c>
      <c r="J139" s="11" t="s">
        <v>561</v>
      </c>
      <c r="K139" s="11">
        <v>82790.0</v>
      </c>
      <c r="L139" s="11" t="s">
        <v>560</v>
      </c>
      <c r="M139" s="11" t="s">
        <v>562</v>
      </c>
      <c r="N139" s="11">
        <v>19105.0</v>
      </c>
      <c r="O139" s="11" t="s">
        <v>560</v>
      </c>
      <c r="P139" s="11">
        <v>20.0</v>
      </c>
      <c r="Q139" s="17" t="s">
        <v>563</v>
      </c>
      <c r="R139" s="12"/>
    </row>
    <row r="140">
      <c r="A140" s="11" t="s">
        <v>564</v>
      </c>
      <c r="B140" s="11"/>
      <c r="C140" s="13">
        <v>21346.0</v>
      </c>
      <c r="D140" s="11">
        <v>2015.0</v>
      </c>
      <c r="E140" s="11" t="s">
        <v>22</v>
      </c>
      <c r="F140" s="17" t="s">
        <v>565</v>
      </c>
      <c r="G140" s="11" t="s">
        <v>566</v>
      </c>
      <c r="H140" s="11">
        <v>5216589.0</v>
      </c>
      <c r="I140" s="11" t="s">
        <v>567</v>
      </c>
      <c r="J140" s="11" t="s">
        <v>568</v>
      </c>
      <c r="K140" s="11">
        <v>2659774.0</v>
      </c>
      <c r="L140" s="11" t="s">
        <v>567</v>
      </c>
      <c r="M140" s="11" t="s">
        <v>569</v>
      </c>
      <c r="N140" s="11">
        <v>3088770.0</v>
      </c>
      <c r="O140" s="11" t="s">
        <v>567</v>
      </c>
      <c r="P140" s="11">
        <v>5.0</v>
      </c>
      <c r="Q140" s="11" t="s">
        <v>471</v>
      </c>
      <c r="R140" s="12"/>
    </row>
    <row r="141">
      <c r="A141" s="12"/>
      <c r="B141" s="12"/>
      <c r="C141" s="36"/>
      <c r="D141" s="12"/>
      <c r="E141" s="12"/>
      <c r="F141" s="12"/>
      <c r="G141" s="12"/>
      <c r="H141" s="12"/>
      <c r="I141" s="12"/>
      <c r="J141" s="12"/>
      <c r="K141" s="12"/>
      <c r="L141" s="12"/>
      <c r="M141" s="12"/>
      <c r="N141" s="12"/>
      <c r="O141" s="12"/>
      <c r="P141" s="12"/>
      <c r="Q141" s="12"/>
      <c r="R141" s="12"/>
    </row>
    <row r="142">
      <c r="A142" s="12"/>
      <c r="B142" s="12"/>
      <c r="C142" s="36"/>
      <c r="D142" s="12"/>
      <c r="E142" s="12"/>
      <c r="F142" s="12"/>
      <c r="G142" s="12"/>
      <c r="H142" s="12"/>
      <c r="I142" s="12"/>
      <c r="J142" s="12"/>
      <c r="K142" s="12"/>
      <c r="L142" s="12"/>
      <c r="M142" s="12"/>
      <c r="N142" s="12"/>
      <c r="O142" s="12"/>
      <c r="P142" s="12"/>
      <c r="Q142" s="12"/>
      <c r="R142" s="12"/>
    </row>
    <row r="143">
      <c r="A143" s="12"/>
      <c r="B143" s="12"/>
      <c r="C143" s="36"/>
      <c r="D143" s="12"/>
      <c r="E143" s="12"/>
      <c r="F143" s="12"/>
      <c r="G143" s="12"/>
      <c r="H143" s="12"/>
      <c r="I143" s="12"/>
      <c r="J143" s="12"/>
      <c r="K143" s="12"/>
      <c r="L143" s="12"/>
      <c r="M143" s="12"/>
      <c r="N143" s="12"/>
      <c r="O143" s="12"/>
      <c r="P143" s="12"/>
      <c r="Q143" s="12"/>
      <c r="R143" s="12"/>
    </row>
  </sheetData>
  <mergeCells count="13">
    <mergeCell ref="A83:A84"/>
    <mergeCell ref="A92:A93"/>
    <mergeCell ref="A87:A90"/>
    <mergeCell ref="A94:A95"/>
    <mergeCell ref="A96:A99"/>
    <mergeCell ref="A85:A86"/>
    <mergeCell ref="A77:A78"/>
    <mergeCell ref="A72:A73"/>
    <mergeCell ref="A74:A75"/>
    <mergeCell ref="A80:A82"/>
    <mergeCell ref="M9:M10"/>
    <mergeCell ref="B1:D1"/>
    <mergeCell ref="N9:N10"/>
  </mergeCells>
  <hyperlinks>
    <hyperlink r:id="rId2" ref="O72"/>
    <hyperlink r:id="rId3" ref="O76"/>
    <hyperlink r:id="rId4" ref="O96"/>
  </hyperlinks>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5.13" defaultRowHeight="15.0"/>
  <cols>
    <col customWidth="1" min="1" max="1" width="16.25"/>
    <col customWidth="1" min="6" max="6" width="4.75"/>
    <col customWidth="1" min="19" max="19" width="18.38"/>
  </cols>
  <sheetData>
    <row r="1">
      <c r="A1" s="74" t="s">
        <v>2</v>
      </c>
      <c r="B1" s="75" t="s">
        <v>570</v>
      </c>
      <c r="C1" s="75" t="s">
        <v>571</v>
      </c>
      <c r="D1" s="75" t="s">
        <v>572</v>
      </c>
      <c r="E1" s="75" t="s">
        <v>573</v>
      </c>
      <c r="F1" s="76"/>
      <c r="G1" s="76" t="s">
        <v>574</v>
      </c>
      <c r="H1" s="76" t="s">
        <v>575</v>
      </c>
      <c r="I1" s="76" t="s">
        <v>576</v>
      </c>
      <c r="J1" s="76" t="s">
        <v>577</v>
      </c>
      <c r="K1" s="76" t="s">
        <v>578</v>
      </c>
      <c r="L1" s="76"/>
      <c r="M1" s="76" t="s">
        <v>579</v>
      </c>
      <c r="N1" s="76" t="s">
        <v>580</v>
      </c>
      <c r="O1" s="76" t="s">
        <v>581</v>
      </c>
      <c r="P1" s="76" t="s">
        <v>582</v>
      </c>
      <c r="Q1" s="76"/>
      <c r="R1" s="76" t="s">
        <v>583</v>
      </c>
      <c r="S1" s="76" t="s">
        <v>584</v>
      </c>
      <c r="T1" s="76" t="s">
        <v>585</v>
      </c>
      <c r="U1" s="76" t="s">
        <v>586</v>
      </c>
      <c r="V1" s="76"/>
      <c r="W1" s="76" t="s">
        <v>587</v>
      </c>
      <c r="X1" s="76" t="s">
        <v>588</v>
      </c>
      <c r="Y1" s="76" t="s">
        <v>589</v>
      </c>
      <c r="Z1" s="76" t="s">
        <v>590</v>
      </c>
      <c r="AA1" s="76"/>
      <c r="AB1" s="76" t="s">
        <v>591</v>
      </c>
      <c r="AC1" s="76" t="s">
        <v>592</v>
      </c>
      <c r="AD1" s="76" t="s">
        <v>593</v>
      </c>
      <c r="AE1" s="76" t="s">
        <v>594</v>
      </c>
      <c r="AF1" s="76"/>
      <c r="AG1" s="76" t="s">
        <v>595</v>
      </c>
      <c r="AH1" s="76" t="s">
        <v>596</v>
      </c>
      <c r="AI1" s="76" t="s">
        <v>597</v>
      </c>
      <c r="AJ1" s="76" t="s">
        <v>598</v>
      </c>
      <c r="AK1" s="76"/>
      <c r="AL1" s="76" t="s">
        <v>599</v>
      </c>
      <c r="AM1" s="76" t="s">
        <v>600</v>
      </c>
      <c r="AN1" s="76" t="s">
        <v>601</v>
      </c>
      <c r="AO1" s="76" t="s">
        <v>602</v>
      </c>
      <c r="AP1" s="76"/>
      <c r="AQ1" s="76" t="s">
        <v>603</v>
      </c>
      <c r="AR1" s="76" t="s">
        <v>604</v>
      </c>
      <c r="AS1" s="76" t="s">
        <v>605</v>
      </c>
      <c r="AT1" s="76" t="s">
        <v>606</v>
      </c>
      <c r="AU1" s="76"/>
      <c r="AV1" s="76" t="s">
        <v>607</v>
      </c>
      <c r="AW1" s="76" t="s">
        <v>608</v>
      </c>
      <c r="AX1" s="76" t="s">
        <v>609</v>
      </c>
      <c r="AY1" s="76"/>
      <c r="AZ1" s="76"/>
      <c r="BA1" s="76"/>
      <c r="BB1" s="76"/>
      <c r="BC1" s="76"/>
    </row>
    <row r="2">
      <c r="A2" s="77" t="s">
        <v>20</v>
      </c>
      <c r="B2" s="78"/>
      <c r="C2" s="78"/>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row>
    <row r="3">
      <c r="A3" s="12" t="s">
        <v>610</v>
      </c>
      <c r="C3" s="16">
        <v>0.05</v>
      </c>
      <c r="G3" s="18">
        <v>39393.0</v>
      </c>
      <c r="H3" s="79" t="str">
        <f t="shared" ref="H3:H32" si="3">0.1106*G3</f>
        <v>4357</v>
      </c>
      <c r="I3" t="str">
        <f t="shared" ref="I3:I8" si="4">H3*C3</f>
        <v>217.84329</v>
      </c>
      <c r="J3" t="str">
        <f t="shared" ref="J3:K3" si="1">$H3*D3</f>
        <v>0</v>
      </c>
      <c r="K3" t="str">
        <f t="shared" si="1"/>
        <v>0</v>
      </c>
      <c r="M3" t="str">
        <f t="shared" ref="M3:M32" si="5">0.1073*G3</f>
        <v>4226.8689</v>
      </c>
      <c r="N3" t="str">
        <f t="shared" ref="N3:N8" si="6">C3*M3</f>
        <v>211.343445</v>
      </c>
      <c r="O3" t="str">
        <f t="shared" ref="O3:O32" si="7">D3*M3</f>
        <v>0</v>
      </c>
      <c r="P3" t="str">
        <f t="shared" ref="P3:P9" si="8">E3*M3</f>
        <v>0</v>
      </c>
      <c r="R3" t="str">
        <f t="shared" ref="R3:R32" si="9">0.0006*G3</f>
        <v>23.6358</v>
      </c>
      <c r="S3" t="str">
        <f t="shared" ref="S3:S8" si="10">C3*R3</f>
        <v>1.18179</v>
      </c>
      <c r="T3" t="str">
        <f t="shared" ref="T3:T32" si="11">D3*R3</f>
        <v>0</v>
      </c>
      <c r="U3" t="str">
        <f t="shared" ref="U3:U9" si="12">E3*R3</f>
        <v>0</v>
      </c>
      <c r="W3" t="str">
        <f t="shared" ref="W3:W32" si="13">0.171*G3</f>
        <v>6736.203</v>
      </c>
      <c r="X3" t="str">
        <f t="shared" ref="X3:X8" si="14">C3*W3</f>
        <v>336.81015</v>
      </c>
      <c r="Y3" t="str">
        <f t="shared" ref="Y3:Y32" si="15">D3*W3</f>
        <v>0</v>
      </c>
      <c r="Z3" t="str">
        <f t="shared" ref="Z3:Z9" si="16">E3*W3</f>
        <v>0</v>
      </c>
      <c r="AB3" t="str">
        <f t="shared" ref="AB3:AB32" si="17">0.1771*G3</f>
        <v>6976.5003</v>
      </c>
      <c r="AC3" t="str">
        <f t="shared" ref="AC3:AC8" si="18">C3*AB3</f>
        <v>348.825015</v>
      </c>
      <c r="AD3" t="str">
        <f t="shared" ref="AD3:AD32" si="19">D3*AB3</f>
        <v>0</v>
      </c>
      <c r="AE3" t="str">
        <f t="shared" ref="AE3:AE9" si="20">E3*AB3</f>
        <v>0</v>
      </c>
      <c r="AG3" t="str">
        <f t="shared" ref="AG3:AG32" si="21">0.1739*G3</f>
        <v>6850.4427</v>
      </c>
      <c r="AH3" t="str">
        <f t="shared" ref="AH3:AH8" si="22">C3*AG3</f>
        <v>342.522135</v>
      </c>
      <c r="AI3" t="str">
        <f t="shared" ref="AI3:AI32" si="23">D3*AG3</f>
        <v>0</v>
      </c>
      <c r="AJ3" t="str">
        <f t="shared" ref="AJ3:AJ9" si="24">E3*AG3</f>
        <v>0</v>
      </c>
      <c r="AL3" t="str">
        <f t="shared" ref="AL3:AL32" si="25">0.1547*G3</f>
        <v>6094.0971</v>
      </c>
      <c r="AM3" t="str">
        <f t="shared" ref="AM3:AM8" si="26">C3*AL3</f>
        <v>304.704855</v>
      </c>
      <c r="AN3" t="str">
        <f t="shared" ref="AN3:AN32" si="27">D3*AL3</f>
        <v>0</v>
      </c>
      <c r="AO3" t="str">
        <f t="shared" ref="AO3:AO9" si="28">E3*AL3</f>
        <v>0</v>
      </c>
      <c r="AQ3" t="str">
        <f t="shared" ref="AQ3:AQ32" si="29">0.1049*G3</f>
        <v>4132.3257</v>
      </c>
      <c r="AR3" t="str">
        <f t="shared" ref="AR3:AR8" si="30">C3*AQ3</f>
        <v>206.616285</v>
      </c>
      <c r="AS3" t="str">
        <f t="shared" ref="AS3:AS32" si="31">D3*AQ3</f>
        <v>0</v>
      </c>
      <c r="AT3" t="str">
        <f t="shared" ref="AT3:AT9" si="32">E3*AQ3</f>
        <v>0</v>
      </c>
      <c r="AV3" t="str">
        <f t="shared" ref="AV3:AX3" si="2">sum(AR3,AM3,AH3,AC3,X3,S3,N3,I3)</f>
        <v>1969.846965</v>
      </c>
      <c r="AW3" t="str">
        <f t="shared" si="2"/>
        <v>0</v>
      </c>
      <c r="AX3" t="str">
        <f t="shared" si="2"/>
        <v>0</v>
      </c>
      <c r="AZ3" s="78"/>
      <c r="BA3" s="78"/>
      <c r="BB3" s="78"/>
      <c r="BC3" s="78"/>
    </row>
    <row r="4">
      <c r="A4" s="12" t="s">
        <v>28</v>
      </c>
      <c r="E4" s="16" t="str">
        <f>(192128/7160)/1000</f>
        <v>0.02683351955</v>
      </c>
      <c r="G4" s="16">
        <v>7160.0</v>
      </c>
      <c r="H4" s="79" t="str">
        <f t="shared" si="3"/>
        <v>792</v>
      </c>
      <c r="I4" t="str">
        <f t="shared" si="4"/>
        <v>0</v>
      </c>
      <c r="J4" t="str">
        <f t="shared" ref="J4:J32" si="34">H4*D4</f>
        <v>0</v>
      </c>
      <c r="K4" t="str">
        <f t="shared" ref="K4:K9" si="35">$H4*E4</f>
        <v>21.2493568</v>
      </c>
      <c r="M4" t="str">
        <f t="shared" si="5"/>
        <v>768.268</v>
      </c>
      <c r="N4" t="str">
        <f t="shared" si="6"/>
        <v>0</v>
      </c>
      <c r="O4" t="str">
        <f t="shared" si="7"/>
        <v>0</v>
      </c>
      <c r="P4" t="str">
        <f t="shared" si="8"/>
        <v>20.6153344</v>
      </c>
      <c r="R4" t="str">
        <f t="shared" si="9"/>
        <v>4.296</v>
      </c>
      <c r="S4" t="str">
        <f t="shared" si="10"/>
        <v>0</v>
      </c>
      <c r="T4" t="str">
        <f t="shared" si="11"/>
        <v>0</v>
      </c>
      <c r="U4" t="str">
        <f t="shared" si="12"/>
        <v>0.1152768</v>
      </c>
      <c r="W4" t="str">
        <f t="shared" si="13"/>
        <v>1224.36</v>
      </c>
      <c r="X4" t="str">
        <f t="shared" si="14"/>
        <v>0</v>
      </c>
      <c r="Y4" t="str">
        <f t="shared" si="15"/>
        <v>0</v>
      </c>
      <c r="Z4" t="str">
        <f t="shared" si="16"/>
        <v>32.853888</v>
      </c>
      <c r="AB4" t="str">
        <f t="shared" si="17"/>
        <v>1268.036</v>
      </c>
      <c r="AC4" t="str">
        <f t="shared" si="18"/>
        <v>0</v>
      </c>
      <c r="AD4" t="str">
        <f t="shared" si="19"/>
        <v>0</v>
      </c>
      <c r="AE4" t="str">
        <f t="shared" si="20"/>
        <v>34.0258688</v>
      </c>
      <c r="AG4" t="str">
        <f t="shared" si="21"/>
        <v>1245.124</v>
      </c>
      <c r="AH4" t="str">
        <f t="shared" si="22"/>
        <v>0</v>
      </c>
      <c r="AI4" t="str">
        <f t="shared" si="23"/>
        <v>0</v>
      </c>
      <c r="AJ4" t="str">
        <f t="shared" si="24"/>
        <v>33.4110592</v>
      </c>
      <c r="AL4" t="str">
        <f t="shared" si="25"/>
        <v>1107.652</v>
      </c>
      <c r="AM4" t="str">
        <f t="shared" si="26"/>
        <v>0</v>
      </c>
      <c r="AN4" t="str">
        <f t="shared" si="27"/>
        <v>0</v>
      </c>
      <c r="AO4" t="str">
        <f t="shared" si="28"/>
        <v>29.7222016</v>
      </c>
      <c r="AQ4" t="str">
        <f t="shared" si="29"/>
        <v>751.084</v>
      </c>
      <c r="AR4" t="str">
        <f t="shared" si="30"/>
        <v>0</v>
      </c>
      <c r="AS4" t="str">
        <f t="shared" si="31"/>
        <v>0</v>
      </c>
      <c r="AT4" t="str">
        <f t="shared" si="32"/>
        <v>20.1542272</v>
      </c>
      <c r="AV4" t="str">
        <f t="shared" ref="AV4:AX4" si="33">sum(AR4,AM4,AH4,AC4,X4,S4,N4,I4)</f>
        <v>0</v>
      </c>
      <c r="AW4" t="str">
        <f t="shared" si="33"/>
        <v>0</v>
      </c>
      <c r="AX4" t="str">
        <f t="shared" si="33"/>
        <v>192.1472128</v>
      </c>
      <c r="AZ4" s="78"/>
      <c r="BA4" s="78"/>
      <c r="BB4" s="78"/>
      <c r="BC4" s="78"/>
    </row>
    <row r="5">
      <c r="A5" s="12" t="s">
        <v>36</v>
      </c>
      <c r="C5" s="18" t="str">
        <f>4590/42.5</f>
        <v>108</v>
      </c>
      <c r="G5" s="16">
        <v>42.5</v>
      </c>
      <c r="H5" s="79" t="str">
        <f t="shared" si="3"/>
        <v>5</v>
      </c>
      <c r="I5" t="str">
        <f t="shared" si="4"/>
        <v>507.654</v>
      </c>
      <c r="J5" t="str">
        <f t="shared" si="34"/>
        <v>0</v>
      </c>
      <c r="K5" t="str">
        <f t="shared" si="35"/>
        <v>0</v>
      </c>
      <c r="M5" t="str">
        <f t="shared" si="5"/>
        <v>4.56025</v>
      </c>
      <c r="N5" t="str">
        <f t="shared" si="6"/>
        <v>492.507</v>
      </c>
      <c r="O5" t="str">
        <f t="shared" si="7"/>
        <v>0</v>
      </c>
      <c r="P5" t="str">
        <f t="shared" si="8"/>
        <v>0</v>
      </c>
      <c r="R5" t="str">
        <f t="shared" si="9"/>
        <v>0.0255</v>
      </c>
      <c r="S5" t="str">
        <f t="shared" si="10"/>
        <v>2.754</v>
      </c>
      <c r="T5" t="str">
        <f t="shared" si="11"/>
        <v>0</v>
      </c>
      <c r="U5" t="str">
        <f t="shared" si="12"/>
        <v>0</v>
      </c>
      <c r="W5" t="str">
        <f t="shared" si="13"/>
        <v>7.2675</v>
      </c>
      <c r="X5" t="str">
        <f t="shared" si="14"/>
        <v>784.89</v>
      </c>
      <c r="Y5" t="str">
        <f t="shared" si="15"/>
        <v>0</v>
      </c>
      <c r="Z5" t="str">
        <f t="shared" si="16"/>
        <v>0</v>
      </c>
      <c r="AB5" t="str">
        <f t="shared" si="17"/>
        <v>7.52675</v>
      </c>
      <c r="AC5" t="str">
        <f t="shared" si="18"/>
        <v>812.889</v>
      </c>
      <c r="AD5" t="str">
        <f t="shared" si="19"/>
        <v>0</v>
      </c>
      <c r="AE5" t="str">
        <f t="shared" si="20"/>
        <v>0</v>
      </c>
      <c r="AG5" t="str">
        <f t="shared" si="21"/>
        <v>7.39075</v>
      </c>
      <c r="AH5" t="str">
        <f t="shared" si="22"/>
        <v>798.201</v>
      </c>
      <c r="AI5" t="str">
        <f t="shared" si="23"/>
        <v>0</v>
      </c>
      <c r="AJ5" t="str">
        <f t="shared" si="24"/>
        <v>0</v>
      </c>
      <c r="AL5" t="str">
        <f t="shared" si="25"/>
        <v>6.57475</v>
      </c>
      <c r="AM5" t="str">
        <f t="shared" si="26"/>
        <v>710.073</v>
      </c>
      <c r="AN5" t="str">
        <f t="shared" si="27"/>
        <v>0</v>
      </c>
      <c r="AO5" t="str">
        <f t="shared" si="28"/>
        <v>0</v>
      </c>
      <c r="AQ5" t="str">
        <f t="shared" si="29"/>
        <v>4.45825</v>
      </c>
      <c r="AR5" t="str">
        <f t="shared" si="30"/>
        <v>481.491</v>
      </c>
      <c r="AS5" t="str">
        <f t="shared" si="31"/>
        <v>0</v>
      </c>
      <c r="AT5" t="str">
        <f t="shared" si="32"/>
        <v>0</v>
      </c>
      <c r="AV5" t="str">
        <f t="shared" ref="AV5:AX5" si="36">sum(AR5,AM5,AH5,AC5,X5,S5,N5,I5)</f>
        <v>4590.459</v>
      </c>
      <c r="AW5" t="str">
        <f t="shared" si="36"/>
        <v>0</v>
      </c>
      <c r="AX5" t="str">
        <f t="shared" si="36"/>
        <v>0</v>
      </c>
      <c r="AZ5" s="78"/>
      <c r="BA5" s="78"/>
      <c r="BB5" s="78"/>
      <c r="BC5" s="78"/>
    </row>
    <row r="6">
      <c r="A6" s="12" t="s">
        <v>42</v>
      </c>
      <c r="C6" s="18" t="str">
        <f>23880/200</f>
        <v>119.4</v>
      </c>
      <c r="G6" s="16">
        <v>200.0</v>
      </c>
      <c r="H6" s="79" t="str">
        <f t="shared" si="3"/>
        <v>22</v>
      </c>
      <c r="I6" t="str">
        <f t="shared" si="4"/>
        <v>2641.128</v>
      </c>
      <c r="J6" t="str">
        <f t="shared" si="34"/>
        <v>0</v>
      </c>
      <c r="K6" t="str">
        <f t="shared" si="35"/>
        <v>0</v>
      </c>
      <c r="M6" t="str">
        <f t="shared" si="5"/>
        <v>21.46</v>
      </c>
      <c r="N6" t="str">
        <f t="shared" si="6"/>
        <v>2562.324</v>
      </c>
      <c r="O6" t="str">
        <f t="shared" si="7"/>
        <v>0</v>
      </c>
      <c r="P6" t="str">
        <f t="shared" si="8"/>
        <v>0</v>
      </c>
      <c r="R6" t="str">
        <f t="shared" si="9"/>
        <v>0.12</v>
      </c>
      <c r="S6" t="str">
        <f t="shared" si="10"/>
        <v>14.328</v>
      </c>
      <c r="T6" t="str">
        <f t="shared" si="11"/>
        <v>0</v>
      </c>
      <c r="U6" t="str">
        <f t="shared" si="12"/>
        <v>0</v>
      </c>
      <c r="W6" t="str">
        <f t="shared" si="13"/>
        <v>34.2</v>
      </c>
      <c r="X6" t="str">
        <f t="shared" si="14"/>
        <v>4083.48</v>
      </c>
      <c r="Y6" t="str">
        <f t="shared" si="15"/>
        <v>0</v>
      </c>
      <c r="Z6" t="str">
        <f t="shared" si="16"/>
        <v>0</v>
      </c>
      <c r="AB6" t="str">
        <f t="shared" si="17"/>
        <v>35.42</v>
      </c>
      <c r="AC6" t="str">
        <f t="shared" si="18"/>
        <v>4229.148</v>
      </c>
      <c r="AD6" t="str">
        <f t="shared" si="19"/>
        <v>0</v>
      </c>
      <c r="AE6" t="str">
        <f t="shared" si="20"/>
        <v>0</v>
      </c>
      <c r="AG6" t="str">
        <f t="shared" si="21"/>
        <v>34.78</v>
      </c>
      <c r="AH6" t="str">
        <f t="shared" si="22"/>
        <v>4152.732</v>
      </c>
      <c r="AI6" t="str">
        <f t="shared" si="23"/>
        <v>0</v>
      </c>
      <c r="AJ6" t="str">
        <f t="shared" si="24"/>
        <v>0</v>
      </c>
      <c r="AL6" t="str">
        <f t="shared" si="25"/>
        <v>30.94</v>
      </c>
      <c r="AM6" t="str">
        <f t="shared" si="26"/>
        <v>3694.236</v>
      </c>
      <c r="AN6" t="str">
        <f t="shared" si="27"/>
        <v>0</v>
      </c>
      <c r="AO6" t="str">
        <f t="shared" si="28"/>
        <v>0</v>
      </c>
      <c r="AQ6" t="str">
        <f t="shared" si="29"/>
        <v>20.98</v>
      </c>
      <c r="AR6" t="str">
        <f t="shared" si="30"/>
        <v>2505.012</v>
      </c>
      <c r="AS6" t="str">
        <f t="shared" si="31"/>
        <v>0</v>
      </c>
      <c r="AT6" t="str">
        <f t="shared" si="32"/>
        <v>0</v>
      </c>
      <c r="AV6" t="str">
        <f t="shared" ref="AV6:AX6" si="37">sum(AR6,AM6,AH6,AC6,X6,S6,N6,I6)</f>
        <v>23882.388</v>
      </c>
      <c r="AW6" t="str">
        <f t="shared" si="37"/>
        <v>0</v>
      </c>
      <c r="AX6" t="str">
        <f t="shared" si="37"/>
        <v>0</v>
      </c>
      <c r="AZ6" s="78"/>
      <c r="BA6" s="78"/>
      <c r="BB6" s="78"/>
      <c r="BC6" s="78"/>
    </row>
    <row r="7">
      <c r="A7" s="11" t="s">
        <v>48</v>
      </c>
      <c r="E7" s="18" t="str">
        <f>24864/518</f>
        <v>48</v>
      </c>
      <c r="G7" s="16">
        <v>518.0</v>
      </c>
      <c r="H7" s="79" t="str">
        <f t="shared" si="3"/>
        <v>57</v>
      </c>
      <c r="I7" t="str">
        <f t="shared" si="4"/>
        <v>0</v>
      </c>
      <c r="J7" t="str">
        <f t="shared" si="34"/>
        <v>0</v>
      </c>
      <c r="K7" t="str">
        <f t="shared" si="35"/>
        <v>2749.9584</v>
      </c>
      <c r="M7" t="str">
        <f t="shared" si="5"/>
        <v>55.5814</v>
      </c>
      <c r="N7" t="str">
        <f t="shared" si="6"/>
        <v>0</v>
      </c>
      <c r="O7" t="str">
        <f t="shared" si="7"/>
        <v>0</v>
      </c>
      <c r="P7" t="str">
        <f t="shared" si="8"/>
        <v>2667.9072</v>
      </c>
      <c r="R7" t="str">
        <f t="shared" si="9"/>
        <v>0.3108</v>
      </c>
      <c r="S7" t="str">
        <f t="shared" si="10"/>
        <v>0</v>
      </c>
      <c r="T7" t="str">
        <f t="shared" si="11"/>
        <v>0</v>
      </c>
      <c r="U7" t="str">
        <f t="shared" si="12"/>
        <v>14.9184</v>
      </c>
      <c r="W7" t="str">
        <f t="shared" si="13"/>
        <v>88.578</v>
      </c>
      <c r="X7" t="str">
        <f t="shared" si="14"/>
        <v>0</v>
      </c>
      <c r="Y7" t="str">
        <f t="shared" si="15"/>
        <v>0</v>
      </c>
      <c r="Z7" t="str">
        <f t="shared" si="16"/>
        <v>4251.744</v>
      </c>
      <c r="AB7" t="str">
        <f t="shared" si="17"/>
        <v>91.7378</v>
      </c>
      <c r="AC7" t="str">
        <f t="shared" si="18"/>
        <v>0</v>
      </c>
      <c r="AD7" t="str">
        <f t="shared" si="19"/>
        <v>0</v>
      </c>
      <c r="AE7" t="str">
        <f t="shared" si="20"/>
        <v>4403.4144</v>
      </c>
      <c r="AG7" t="str">
        <f t="shared" si="21"/>
        <v>90.0802</v>
      </c>
      <c r="AH7" t="str">
        <f t="shared" si="22"/>
        <v>0</v>
      </c>
      <c r="AI7" t="str">
        <f t="shared" si="23"/>
        <v>0</v>
      </c>
      <c r="AJ7" t="str">
        <f t="shared" si="24"/>
        <v>4323.8496</v>
      </c>
      <c r="AL7" t="str">
        <f t="shared" si="25"/>
        <v>80.1346</v>
      </c>
      <c r="AM7" t="str">
        <f t="shared" si="26"/>
        <v>0</v>
      </c>
      <c r="AN7" t="str">
        <f t="shared" si="27"/>
        <v>0</v>
      </c>
      <c r="AO7" t="str">
        <f t="shared" si="28"/>
        <v>3846.4608</v>
      </c>
      <c r="AQ7" t="str">
        <f t="shared" si="29"/>
        <v>54.3382</v>
      </c>
      <c r="AR7" t="str">
        <f t="shared" si="30"/>
        <v>0</v>
      </c>
      <c r="AS7" t="str">
        <f t="shared" si="31"/>
        <v>0</v>
      </c>
      <c r="AT7" t="str">
        <f t="shared" si="32"/>
        <v>2608.2336</v>
      </c>
      <c r="AV7" t="str">
        <f t="shared" ref="AV7:AX7" si="38">sum(AR7,AM7,AH7,AC7,X7,S7,N7,I7)</f>
        <v>0</v>
      </c>
      <c r="AW7" t="str">
        <f t="shared" si="38"/>
        <v>0</v>
      </c>
      <c r="AX7" t="str">
        <f t="shared" si="38"/>
        <v>24866.4864</v>
      </c>
      <c r="AZ7" s="78"/>
      <c r="BA7" s="78"/>
      <c r="BB7" s="78"/>
      <c r="BC7" s="78"/>
    </row>
    <row r="8">
      <c r="A8" s="11" t="s">
        <v>53</v>
      </c>
      <c r="E8" s="16">
        <v>1.4</v>
      </c>
      <c r="H8" s="79" t="str">
        <f t="shared" si="3"/>
        <v>0</v>
      </c>
      <c r="I8" t="str">
        <f t="shared" si="4"/>
        <v>0</v>
      </c>
      <c r="J8" t="str">
        <f t="shared" si="34"/>
        <v>0</v>
      </c>
      <c r="K8" t="str">
        <f t="shared" si="35"/>
        <v>0</v>
      </c>
      <c r="M8" t="str">
        <f t="shared" si="5"/>
        <v>0</v>
      </c>
      <c r="N8" t="str">
        <f t="shared" si="6"/>
        <v>0</v>
      </c>
      <c r="O8" t="str">
        <f t="shared" si="7"/>
        <v>0</v>
      </c>
      <c r="P8" t="str">
        <f t="shared" si="8"/>
        <v>0</v>
      </c>
      <c r="R8" t="str">
        <f t="shared" si="9"/>
        <v>0</v>
      </c>
      <c r="S8" t="str">
        <f t="shared" si="10"/>
        <v>0</v>
      </c>
      <c r="T8" t="str">
        <f t="shared" si="11"/>
        <v>0</v>
      </c>
      <c r="U8" t="str">
        <f t="shared" si="12"/>
        <v>0</v>
      </c>
      <c r="W8" t="str">
        <f t="shared" si="13"/>
        <v>0</v>
      </c>
      <c r="X8" t="str">
        <f t="shared" si="14"/>
        <v>0</v>
      </c>
      <c r="Y8" t="str">
        <f t="shared" si="15"/>
        <v>0</v>
      </c>
      <c r="Z8" t="str">
        <f t="shared" si="16"/>
        <v>0</v>
      </c>
      <c r="AB8" t="str">
        <f t="shared" si="17"/>
        <v>0</v>
      </c>
      <c r="AC8" t="str">
        <f t="shared" si="18"/>
        <v>0</v>
      </c>
      <c r="AD8" t="str">
        <f t="shared" si="19"/>
        <v>0</v>
      </c>
      <c r="AE8" t="str">
        <f t="shared" si="20"/>
        <v>0</v>
      </c>
      <c r="AG8" t="str">
        <f t="shared" si="21"/>
        <v>0</v>
      </c>
      <c r="AH8" t="str">
        <f t="shared" si="22"/>
        <v>0</v>
      </c>
      <c r="AI8" t="str">
        <f t="shared" si="23"/>
        <v>0</v>
      </c>
      <c r="AJ8" t="str">
        <f t="shared" si="24"/>
        <v>0</v>
      </c>
      <c r="AL8" t="str">
        <f t="shared" si="25"/>
        <v>0</v>
      </c>
      <c r="AM8" t="str">
        <f t="shared" si="26"/>
        <v>0</v>
      </c>
      <c r="AN8" t="str">
        <f t="shared" si="27"/>
        <v>0</v>
      </c>
      <c r="AO8" t="str">
        <f t="shared" si="28"/>
        <v>0</v>
      </c>
      <c r="AQ8" t="str">
        <f t="shared" si="29"/>
        <v>0</v>
      </c>
      <c r="AR8" t="str">
        <f t="shared" si="30"/>
        <v>0</v>
      </c>
      <c r="AS8" t="str">
        <f t="shared" si="31"/>
        <v>0</v>
      </c>
      <c r="AT8" t="str">
        <f t="shared" si="32"/>
        <v>0</v>
      </c>
      <c r="AV8" t="str">
        <f t="shared" ref="AV8:AX8" si="39">sum(AR8,AM8,AH8,AC8,X8,S8,N8,I8)</f>
        <v>0</v>
      </c>
      <c r="AW8" t="str">
        <f t="shared" si="39"/>
        <v>0</v>
      </c>
      <c r="AX8" t="str">
        <f t="shared" si="39"/>
        <v>0</v>
      </c>
      <c r="AZ8" s="78"/>
      <c r="BA8" s="78"/>
      <c r="BB8" s="78"/>
      <c r="BC8" s="78"/>
    </row>
    <row r="9">
      <c r="A9" s="11" t="s">
        <v>58</v>
      </c>
      <c r="E9" s="16">
        <v>0.02</v>
      </c>
      <c r="H9" s="79" t="str">
        <f t="shared" si="3"/>
        <v>0</v>
      </c>
      <c r="I9" t="str">
        <f>H9*E10</f>
        <v>0</v>
      </c>
      <c r="J9" t="str">
        <f t="shared" si="34"/>
        <v>0</v>
      </c>
      <c r="K9" t="str">
        <f t="shared" si="35"/>
        <v>0</v>
      </c>
      <c r="M9" t="str">
        <f t="shared" si="5"/>
        <v>0</v>
      </c>
      <c r="N9" t="str">
        <f>E10*M9</f>
        <v>0</v>
      </c>
      <c r="O9" t="str">
        <f t="shared" si="7"/>
        <v>0</v>
      </c>
      <c r="P9" t="str">
        <f t="shared" si="8"/>
        <v>0</v>
      </c>
      <c r="R9" t="str">
        <f t="shared" si="9"/>
        <v>0</v>
      </c>
      <c r="S9" t="str">
        <f>E10*R9</f>
        <v>0</v>
      </c>
      <c r="T9" t="str">
        <f t="shared" si="11"/>
        <v>0</v>
      </c>
      <c r="U9" t="str">
        <f t="shared" si="12"/>
        <v>0</v>
      </c>
      <c r="W9" t="str">
        <f t="shared" si="13"/>
        <v>0</v>
      </c>
      <c r="X9" t="str">
        <f>E10*W9</f>
        <v>0</v>
      </c>
      <c r="Y9" t="str">
        <f t="shared" si="15"/>
        <v>0</v>
      </c>
      <c r="Z9" t="str">
        <f t="shared" si="16"/>
        <v>0</v>
      </c>
      <c r="AB9" t="str">
        <f t="shared" si="17"/>
        <v>0</v>
      </c>
      <c r="AC9" t="str">
        <f>E10*AB9</f>
        <v>0</v>
      </c>
      <c r="AD9" t="str">
        <f t="shared" si="19"/>
        <v>0</v>
      </c>
      <c r="AE9" t="str">
        <f t="shared" si="20"/>
        <v>0</v>
      </c>
      <c r="AG9" t="str">
        <f t="shared" si="21"/>
        <v>0</v>
      </c>
      <c r="AH9" t="str">
        <f>E10*AG9</f>
        <v>0</v>
      </c>
      <c r="AI9" t="str">
        <f t="shared" si="23"/>
        <v>0</v>
      </c>
      <c r="AJ9" t="str">
        <f t="shared" si="24"/>
        <v>0</v>
      </c>
      <c r="AL9" t="str">
        <f t="shared" si="25"/>
        <v>0</v>
      </c>
      <c r="AM9" t="str">
        <f>E10*AL9</f>
        <v>0</v>
      </c>
      <c r="AN9" t="str">
        <f t="shared" si="27"/>
        <v>0</v>
      </c>
      <c r="AO9" t="str">
        <f t="shared" si="28"/>
        <v>0</v>
      </c>
      <c r="AQ9" t="str">
        <f t="shared" si="29"/>
        <v>0</v>
      </c>
      <c r="AR9" t="str">
        <f>E10*AQ9</f>
        <v>0</v>
      </c>
      <c r="AS9" t="str">
        <f t="shared" si="31"/>
        <v>0</v>
      </c>
      <c r="AT9" t="str">
        <f t="shared" si="32"/>
        <v>0</v>
      </c>
      <c r="AV9" t="str">
        <f t="shared" ref="AV9:AX9" si="40">sum(AR9,AM9,AH9,AC9,X9,S9,N9,I9)</f>
        <v>0</v>
      </c>
      <c r="AW9" t="str">
        <f t="shared" si="40"/>
        <v>0</v>
      </c>
      <c r="AX9" t="str">
        <f t="shared" si="40"/>
        <v>0</v>
      </c>
      <c r="AZ9" s="78"/>
      <c r="BA9" s="78"/>
      <c r="BB9" s="78"/>
      <c r="BC9" s="78"/>
    </row>
    <row r="10">
      <c r="A10" s="12" t="s">
        <v>611</v>
      </c>
      <c r="C10" s="18" t="str">
        <f>23940/2800</f>
        <v>8.55</v>
      </c>
      <c r="E10" t="str">
        <f>413/2800</f>
        <v>0.1475</v>
      </c>
      <c r="G10" s="16">
        <v>2800.0</v>
      </c>
      <c r="H10" s="79" t="str">
        <f t="shared" si="3"/>
        <v>310</v>
      </c>
      <c r="I10" t="str">
        <f>H10*E10</f>
        <v>45.6778</v>
      </c>
      <c r="J10" t="str">
        <f t="shared" si="34"/>
        <v>0</v>
      </c>
      <c r="K10" t="str">
        <f>$H10*C10</f>
        <v>2647.764</v>
      </c>
      <c r="M10" t="str">
        <f t="shared" si="5"/>
        <v>300.44</v>
      </c>
      <c r="N10" t="str">
        <f>E10*M10</f>
        <v>44.3149</v>
      </c>
      <c r="O10" t="str">
        <f t="shared" si="7"/>
        <v>0</v>
      </c>
      <c r="P10" t="str">
        <f>C10*M10</f>
        <v>2568.762</v>
      </c>
      <c r="R10" t="str">
        <f t="shared" si="9"/>
        <v>1.68</v>
      </c>
      <c r="S10" t="str">
        <f>E10*R10</f>
        <v>0.2478</v>
      </c>
      <c r="T10" t="str">
        <f t="shared" si="11"/>
        <v>0</v>
      </c>
      <c r="U10" t="str">
        <f>C10*R10</f>
        <v>14.364</v>
      </c>
      <c r="W10" t="str">
        <f t="shared" si="13"/>
        <v>478.8</v>
      </c>
      <c r="X10" t="str">
        <f>E10*W10</f>
        <v>70.623</v>
      </c>
      <c r="Y10" t="str">
        <f t="shared" si="15"/>
        <v>0</v>
      </c>
      <c r="Z10" t="str">
        <f>C10*W10</f>
        <v>4093.74</v>
      </c>
      <c r="AB10" t="str">
        <f t="shared" si="17"/>
        <v>495.88</v>
      </c>
      <c r="AC10" t="str">
        <f>E10*AB10</f>
        <v>73.1423</v>
      </c>
      <c r="AD10" t="str">
        <f t="shared" si="19"/>
        <v>0</v>
      </c>
      <c r="AE10" t="str">
        <f>C10*AB10</f>
        <v>4239.774</v>
      </c>
      <c r="AG10" t="str">
        <f t="shared" si="21"/>
        <v>486.92</v>
      </c>
      <c r="AH10" t="str">
        <f>E10*AG10</f>
        <v>71.8207</v>
      </c>
      <c r="AI10" t="str">
        <f t="shared" si="23"/>
        <v>0</v>
      </c>
      <c r="AJ10" t="str">
        <f>C10*AG10</f>
        <v>4163.166</v>
      </c>
      <c r="AL10" t="str">
        <f t="shared" si="25"/>
        <v>433.16</v>
      </c>
      <c r="AM10" t="str">
        <f>E10*AL10</f>
        <v>63.8911</v>
      </c>
      <c r="AN10" t="str">
        <f t="shared" si="27"/>
        <v>0</v>
      </c>
      <c r="AO10" t="str">
        <f>C10*AL10</f>
        <v>3703.518</v>
      </c>
      <c r="AQ10" t="str">
        <f t="shared" si="29"/>
        <v>293.72</v>
      </c>
      <c r="AR10" t="str">
        <f>E10*AQ10</f>
        <v>43.3237</v>
      </c>
      <c r="AS10" t="str">
        <f t="shared" si="31"/>
        <v>0</v>
      </c>
      <c r="AT10" t="str">
        <f>C10*AQ10</f>
        <v>2511.306</v>
      </c>
      <c r="AV10" t="str">
        <f t="shared" ref="AV10:AX10" si="41">sum(AR10,AM10,AH10,AC10,X10,S10,N10,I10)</f>
        <v>413.0413</v>
      </c>
      <c r="AW10" t="str">
        <f t="shared" si="41"/>
        <v>0</v>
      </c>
      <c r="AX10" t="str">
        <f t="shared" si="41"/>
        <v>23942.394</v>
      </c>
      <c r="AZ10" s="78"/>
      <c r="BA10" s="78"/>
      <c r="BB10" s="78"/>
      <c r="BC10" s="78"/>
    </row>
    <row r="11">
      <c r="A11" s="30" t="s">
        <v>71</v>
      </c>
      <c r="C11" s="80">
        <v>0.181</v>
      </c>
      <c r="G11" s="18">
        <v>18490.0</v>
      </c>
      <c r="H11" s="79" t="str">
        <f t="shared" si="3"/>
        <v>2045</v>
      </c>
      <c r="I11" t="str">
        <f t="shared" ref="I11:I32" si="43">H11*C11</f>
        <v>370.143914</v>
      </c>
      <c r="J11" t="str">
        <f t="shared" si="34"/>
        <v>0</v>
      </c>
      <c r="K11" t="str">
        <f t="shared" ref="K11:K32" si="44">$H11*E11</f>
        <v>0</v>
      </c>
      <c r="M11" t="str">
        <f t="shared" si="5"/>
        <v>1983.977</v>
      </c>
      <c r="N11" t="str">
        <f t="shared" ref="N11:N32" si="45">C11*M11</f>
        <v>359.099837</v>
      </c>
      <c r="O11" t="str">
        <f t="shared" si="7"/>
        <v>0</v>
      </c>
      <c r="P11" t="str">
        <f t="shared" ref="P11:P32" si="46">E11*M11</f>
        <v>0</v>
      </c>
      <c r="R11" t="str">
        <f t="shared" si="9"/>
        <v>11.094</v>
      </c>
      <c r="S11" t="str">
        <f t="shared" ref="S11:S32" si="47">C11*R11</f>
        <v>2.008014</v>
      </c>
      <c r="T11" t="str">
        <f t="shared" si="11"/>
        <v>0</v>
      </c>
      <c r="U11" t="str">
        <f t="shared" ref="U11:U32" si="48">E11*R11</f>
        <v>0</v>
      </c>
      <c r="W11" t="str">
        <f t="shared" si="13"/>
        <v>3161.79</v>
      </c>
      <c r="X11" t="str">
        <f t="shared" ref="X11:X32" si="49">C11*W11</f>
        <v>572.28399</v>
      </c>
      <c r="Y11" t="str">
        <f t="shared" si="15"/>
        <v>0</v>
      </c>
      <c r="Z11" t="str">
        <f t="shared" ref="Z11:Z32" si="50">E11*W11</f>
        <v>0</v>
      </c>
      <c r="AB11" t="str">
        <f t="shared" si="17"/>
        <v>3274.579</v>
      </c>
      <c r="AC11" t="str">
        <f t="shared" ref="AC11:AC32" si="51">C11*AB11</f>
        <v>592.698799</v>
      </c>
      <c r="AD11" t="str">
        <f t="shared" si="19"/>
        <v>0</v>
      </c>
      <c r="AE11" t="str">
        <f t="shared" ref="AE11:AE32" si="52">E11*AB11</f>
        <v>0</v>
      </c>
      <c r="AG11" t="str">
        <f t="shared" si="21"/>
        <v>3215.411</v>
      </c>
      <c r="AH11" t="str">
        <f t="shared" ref="AH11:AH32" si="53">C11*AG11</f>
        <v>581.989391</v>
      </c>
      <c r="AI11" t="str">
        <f t="shared" si="23"/>
        <v>0</v>
      </c>
      <c r="AJ11" t="str">
        <f t="shared" ref="AJ11:AJ32" si="54">E11*AG11</f>
        <v>0</v>
      </c>
      <c r="AL11" t="str">
        <f t="shared" si="25"/>
        <v>2860.403</v>
      </c>
      <c r="AM11" t="str">
        <f t="shared" ref="AM11:AM32" si="55">C11*AL11</f>
        <v>517.732943</v>
      </c>
      <c r="AN11" t="str">
        <f t="shared" si="27"/>
        <v>0</v>
      </c>
      <c r="AO11" t="str">
        <f t="shared" ref="AO11:AO32" si="56">E11*AL11</f>
        <v>0</v>
      </c>
      <c r="AQ11" t="str">
        <f t="shared" si="29"/>
        <v>1939.601</v>
      </c>
      <c r="AR11" t="str">
        <f t="shared" ref="AR11:AR32" si="57">C11*AQ11</f>
        <v>351.067781</v>
      </c>
      <c r="AS11" t="str">
        <f t="shared" si="31"/>
        <v>0</v>
      </c>
      <c r="AT11" t="str">
        <f t="shared" ref="AT11:AT32" si="58">E11*AQ11</f>
        <v>0</v>
      </c>
      <c r="AV11" t="str">
        <f t="shared" ref="AV11:AX11" si="42">sum(AR11,AM11,AH11,AC11,X11,S11,N11,I11)</f>
        <v>3347.024669</v>
      </c>
      <c r="AW11" t="str">
        <f t="shared" si="42"/>
        <v>0</v>
      </c>
      <c r="AX11" t="str">
        <f t="shared" si="42"/>
        <v>0</v>
      </c>
      <c r="AZ11" s="78"/>
      <c r="BA11" s="78"/>
      <c r="BB11" s="78"/>
      <c r="BC11" s="78"/>
    </row>
    <row r="12">
      <c r="A12" s="30" t="s">
        <v>78</v>
      </c>
      <c r="B12" s="16">
        <v>8.0</v>
      </c>
      <c r="C12" s="16">
        <v>8.0</v>
      </c>
      <c r="G12" s="16">
        <v>4.0</v>
      </c>
      <c r="H12" s="79" t="str">
        <f t="shared" si="3"/>
        <v>0</v>
      </c>
      <c r="I12" t="str">
        <f t="shared" si="43"/>
        <v>3.5392</v>
      </c>
      <c r="J12" t="str">
        <f t="shared" si="34"/>
        <v>0</v>
      </c>
      <c r="K12" t="str">
        <f t="shared" si="44"/>
        <v>0</v>
      </c>
      <c r="M12" t="str">
        <f t="shared" si="5"/>
        <v>0.4292</v>
      </c>
      <c r="N12" t="str">
        <f t="shared" si="45"/>
        <v>3.4336</v>
      </c>
      <c r="O12" t="str">
        <f t="shared" si="7"/>
        <v>0</v>
      </c>
      <c r="P12" t="str">
        <f t="shared" si="46"/>
        <v>0</v>
      </c>
      <c r="R12" t="str">
        <f t="shared" si="9"/>
        <v>0.0024</v>
      </c>
      <c r="S12" t="str">
        <f t="shared" si="47"/>
        <v>0.0192</v>
      </c>
      <c r="T12" t="str">
        <f t="shared" si="11"/>
        <v>0</v>
      </c>
      <c r="U12" t="str">
        <f t="shared" si="48"/>
        <v>0</v>
      </c>
      <c r="W12" t="str">
        <f t="shared" si="13"/>
        <v>0.684</v>
      </c>
      <c r="X12" t="str">
        <f t="shared" si="49"/>
        <v>5.472</v>
      </c>
      <c r="Y12" t="str">
        <f t="shared" si="15"/>
        <v>0</v>
      </c>
      <c r="Z12" t="str">
        <f t="shared" si="50"/>
        <v>0</v>
      </c>
      <c r="AB12" t="str">
        <f t="shared" si="17"/>
        <v>0.7084</v>
      </c>
      <c r="AC12" t="str">
        <f t="shared" si="51"/>
        <v>5.6672</v>
      </c>
      <c r="AD12" t="str">
        <f t="shared" si="19"/>
        <v>0</v>
      </c>
      <c r="AE12" t="str">
        <f t="shared" si="52"/>
        <v>0</v>
      </c>
      <c r="AG12" t="str">
        <f t="shared" si="21"/>
        <v>0.6956</v>
      </c>
      <c r="AH12" t="str">
        <f t="shared" si="53"/>
        <v>5.5648</v>
      </c>
      <c r="AI12" t="str">
        <f t="shared" si="23"/>
        <v>0</v>
      </c>
      <c r="AJ12" t="str">
        <f t="shared" si="54"/>
        <v>0</v>
      </c>
      <c r="AL12" t="str">
        <f t="shared" si="25"/>
        <v>0.6188</v>
      </c>
      <c r="AM12" t="str">
        <f t="shared" si="55"/>
        <v>4.9504</v>
      </c>
      <c r="AN12" t="str">
        <f t="shared" si="27"/>
        <v>0</v>
      </c>
      <c r="AO12" t="str">
        <f t="shared" si="56"/>
        <v>0</v>
      </c>
      <c r="AQ12" t="str">
        <f t="shared" si="29"/>
        <v>0.4196</v>
      </c>
      <c r="AR12" t="str">
        <f t="shared" si="57"/>
        <v>3.3568</v>
      </c>
      <c r="AS12" t="str">
        <f t="shared" si="31"/>
        <v>0</v>
      </c>
      <c r="AT12" t="str">
        <f t="shared" si="58"/>
        <v>0</v>
      </c>
      <c r="AV12" t="str">
        <f t="shared" ref="AV12:AX12" si="59">sum(AR12,AM12,AH12,AC12,X12,S12,N12,I12)</f>
        <v>32.0032</v>
      </c>
      <c r="AW12" t="str">
        <f t="shared" si="59"/>
        <v>0</v>
      </c>
      <c r="AX12" t="str">
        <f t="shared" si="59"/>
        <v>0</v>
      </c>
      <c r="AZ12" s="78"/>
      <c r="BA12" s="78"/>
      <c r="BB12" s="78"/>
      <c r="BC12" s="78"/>
    </row>
    <row r="13">
      <c r="A13" s="11" t="s">
        <v>612</v>
      </c>
      <c r="H13" s="79" t="str">
        <f t="shared" si="3"/>
        <v>0</v>
      </c>
      <c r="I13" t="str">
        <f t="shared" si="43"/>
        <v>0</v>
      </c>
      <c r="J13" t="str">
        <f t="shared" si="34"/>
        <v>0</v>
      </c>
      <c r="K13" t="str">
        <f t="shared" si="44"/>
        <v>0</v>
      </c>
      <c r="M13" t="str">
        <f t="shared" si="5"/>
        <v>0</v>
      </c>
      <c r="N13" t="str">
        <f t="shared" si="45"/>
        <v>0</v>
      </c>
      <c r="O13" t="str">
        <f t="shared" si="7"/>
        <v>0</v>
      </c>
      <c r="P13" t="str">
        <f t="shared" si="46"/>
        <v>0</v>
      </c>
      <c r="R13" t="str">
        <f t="shared" si="9"/>
        <v>0</v>
      </c>
      <c r="S13" t="str">
        <f t="shared" si="47"/>
        <v>0</v>
      </c>
      <c r="T13" t="str">
        <f t="shared" si="11"/>
        <v>0</v>
      </c>
      <c r="U13" t="str">
        <f t="shared" si="48"/>
        <v>0</v>
      </c>
      <c r="W13" t="str">
        <f t="shared" si="13"/>
        <v>0</v>
      </c>
      <c r="X13" t="str">
        <f t="shared" si="49"/>
        <v>0</v>
      </c>
      <c r="Y13" t="str">
        <f t="shared" si="15"/>
        <v>0</v>
      </c>
      <c r="Z13" t="str">
        <f t="shared" si="50"/>
        <v>0</v>
      </c>
      <c r="AB13" t="str">
        <f t="shared" si="17"/>
        <v>0</v>
      </c>
      <c r="AC13" t="str">
        <f t="shared" si="51"/>
        <v>0</v>
      </c>
      <c r="AD13" t="str">
        <f t="shared" si="19"/>
        <v>0</v>
      </c>
      <c r="AE13" t="str">
        <f t="shared" si="52"/>
        <v>0</v>
      </c>
      <c r="AG13" t="str">
        <f t="shared" si="21"/>
        <v>0</v>
      </c>
      <c r="AH13" t="str">
        <f t="shared" si="53"/>
        <v>0</v>
      </c>
      <c r="AI13" t="str">
        <f t="shared" si="23"/>
        <v>0</v>
      </c>
      <c r="AJ13" t="str">
        <f t="shared" si="54"/>
        <v>0</v>
      </c>
      <c r="AL13" t="str">
        <f t="shared" si="25"/>
        <v>0</v>
      </c>
      <c r="AM13" t="str">
        <f t="shared" si="55"/>
        <v>0</v>
      </c>
      <c r="AN13" t="str">
        <f t="shared" si="27"/>
        <v>0</v>
      </c>
      <c r="AO13" t="str">
        <f t="shared" si="56"/>
        <v>0</v>
      </c>
      <c r="AQ13" t="str">
        <f t="shared" si="29"/>
        <v>0</v>
      </c>
      <c r="AR13" t="str">
        <f t="shared" si="57"/>
        <v>0</v>
      </c>
      <c r="AS13" t="str">
        <f t="shared" si="31"/>
        <v>0</v>
      </c>
      <c r="AT13" t="str">
        <f t="shared" si="58"/>
        <v>0</v>
      </c>
      <c r="AV13" t="str">
        <f t="shared" ref="AV13:AX13" si="60">sum(AR13,AM13,AH13,AC13,X13,S13,N13,I13)</f>
        <v>0</v>
      </c>
      <c r="AW13" t="str">
        <f t="shared" si="60"/>
        <v>0</v>
      </c>
      <c r="AX13" t="str">
        <f t="shared" si="60"/>
        <v>0</v>
      </c>
      <c r="AZ13" s="78"/>
      <c r="BA13" s="78"/>
      <c r="BB13" s="78"/>
      <c r="BC13" s="78"/>
    </row>
    <row r="14">
      <c r="A14" s="30" t="s">
        <v>81</v>
      </c>
      <c r="C14" s="18" t="str">
        <f>0.045</f>
        <v>0.045</v>
      </c>
      <c r="G14" s="18">
        <v>3236.0</v>
      </c>
      <c r="H14" s="79" t="str">
        <f t="shared" si="3"/>
        <v>358</v>
      </c>
      <c r="I14" t="str">
        <f t="shared" si="43"/>
        <v>16.105572</v>
      </c>
      <c r="J14" t="str">
        <f t="shared" si="34"/>
        <v>0</v>
      </c>
      <c r="K14" t="str">
        <f t="shared" si="44"/>
        <v>0</v>
      </c>
      <c r="M14" t="str">
        <f t="shared" si="5"/>
        <v>347.2228</v>
      </c>
      <c r="N14" t="str">
        <f t="shared" si="45"/>
        <v>15.625026</v>
      </c>
      <c r="O14" t="str">
        <f t="shared" si="7"/>
        <v>0</v>
      </c>
      <c r="P14" t="str">
        <f t="shared" si="46"/>
        <v>0</v>
      </c>
      <c r="R14" t="str">
        <f t="shared" si="9"/>
        <v>1.9416</v>
      </c>
      <c r="S14" t="str">
        <f t="shared" si="47"/>
        <v>0.087372</v>
      </c>
      <c r="T14" t="str">
        <f t="shared" si="11"/>
        <v>0</v>
      </c>
      <c r="U14" t="str">
        <f t="shared" si="48"/>
        <v>0</v>
      </c>
      <c r="W14" t="str">
        <f t="shared" si="13"/>
        <v>553.356</v>
      </c>
      <c r="X14" t="str">
        <f t="shared" si="49"/>
        <v>24.90102</v>
      </c>
      <c r="Y14" t="str">
        <f t="shared" si="15"/>
        <v>0</v>
      </c>
      <c r="Z14" t="str">
        <f t="shared" si="50"/>
        <v>0</v>
      </c>
      <c r="AB14" t="str">
        <f t="shared" si="17"/>
        <v>573.0956</v>
      </c>
      <c r="AC14" t="str">
        <f t="shared" si="51"/>
        <v>25.789302</v>
      </c>
      <c r="AD14" t="str">
        <f t="shared" si="19"/>
        <v>0</v>
      </c>
      <c r="AE14" t="str">
        <f t="shared" si="52"/>
        <v>0</v>
      </c>
      <c r="AG14" t="str">
        <f t="shared" si="21"/>
        <v>562.7404</v>
      </c>
      <c r="AH14" t="str">
        <f t="shared" si="53"/>
        <v>25.323318</v>
      </c>
      <c r="AI14" t="str">
        <f t="shared" si="23"/>
        <v>0</v>
      </c>
      <c r="AJ14" t="str">
        <f t="shared" si="54"/>
        <v>0</v>
      </c>
      <c r="AL14" t="str">
        <f t="shared" si="25"/>
        <v>500.6092</v>
      </c>
      <c r="AM14" t="str">
        <f t="shared" si="55"/>
        <v>22.527414</v>
      </c>
      <c r="AN14" t="str">
        <f t="shared" si="27"/>
        <v>0</v>
      </c>
      <c r="AO14" t="str">
        <f t="shared" si="56"/>
        <v>0</v>
      </c>
      <c r="AQ14" t="str">
        <f t="shared" si="29"/>
        <v>339.4564</v>
      </c>
      <c r="AR14" t="str">
        <f t="shared" si="57"/>
        <v>15.275538</v>
      </c>
      <c r="AS14" t="str">
        <f t="shared" si="31"/>
        <v>0</v>
      </c>
      <c r="AT14" t="str">
        <f t="shared" si="58"/>
        <v>0</v>
      </c>
      <c r="AV14" t="str">
        <f t="shared" ref="AV14:AX14" si="61">sum(AR14,AM14,AH14,AC14,X14,S14,N14,I14)</f>
        <v>145.634562</v>
      </c>
      <c r="AW14" t="str">
        <f t="shared" si="61"/>
        <v>0</v>
      </c>
      <c r="AX14" t="str">
        <f t="shared" si="61"/>
        <v>0</v>
      </c>
      <c r="AZ14" s="78"/>
      <c r="BA14" s="78"/>
      <c r="BB14" s="78"/>
      <c r="BC14" s="78"/>
    </row>
    <row r="15">
      <c r="A15" s="30" t="s">
        <v>86</v>
      </c>
      <c r="C15" s="16">
        <v>0.023</v>
      </c>
      <c r="G15" s="16">
        <v>25266.0</v>
      </c>
      <c r="H15" s="79" t="str">
        <f t="shared" si="3"/>
        <v>2794</v>
      </c>
      <c r="I15" t="str">
        <f t="shared" si="43"/>
        <v>64.2716508</v>
      </c>
      <c r="J15" t="str">
        <f t="shared" si="34"/>
        <v>0</v>
      </c>
      <c r="K15" t="str">
        <f t="shared" si="44"/>
        <v>0</v>
      </c>
      <c r="M15" t="str">
        <f t="shared" si="5"/>
        <v>2711.0418</v>
      </c>
      <c r="N15" t="str">
        <f t="shared" si="45"/>
        <v>62.3539614</v>
      </c>
      <c r="O15" t="str">
        <f t="shared" si="7"/>
        <v>0</v>
      </c>
      <c r="P15" t="str">
        <f t="shared" si="46"/>
        <v>0</v>
      </c>
      <c r="R15" t="str">
        <f t="shared" si="9"/>
        <v>15.1596</v>
      </c>
      <c r="S15" t="str">
        <f t="shared" si="47"/>
        <v>0.3486708</v>
      </c>
      <c r="T15" t="str">
        <f t="shared" si="11"/>
        <v>0</v>
      </c>
      <c r="U15" t="str">
        <f t="shared" si="48"/>
        <v>0</v>
      </c>
      <c r="W15" t="str">
        <f t="shared" si="13"/>
        <v>4320.486</v>
      </c>
      <c r="X15" t="str">
        <f t="shared" si="49"/>
        <v>99.371178</v>
      </c>
      <c r="Y15" t="str">
        <f t="shared" si="15"/>
        <v>0</v>
      </c>
      <c r="Z15" t="str">
        <f t="shared" si="50"/>
        <v>0</v>
      </c>
      <c r="AB15" t="str">
        <f t="shared" si="17"/>
        <v>4474.6086</v>
      </c>
      <c r="AC15" t="str">
        <f t="shared" si="51"/>
        <v>102.9159978</v>
      </c>
      <c r="AD15" t="str">
        <f t="shared" si="19"/>
        <v>0</v>
      </c>
      <c r="AE15" t="str">
        <f t="shared" si="52"/>
        <v>0</v>
      </c>
      <c r="AG15" t="str">
        <f t="shared" si="21"/>
        <v>4393.7574</v>
      </c>
      <c r="AH15" t="str">
        <f t="shared" si="53"/>
        <v>101.0564202</v>
      </c>
      <c r="AI15" t="str">
        <f t="shared" si="23"/>
        <v>0</v>
      </c>
      <c r="AJ15" t="str">
        <f t="shared" si="54"/>
        <v>0</v>
      </c>
      <c r="AL15" t="str">
        <f t="shared" si="25"/>
        <v>3908.6502</v>
      </c>
      <c r="AM15" t="str">
        <f t="shared" si="55"/>
        <v>89.8989546</v>
      </c>
      <c r="AN15" t="str">
        <f t="shared" si="27"/>
        <v>0</v>
      </c>
      <c r="AO15" t="str">
        <f t="shared" si="56"/>
        <v>0</v>
      </c>
      <c r="AQ15" t="str">
        <f t="shared" si="29"/>
        <v>2650.4034</v>
      </c>
      <c r="AR15" t="str">
        <f t="shared" si="57"/>
        <v>60.9592782</v>
      </c>
      <c r="AS15" t="str">
        <f t="shared" si="31"/>
        <v>0</v>
      </c>
      <c r="AT15" t="str">
        <f t="shared" si="58"/>
        <v>0</v>
      </c>
      <c r="AV15" t="str">
        <f t="shared" ref="AV15:AX15" si="62">sum(AR15,AM15,AH15,AC15,X15,S15,N15,I15)</f>
        <v>581.1761118</v>
      </c>
      <c r="AW15" t="str">
        <f t="shared" si="62"/>
        <v>0</v>
      </c>
      <c r="AX15" t="str">
        <f t="shared" si="62"/>
        <v>0</v>
      </c>
      <c r="AZ15" s="78"/>
      <c r="BA15" s="78"/>
      <c r="BB15" s="78"/>
      <c r="BC15" s="78"/>
    </row>
    <row r="16">
      <c r="A16" s="11" t="s">
        <v>89</v>
      </c>
      <c r="G16" s="16">
        <v>2000.0</v>
      </c>
      <c r="H16" s="79" t="str">
        <f t="shared" si="3"/>
        <v>221</v>
      </c>
      <c r="I16" t="str">
        <f t="shared" si="43"/>
        <v>0</v>
      </c>
      <c r="J16" t="str">
        <f t="shared" si="34"/>
        <v>0</v>
      </c>
      <c r="K16" t="str">
        <f t="shared" si="44"/>
        <v>0</v>
      </c>
      <c r="M16" t="str">
        <f t="shared" si="5"/>
        <v>214.6</v>
      </c>
      <c r="N16" t="str">
        <f t="shared" si="45"/>
        <v>0</v>
      </c>
      <c r="O16" t="str">
        <f t="shared" si="7"/>
        <v>0</v>
      </c>
      <c r="P16" t="str">
        <f t="shared" si="46"/>
        <v>0</v>
      </c>
      <c r="R16" t="str">
        <f t="shared" si="9"/>
        <v>1.2</v>
      </c>
      <c r="S16" t="str">
        <f t="shared" si="47"/>
        <v>0</v>
      </c>
      <c r="T16" t="str">
        <f t="shared" si="11"/>
        <v>0</v>
      </c>
      <c r="U16" t="str">
        <f t="shared" si="48"/>
        <v>0</v>
      </c>
      <c r="W16" t="str">
        <f t="shared" si="13"/>
        <v>342</v>
      </c>
      <c r="X16" t="str">
        <f t="shared" si="49"/>
        <v>0</v>
      </c>
      <c r="Y16" t="str">
        <f t="shared" si="15"/>
        <v>0</v>
      </c>
      <c r="Z16" t="str">
        <f t="shared" si="50"/>
        <v>0</v>
      </c>
      <c r="AB16" t="str">
        <f t="shared" si="17"/>
        <v>354.2</v>
      </c>
      <c r="AC16" t="str">
        <f t="shared" si="51"/>
        <v>0</v>
      </c>
      <c r="AD16" t="str">
        <f t="shared" si="19"/>
        <v>0</v>
      </c>
      <c r="AE16" t="str">
        <f t="shared" si="52"/>
        <v>0</v>
      </c>
      <c r="AG16" t="str">
        <f t="shared" si="21"/>
        <v>347.8</v>
      </c>
      <c r="AH16" t="str">
        <f t="shared" si="53"/>
        <v>0</v>
      </c>
      <c r="AI16" t="str">
        <f t="shared" si="23"/>
        <v>0</v>
      </c>
      <c r="AJ16" t="str">
        <f t="shared" si="54"/>
        <v>0</v>
      </c>
      <c r="AL16" t="str">
        <f t="shared" si="25"/>
        <v>309.4</v>
      </c>
      <c r="AM16" t="str">
        <f t="shared" si="55"/>
        <v>0</v>
      </c>
      <c r="AN16" t="str">
        <f t="shared" si="27"/>
        <v>0</v>
      </c>
      <c r="AO16" t="str">
        <f t="shared" si="56"/>
        <v>0</v>
      </c>
      <c r="AQ16" t="str">
        <f t="shared" si="29"/>
        <v>209.8</v>
      </c>
      <c r="AR16" t="str">
        <f t="shared" si="57"/>
        <v>0</v>
      </c>
      <c r="AS16" t="str">
        <f t="shared" si="31"/>
        <v>0</v>
      </c>
      <c r="AT16" t="str">
        <f t="shared" si="58"/>
        <v>0</v>
      </c>
      <c r="AV16" t="str">
        <f t="shared" ref="AV16:AX16" si="63">sum(AR16,AM16,AH16,AC16,X16,S16,N16,I16)</f>
        <v>0</v>
      </c>
      <c r="AW16" t="str">
        <f t="shared" si="63"/>
        <v>0</v>
      </c>
      <c r="AX16" t="str">
        <f t="shared" si="63"/>
        <v>0</v>
      </c>
      <c r="AZ16" s="78"/>
      <c r="BA16" s="78"/>
      <c r="BB16" s="78"/>
      <c r="BC16" s="78"/>
    </row>
    <row r="17">
      <c r="A17" s="30" t="s">
        <v>91</v>
      </c>
      <c r="G17" s="81">
        <v>150.0</v>
      </c>
      <c r="H17" s="79" t="str">
        <f t="shared" si="3"/>
        <v>17</v>
      </c>
      <c r="I17" t="str">
        <f t="shared" si="43"/>
        <v>0</v>
      </c>
      <c r="J17" t="str">
        <f t="shared" si="34"/>
        <v>0</v>
      </c>
      <c r="K17" t="str">
        <f t="shared" si="44"/>
        <v>0</v>
      </c>
      <c r="M17" t="str">
        <f t="shared" si="5"/>
        <v>16.095</v>
      </c>
      <c r="N17" t="str">
        <f t="shared" si="45"/>
        <v>0</v>
      </c>
      <c r="O17" t="str">
        <f t="shared" si="7"/>
        <v>0</v>
      </c>
      <c r="P17" t="str">
        <f t="shared" si="46"/>
        <v>0</v>
      </c>
      <c r="R17" t="str">
        <f t="shared" si="9"/>
        <v>0.09</v>
      </c>
      <c r="S17" t="str">
        <f t="shared" si="47"/>
        <v>0</v>
      </c>
      <c r="T17" t="str">
        <f t="shared" si="11"/>
        <v>0</v>
      </c>
      <c r="U17" t="str">
        <f t="shared" si="48"/>
        <v>0</v>
      </c>
      <c r="W17" t="str">
        <f t="shared" si="13"/>
        <v>25.65</v>
      </c>
      <c r="X17" t="str">
        <f t="shared" si="49"/>
        <v>0</v>
      </c>
      <c r="Y17" t="str">
        <f t="shared" si="15"/>
        <v>0</v>
      </c>
      <c r="Z17" t="str">
        <f t="shared" si="50"/>
        <v>0</v>
      </c>
      <c r="AB17" t="str">
        <f t="shared" si="17"/>
        <v>26.565</v>
      </c>
      <c r="AC17" t="str">
        <f t="shared" si="51"/>
        <v>0</v>
      </c>
      <c r="AD17" t="str">
        <f t="shared" si="19"/>
        <v>0</v>
      </c>
      <c r="AE17" t="str">
        <f t="shared" si="52"/>
        <v>0</v>
      </c>
      <c r="AG17" t="str">
        <f t="shared" si="21"/>
        <v>26.085</v>
      </c>
      <c r="AH17" t="str">
        <f t="shared" si="53"/>
        <v>0</v>
      </c>
      <c r="AI17" t="str">
        <f t="shared" si="23"/>
        <v>0</v>
      </c>
      <c r="AJ17" t="str">
        <f t="shared" si="54"/>
        <v>0</v>
      </c>
      <c r="AL17" t="str">
        <f t="shared" si="25"/>
        <v>23.205</v>
      </c>
      <c r="AM17" t="str">
        <f t="shared" si="55"/>
        <v>0</v>
      </c>
      <c r="AN17" t="str">
        <f t="shared" si="27"/>
        <v>0</v>
      </c>
      <c r="AO17" t="str">
        <f t="shared" si="56"/>
        <v>0</v>
      </c>
      <c r="AQ17" t="str">
        <f t="shared" si="29"/>
        <v>15.735</v>
      </c>
      <c r="AR17" t="str">
        <f t="shared" si="57"/>
        <v>0</v>
      </c>
      <c r="AS17" t="str">
        <f t="shared" si="31"/>
        <v>0</v>
      </c>
      <c r="AT17" t="str">
        <f t="shared" si="58"/>
        <v>0</v>
      </c>
      <c r="AV17" t="str">
        <f t="shared" ref="AV17:AX17" si="64">sum(AR17,AM17,AH17,AC17,X17,S17,N17,I17)</f>
        <v>0</v>
      </c>
      <c r="AW17" t="str">
        <f t="shared" si="64"/>
        <v>0</v>
      </c>
      <c r="AX17" t="str">
        <f t="shared" si="64"/>
        <v>0</v>
      </c>
      <c r="AZ17" s="78"/>
      <c r="BA17" s="78"/>
      <c r="BB17" s="78"/>
      <c r="BC17" s="78"/>
    </row>
    <row r="18">
      <c r="A18" s="30" t="s">
        <v>93</v>
      </c>
      <c r="G18" s="81">
        <v>12.0</v>
      </c>
      <c r="H18" s="79" t="str">
        <f t="shared" si="3"/>
        <v>1</v>
      </c>
      <c r="I18" t="str">
        <f t="shared" si="43"/>
        <v>0</v>
      </c>
      <c r="J18" t="str">
        <f t="shared" si="34"/>
        <v>0</v>
      </c>
      <c r="K18" t="str">
        <f t="shared" si="44"/>
        <v>0</v>
      </c>
      <c r="M18" t="str">
        <f t="shared" si="5"/>
        <v>1.2876</v>
      </c>
      <c r="N18" t="str">
        <f t="shared" si="45"/>
        <v>0</v>
      </c>
      <c r="O18" t="str">
        <f t="shared" si="7"/>
        <v>0</v>
      </c>
      <c r="P18" t="str">
        <f t="shared" si="46"/>
        <v>0</v>
      </c>
      <c r="R18" t="str">
        <f t="shared" si="9"/>
        <v>0.0072</v>
      </c>
      <c r="S18" t="str">
        <f t="shared" si="47"/>
        <v>0</v>
      </c>
      <c r="T18" t="str">
        <f t="shared" si="11"/>
        <v>0</v>
      </c>
      <c r="U18" t="str">
        <f t="shared" si="48"/>
        <v>0</v>
      </c>
      <c r="W18" t="str">
        <f t="shared" si="13"/>
        <v>2.052</v>
      </c>
      <c r="X18" t="str">
        <f t="shared" si="49"/>
        <v>0</v>
      </c>
      <c r="Y18" t="str">
        <f t="shared" si="15"/>
        <v>0</v>
      </c>
      <c r="Z18" t="str">
        <f t="shared" si="50"/>
        <v>0</v>
      </c>
      <c r="AB18" t="str">
        <f t="shared" si="17"/>
        <v>2.1252</v>
      </c>
      <c r="AC18" t="str">
        <f t="shared" si="51"/>
        <v>0</v>
      </c>
      <c r="AD18" t="str">
        <f t="shared" si="19"/>
        <v>0</v>
      </c>
      <c r="AE18" t="str">
        <f t="shared" si="52"/>
        <v>0</v>
      </c>
      <c r="AG18" t="str">
        <f t="shared" si="21"/>
        <v>2.0868</v>
      </c>
      <c r="AH18" t="str">
        <f t="shared" si="53"/>
        <v>0</v>
      </c>
      <c r="AI18" t="str">
        <f t="shared" si="23"/>
        <v>0</v>
      </c>
      <c r="AJ18" t="str">
        <f t="shared" si="54"/>
        <v>0</v>
      </c>
      <c r="AL18" t="str">
        <f t="shared" si="25"/>
        <v>1.8564</v>
      </c>
      <c r="AM18" t="str">
        <f t="shared" si="55"/>
        <v>0</v>
      </c>
      <c r="AN18" t="str">
        <f t="shared" si="27"/>
        <v>0</v>
      </c>
      <c r="AO18" t="str">
        <f t="shared" si="56"/>
        <v>0</v>
      </c>
      <c r="AQ18" t="str">
        <f t="shared" si="29"/>
        <v>1.2588</v>
      </c>
      <c r="AR18" t="str">
        <f t="shared" si="57"/>
        <v>0</v>
      </c>
      <c r="AS18" t="str">
        <f t="shared" si="31"/>
        <v>0</v>
      </c>
      <c r="AT18" t="str">
        <f t="shared" si="58"/>
        <v>0</v>
      </c>
      <c r="AV18" t="str">
        <f t="shared" ref="AV18:AX18" si="65">sum(AR18,AM18,AH18,AC18,X18,S18,N18,I18)</f>
        <v>0</v>
      </c>
      <c r="AW18" t="str">
        <f t="shared" si="65"/>
        <v>0</v>
      </c>
      <c r="AX18" t="str">
        <f t="shared" si="65"/>
        <v>0</v>
      </c>
      <c r="AZ18" s="78"/>
      <c r="BA18" s="78"/>
      <c r="BB18" s="78"/>
      <c r="BC18" s="78"/>
    </row>
    <row r="19">
      <c r="A19" s="11" t="s">
        <v>613</v>
      </c>
      <c r="C19" s="16">
        <v>0.031</v>
      </c>
      <c r="E19" t="str">
        <f>2180.5/133500</f>
        <v>0.01633333333</v>
      </c>
      <c r="G19" s="16">
        <v>133500.0</v>
      </c>
      <c r="H19" s="79" t="str">
        <f t="shared" si="3"/>
        <v>14765</v>
      </c>
      <c r="I19" t="str">
        <f t="shared" si="43"/>
        <v>457.7181</v>
      </c>
      <c r="J19" t="str">
        <f t="shared" si="34"/>
        <v>0</v>
      </c>
      <c r="K19" t="str">
        <f t="shared" si="44"/>
        <v>241.1633</v>
      </c>
      <c r="M19" t="str">
        <f t="shared" si="5"/>
        <v>14324.55</v>
      </c>
      <c r="N19" t="str">
        <f t="shared" si="45"/>
        <v>444.06105</v>
      </c>
      <c r="O19" t="str">
        <f t="shared" si="7"/>
        <v>0</v>
      </c>
      <c r="P19" t="str">
        <f t="shared" si="46"/>
        <v>233.96765</v>
      </c>
      <c r="R19" t="str">
        <f t="shared" si="9"/>
        <v>80.1</v>
      </c>
      <c r="S19" t="str">
        <f t="shared" si="47"/>
        <v>2.4831</v>
      </c>
      <c r="T19" t="str">
        <f t="shared" si="11"/>
        <v>0</v>
      </c>
      <c r="U19" t="str">
        <f t="shared" si="48"/>
        <v>1.3083</v>
      </c>
      <c r="W19" t="str">
        <f t="shared" si="13"/>
        <v>22828.5</v>
      </c>
      <c r="X19" t="str">
        <f t="shared" si="49"/>
        <v>707.6835</v>
      </c>
      <c r="Y19" t="str">
        <f t="shared" si="15"/>
        <v>0</v>
      </c>
      <c r="Z19" t="str">
        <f t="shared" si="50"/>
        <v>372.8655</v>
      </c>
      <c r="AB19" t="str">
        <f t="shared" si="17"/>
        <v>23642.85</v>
      </c>
      <c r="AC19" t="str">
        <f t="shared" si="51"/>
        <v>732.92835</v>
      </c>
      <c r="AD19" t="str">
        <f t="shared" si="19"/>
        <v>0</v>
      </c>
      <c r="AE19" t="str">
        <f t="shared" si="52"/>
        <v>386.16655</v>
      </c>
      <c r="AG19" t="str">
        <f t="shared" si="21"/>
        <v>23215.65</v>
      </c>
      <c r="AH19" t="str">
        <f t="shared" si="53"/>
        <v>719.68515</v>
      </c>
      <c r="AI19" t="str">
        <f t="shared" si="23"/>
        <v>0</v>
      </c>
      <c r="AJ19" t="str">
        <f t="shared" si="54"/>
        <v>379.18895</v>
      </c>
      <c r="AL19" t="str">
        <f t="shared" si="25"/>
        <v>20652.45</v>
      </c>
      <c r="AM19" t="str">
        <f t="shared" si="55"/>
        <v>640.22595</v>
      </c>
      <c r="AN19" t="str">
        <f t="shared" si="27"/>
        <v>0</v>
      </c>
      <c r="AO19" t="str">
        <f t="shared" si="56"/>
        <v>337.32335</v>
      </c>
      <c r="AQ19" t="str">
        <f t="shared" si="29"/>
        <v>14004.15</v>
      </c>
      <c r="AR19" t="str">
        <f t="shared" si="57"/>
        <v>434.12865</v>
      </c>
      <c r="AS19" t="str">
        <f t="shared" si="31"/>
        <v>0</v>
      </c>
      <c r="AT19" t="str">
        <f t="shared" si="58"/>
        <v>228.73445</v>
      </c>
      <c r="AV19" t="str">
        <f t="shared" ref="AV19:AX19" si="66">sum(AR19,AM19,AH19,AC19,X19,S19,N19,I19)</f>
        <v>4138.91385</v>
      </c>
      <c r="AW19" t="str">
        <f t="shared" si="66"/>
        <v>0</v>
      </c>
      <c r="AX19" t="str">
        <f t="shared" si="66"/>
        <v>2180.71805</v>
      </c>
      <c r="AZ19" s="78"/>
      <c r="BA19" s="78"/>
      <c r="BB19" s="78"/>
      <c r="BC19" s="78"/>
    </row>
    <row r="20">
      <c r="A20" s="11" t="s">
        <v>101</v>
      </c>
      <c r="C20" s="18" t="str">
        <f>33474/334</f>
        <v>100.2215569</v>
      </c>
      <c r="G20" s="16">
        <v>334.0</v>
      </c>
      <c r="H20" s="79" t="str">
        <f t="shared" si="3"/>
        <v>37</v>
      </c>
      <c r="I20" t="str">
        <f t="shared" si="43"/>
        <v>3702.2244</v>
      </c>
      <c r="J20" t="str">
        <f t="shared" si="34"/>
        <v>0</v>
      </c>
      <c r="K20" t="str">
        <f t="shared" si="44"/>
        <v>0</v>
      </c>
      <c r="M20" t="str">
        <f t="shared" si="5"/>
        <v>35.8382</v>
      </c>
      <c r="N20" t="str">
        <f t="shared" si="45"/>
        <v>3591.7602</v>
      </c>
      <c r="O20" t="str">
        <f t="shared" si="7"/>
        <v>0</v>
      </c>
      <c r="P20" t="str">
        <f t="shared" si="46"/>
        <v>0</v>
      </c>
      <c r="R20" t="str">
        <f t="shared" si="9"/>
        <v>0.2004</v>
      </c>
      <c r="S20" t="str">
        <f t="shared" si="47"/>
        <v>20.0844</v>
      </c>
      <c r="T20" t="str">
        <f t="shared" si="11"/>
        <v>0</v>
      </c>
      <c r="U20" t="str">
        <f t="shared" si="48"/>
        <v>0</v>
      </c>
      <c r="W20" t="str">
        <f t="shared" si="13"/>
        <v>57.114</v>
      </c>
      <c r="X20" t="str">
        <f t="shared" si="49"/>
        <v>5724.054</v>
      </c>
      <c r="Y20" t="str">
        <f t="shared" si="15"/>
        <v>0</v>
      </c>
      <c r="Z20" t="str">
        <f t="shared" si="50"/>
        <v>0</v>
      </c>
      <c r="AB20" t="str">
        <f t="shared" si="17"/>
        <v>59.1514</v>
      </c>
      <c r="AC20" t="str">
        <f t="shared" si="51"/>
        <v>5928.2454</v>
      </c>
      <c r="AD20" t="str">
        <f t="shared" si="19"/>
        <v>0</v>
      </c>
      <c r="AE20" t="str">
        <f t="shared" si="52"/>
        <v>0</v>
      </c>
      <c r="AG20" t="str">
        <f t="shared" si="21"/>
        <v>58.0826</v>
      </c>
      <c r="AH20" t="str">
        <f t="shared" si="53"/>
        <v>5821.1286</v>
      </c>
      <c r="AI20" t="str">
        <f t="shared" si="23"/>
        <v>0</v>
      </c>
      <c r="AJ20" t="str">
        <f t="shared" si="54"/>
        <v>0</v>
      </c>
      <c r="AL20" t="str">
        <f t="shared" si="25"/>
        <v>51.6698</v>
      </c>
      <c r="AM20" t="str">
        <f t="shared" si="55"/>
        <v>5178.4278</v>
      </c>
      <c r="AN20" t="str">
        <f t="shared" si="27"/>
        <v>0</v>
      </c>
      <c r="AO20" t="str">
        <f t="shared" si="56"/>
        <v>0</v>
      </c>
      <c r="AQ20" t="str">
        <f t="shared" si="29"/>
        <v>35.0366</v>
      </c>
      <c r="AR20" t="str">
        <f t="shared" si="57"/>
        <v>3511.4226</v>
      </c>
      <c r="AS20" t="str">
        <f t="shared" si="31"/>
        <v>0</v>
      </c>
      <c r="AT20" t="str">
        <f t="shared" si="58"/>
        <v>0</v>
      </c>
      <c r="AV20" t="str">
        <f t="shared" ref="AV20:AX20" si="67">sum(AR20,AM20,AH20,AC20,X20,S20,N20,I20)</f>
        <v>33477.3474</v>
      </c>
      <c r="AW20" t="str">
        <f t="shared" si="67"/>
        <v>0</v>
      </c>
      <c r="AX20" t="str">
        <f t="shared" si="67"/>
        <v>0</v>
      </c>
      <c r="AZ20" s="78"/>
      <c r="BA20" s="78"/>
      <c r="BB20" s="78"/>
      <c r="BC20" s="78"/>
    </row>
    <row r="21">
      <c r="A21" s="11" t="s">
        <v>107</v>
      </c>
      <c r="C21" s="18" t="str">
        <f>37259/4133</f>
        <v>9.01500121</v>
      </c>
      <c r="G21" s="18">
        <v>4133.0</v>
      </c>
      <c r="H21" s="79" t="str">
        <f t="shared" si="3"/>
        <v>457</v>
      </c>
      <c r="I21" t="str">
        <f t="shared" si="43"/>
        <v>4120.8454</v>
      </c>
      <c r="J21" t="str">
        <f t="shared" si="34"/>
        <v>0</v>
      </c>
      <c r="K21" t="str">
        <f t="shared" si="44"/>
        <v>0</v>
      </c>
      <c r="M21" t="str">
        <f t="shared" si="5"/>
        <v>443.4709</v>
      </c>
      <c r="N21" t="str">
        <f t="shared" si="45"/>
        <v>3997.8907</v>
      </c>
      <c r="O21" t="str">
        <f t="shared" si="7"/>
        <v>0</v>
      </c>
      <c r="P21" t="str">
        <f t="shared" si="46"/>
        <v>0</v>
      </c>
      <c r="R21" t="str">
        <f t="shared" si="9"/>
        <v>2.4798</v>
      </c>
      <c r="S21" t="str">
        <f t="shared" si="47"/>
        <v>22.3554</v>
      </c>
      <c r="T21" t="str">
        <f t="shared" si="11"/>
        <v>0</v>
      </c>
      <c r="U21" t="str">
        <f t="shared" si="48"/>
        <v>0</v>
      </c>
      <c r="W21" t="str">
        <f t="shared" si="13"/>
        <v>706.743</v>
      </c>
      <c r="X21" t="str">
        <f t="shared" si="49"/>
        <v>6371.289</v>
      </c>
      <c r="Y21" t="str">
        <f t="shared" si="15"/>
        <v>0</v>
      </c>
      <c r="Z21" t="str">
        <f t="shared" si="50"/>
        <v>0</v>
      </c>
      <c r="AB21" t="str">
        <f t="shared" si="17"/>
        <v>731.9543</v>
      </c>
      <c r="AC21" t="str">
        <f t="shared" si="51"/>
        <v>6598.5689</v>
      </c>
      <c r="AD21" t="str">
        <f t="shared" si="19"/>
        <v>0</v>
      </c>
      <c r="AE21" t="str">
        <f t="shared" si="52"/>
        <v>0</v>
      </c>
      <c r="AG21" t="str">
        <f t="shared" si="21"/>
        <v>718.7287</v>
      </c>
      <c r="AH21" t="str">
        <f t="shared" si="53"/>
        <v>6479.3401</v>
      </c>
      <c r="AI21" t="str">
        <f t="shared" si="23"/>
        <v>0</v>
      </c>
      <c r="AJ21" t="str">
        <f t="shared" si="54"/>
        <v>0</v>
      </c>
      <c r="AL21" t="str">
        <f t="shared" si="25"/>
        <v>639.3751</v>
      </c>
      <c r="AM21" t="str">
        <f t="shared" si="55"/>
        <v>5763.9673</v>
      </c>
      <c r="AN21" t="str">
        <f t="shared" si="27"/>
        <v>0</v>
      </c>
      <c r="AO21" t="str">
        <f t="shared" si="56"/>
        <v>0</v>
      </c>
      <c r="AQ21" t="str">
        <f t="shared" si="29"/>
        <v>433.5517</v>
      </c>
      <c r="AR21" t="str">
        <f t="shared" si="57"/>
        <v>3908.4691</v>
      </c>
      <c r="AS21" t="str">
        <f t="shared" si="31"/>
        <v>0</v>
      </c>
      <c r="AT21" t="str">
        <f t="shared" si="58"/>
        <v>0</v>
      </c>
      <c r="AV21" t="str">
        <f t="shared" ref="AV21:AX21" si="68">sum(AR21,AM21,AH21,AC21,X21,S21,N21,I21)</f>
        <v>37262.7259</v>
      </c>
      <c r="AW21" t="str">
        <f t="shared" si="68"/>
        <v>0</v>
      </c>
      <c r="AX21" t="str">
        <f t="shared" si="68"/>
        <v>0</v>
      </c>
      <c r="AZ21" s="78"/>
      <c r="BA21" s="78"/>
      <c r="BB21" s="78"/>
      <c r="BC21" s="78"/>
    </row>
    <row r="22">
      <c r="A22" s="11" t="s">
        <v>113</v>
      </c>
      <c r="E22" s="16" t="str">
        <f>426/238</f>
        <v>1.789915966</v>
      </c>
      <c r="G22" s="16">
        <v>238.0</v>
      </c>
      <c r="H22" s="79" t="str">
        <f t="shared" si="3"/>
        <v>26</v>
      </c>
      <c r="I22" t="str">
        <f t="shared" si="43"/>
        <v>0</v>
      </c>
      <c r="J22" t="str">
        <f t="shared" si="34"/>
        <v>0</v>
      </c>
      <c r="K22" t="str">
        <f t="shared" si="44"/>
        <v>47.1156</v>
      </c>
      <c r="M22" t="str">
        <f t="shared" si="5"/>
        <v>25.5374</v>
      </c>
      <c r="N22" t="str">
        <f t="shared" si="45"/>
        <v>0</v>
      </c>
      <c r="O22" t="str">
        <f t="shared" si="7"/>
        <v>0</v>
      </c>
      <c r="P22" t="str">
        <f t="shared" si="46"/>
        <v>45.7098</v>
      </c>
      <c r="R22" t="str">
        <f t="shared" si="9"/>
        <v>0.1428</v>
      </c>
      <c r="S22" t="str">
        <f t="shared" si="47"/>
        <v>0</v>
      </c>
      <c r="T22" t="str">
        <f t="shared" si="11"/>
        <v>0</v>
      </c>
      <c r="U22" t="str">
        <f t="shared" si="48"/>
        <v>0.2556</v>
      </c>
      <c r="W22" t="str">
        <f t="shared" si="13"/>
        <v>40.698</v>
      </c>
      <c r="X22" t="str">
        <f t="shared" si="49"/>
        <v>0</v>
      </c>
      <c r="Y22" t="str">
        <f t="shared" si="15"/>
        <v>0</v>
      </c>
      <c r="Z22" t="str">
        <f t="shared" si="50"/>
        <v>72.846</v>
      </c>
      <c r="AB22" t="str">
        <f t="shared" si="17"/>
        <v>42.1498</v>
      </c>
      <c r="AC22" t="str">
        <f t="shared" si="51"/>
        <v>0</v>
      </c>
      <c r="AD22" t="str">
        <f t="shared" si="19"/>
        <v>0</v>
      </c>
      <c r="AE22" t="str">
        <f t="shared" si="52"/>
        <v>75.4446</v>
      </c>
      <c r="AG22" t="str">
        <f t="shared" si="21"/>
        <v>41.3882</v>
      </c>
      <c r="AH22" t="str">
        <f t="shared" si="53"/>
        <v>0</v>
      </c>
      <c r="AI22" t="str">
        <f t="shared" si="23"/>
        <v>0</v>
      </c>
      <c r="AJ22" t="str">
        <f t="shared" si="54"/>
        <v>74.0814</v>
      </c>
      <c r="AL22" t="str">
        <f t="shared" si="25"/>
        <v>36.8186</v>
      </c>
      <c r="AM22" t="str">
        <f t="shared" si="55"/>
        <v>0</v>
      </c>
      <c r="AN22" t="str">
        <f t="shared" si="27"/>
        <v>0</v>
      </c>
      <c r="AO22" t="str">
        <f t="shared" si="56"/>
        <v>65.9022</v>
      </c>
      <c r="AQ22" t="str">
        <f t="shared" si="29"/>
        <v>24.9662</v>
      </c>
      <c r="AR22" t="str">
        <f t="shared" si="57"/>
        <v>0</v>
      </c>
      <c r="AS22" t="str">
        <f t="shared" si="31"/>
        <v>0</v>
      </c>
      <c r="AT22" t="str">
        <f t="shared" si="58"/>
        <v>44.6874</v>
      </c>
      <c r="AV22" t="str">
        <f t="shared" ref="AV22:AX22" si="69">sum(AR22,AM22,AH22,AC22,X22,S22,N22,I22)</f>
        <v>0</v>
      </c>
      <c r="AW22" t="str">
        <f t="shared" si="69"/>
        <v>0</v>
      </c>
      <c r="AX22" t="str">
        <f t="shared" si="69"/>
        <v>426.0426</v>
      </c>
      <c r="AZ22" s="78"/>
      <c r="BA22" s="78"/>
      <c r="BB22" s="78"/>
      <c r="BC22" s="78"/>
    </row>
    <row r="23">
      <c r="A23" s="11" t="s">
        <v>614</v>
      </c>
      <c r="C23" s="16">
        <v>197.0</v>
      </c>
      <c r="E23" s="16"/>
      <c r="G23" s="16">
        <v>14.8</v>
      </c>
      <c r="H23" s="79" t="str">
        <f t="shared" si="3"/>
        <v>2</v>
      </c>
      <c r="I23" t="str">
        <f t="shared" si="43"/>
        <v>322.46536</v>
      </c>
      <c r="J23" t="str">
        <f t="shared" si="34"/>
        <v>0</v>
      </c>
      <c r="K23" t="str">
        <f t="shared" si="44"/>
        <v>0</v>
      </c>
      <c r="M23" t="str">
        <f t="shared" si="5"/>
        <v>1.58804</v>
      </c>
      <c r="N23" t="str">
        <f t="shared" si="45"/>
        <v>312.84388</v>
      </c>
      <c r="O23" t="str">
        <f t="shared" si="7"/>
        <v>0</v>
      </c>
      <c r="P23" t="str">
        <f t="shared" si="46"/>
        <v>0</v>
      </c>
      <c r="R23" t="str">
        <f t="shared" si="9"/>
        <v>0.00888</v>
      </c>
      <c r="S23" t="str">
        <f t="shared" si="47"/>
        <v>1.74936</v>
      </c>
      <c r="T23" t="str">
        <f t="shared" si="11"/>
        <v>0</v>
      </c>
      <c r="U23" t="str">
        <f t="shared" si="48"/>
        <v>0</v>
      </c>
      <c r="W23" t="str">
        <f t="shared" si="13"/>
        <v>2.5308</v>
      </c>
      <c r="X23" t="str">
        <f t="shared" si="49"/>
        <v>498.5676</v>
      </c>
      <c r="Y23" t="str">
        <f t="shared" si="15"/>
        <v>0</v>
      </c>
      <c r="Z23" t="str">
        <f t="shared" si="50"/>
        <v>0</v>
      </c>
      <c r="AB23" t="str">
        <f t="shared" si="17"/>
        <v>2.62108</v>
      </c>
      <c r="AC23" t="str">
        <f t="shared" si="51"/>
        <v>516.35276</v>
      </c>
      <c r="AD23" t="str">
        <f t="shared" si="19"/>
        <v>0</v>
      </c>
      <c r="AE23" t="str">
        <f t="shared" si="52"/>
        <v>0</v>
      </c>
      <c r="AG23" t="str">
        <f t="shared" si="21"/>
        <v>2.57372</v>
      </c>
      <c r="AH23" t="str">
        <f t="shared" si="53"/>
        <v>507.02284</v>
      </c>
      <c r="AI23" t="str">
        <f t="shared" si="23"/>
        <v>0</v>
      </c>
      <c r="AJ23" t="str">
        <f t="shared" si="54"/>
        <v>0</v>
      </c>
      <c r="AL23" t="str">
        <f t="shared" si="25"/>
        <v>2.28956</v>
      </c>
      <c r="AM23" t="str">
        <f t="shared" si="55"/>
        <v>451.04332</v>
      </c>
      <c r="AN23" t="str">
        <f t="shared" si="27"/>
        <v>0</v>
      </c>
      <c r="AO23" t="str">
        <f t="shared" si="56"/>
        <v>0</v>
      </c>
      <c r="AQ23" t="str">
        <f t="shared" si="29"/>
        <v>1.55252</v>
      </c>
      <c r="AR23" t="str">
        <f t="shared" si="57"/>
        <v>305.84644</v>
      </c>
      <c r="AS23" t="str">
        <f t="shared" si="31"/>
        <v>0</v>
      </c>
      <c r="AT23" t="str">
        <f t="shared" si="58"/>
        <v>0</v>
      </c>
      <c r="AV23" t="str">
        <f t="shared" ref="AV23:AX23" si="70">sum(AR23,AM23,AH23,AC23,X23,S23,N23,I23)</f>
        <v>2915.89156</v>
      </c>
      <c r="AW23" t="str">
        <f t="shared" si="70"/>
        <v>0</v>
      </c>
      <c r="AX23" t="str">
        <f t="shared" si="70"/>
        <v>0</v>
      </c>
      <c r="AZ23" s="78"/>
      <c r="BA23" s="78"/>
      <c r="BB23" s="78"/>
      <c r="BC23" s="78"/>
    </row>
    <row r="24">
      <c r="A24" s="12" t="s">
        <v>123</v>
      </c>
      <c r="C24" s="16" t="str">
        <f>93/7.361</f>
        <v>12.63415297</v>
      </c>
      <c r="G24" s="82">
        <v>7.361</v>
      </c>
      <c r="H24" s="79" t="str">
        <f t="shared" si="3"/>
        <v>1</v>
      </c>
      <c r="I24" t="str">
        <f t="shared" si="43"/>
        <v>10.2858</v>
      </c>
      <c r="J24" t="str">
        <f t="shared" si="34"/>
        <v>0</v>
      </c>
      <c r="K24" t="str">
        <f t="shared" si="44"/>
        <v>0</v>
      </c>
      <c r="M24" t="str">
        <f t="shared" si="5"/>
        <v>0.7898353</v>
      </c>
      <c r="N24" t="str">
        <f t="shared" si="45"/>
        <v>9.9789</v>
      </c>
      <c r="O24" t="str">
        <f t="shared" si="7"/>
        <v>0</v>
      </c>
      <c r="P24" t="str">
        <f t="shared" si="46"/>
        <v>0</v>
      </c>
      <c r="R24" t="str">
        <f t="shared" si="9"/>
        <v>0.0044166</v>
      </c>
      <c r="S24" t="str">
        <f t="shared" si="47"/>
        <v>0.0558</v>
      </c>
      <c r="T24" t="str">
        <f t="shared" si="11"/>
        <v>0</v>
      </c>
      <c r="U24" t="str">
        <f t="shared" si="48"/>
        <v>0</v>
      </c>
      <c r="W24" t="str">
        <f t="shared" si="13"/>
        <v>1.258731</v>
      </c>
      <c r="X24" t="str">
        <f t="shared" si="49"/>
        <v>15.903</v>
      </c>
      <c r="Y24" t="str">
        <f t="shared" si="15"/>
        <v>0</v>
      </c>
      <c r="Z24" t="str">
        <f t="shared" si="50"/>
        <v>0</v>
      </c>
      <c r="AB24" t="str">
        <f t="shared" si="17"/>
        <v>1.3036331</v>
      </c>
      <c r="AC24" t="str">
        <f t="shared" si="51"/>
        <v>16.4703</v>
      </c>
      <c r="AD24" t="str">
        <f t="shared" si="19"/>
        <v>0</v>
      </c>
      <c r="AE24" t="str">
        <f t="shared" si="52"/>
        <v>0</v>
      </c>
      <c r="AG24" t="str">
        <f t="shared" si="21"/>
        <v>1.2800779</v>
      </c>
      <c r="AH24" t="str">
        <f t="shared" si="53"/>
        <v>16.1727</v>
      </c>
      <c r="AI24" t="str">
        <f t="shared" si="23"/>
        <v>0</v>
      </c>
      <c r="AJ24" t="str">
        <f t="shared" si="54"/>
        <v>0</v>
      </c>
      <c r="AL24" t="str">
        <f t="shared" si="25"/>
        <v>1.1387467</v>
      </c>
      <c r="AM24" t="str">
        <f t="shared" si="55"/>
        <v>14.3871</v>
      </c>
      <c r="AN24" t="str">
        <f t="shared" si="27"/>
        <v>0</v>
      </c>
      <c r="AO24" t="str">
        <f t="shared" si="56"/>
        <v>0</v>
      </c>
      <c r="AQ24" t="str">
        <f t="shared" si="29"/>
        <v>0.7721689</v>
      </c>
      <c r="AR24" t="str">
        <f t="shared" si="57"/>
        <v>9.7557</v>
      </c>
      <c r="AS24" t="str">
        <f t="shared" si="31"/>
        <v>0</v>
      </c>
      <c r="AT24" t="str">
        <f t="shared" si="58"/>
        <v>0</v>
      </c>
      <c r="AV24" t="str">
        <f t="shared" ref="AV24:AX24" si="71">sum(AR24,AM24,AH24,AC24,X24,S24,N24,I24)</f>
        <v>93.0093</v>
      </c>
      <c r="AW24" t="str">
        <f t="shared" si="71"/>
        <v>0</v>
      </c>
      <c r="AX24" t="str">
        <f t="shared" si="71"/>
        <v>0</v>
      </c>
      <c r="AZ24" s="78"/>
      <c r="BA24" s="78"/>
      <c r="BB24" s="78"/>
      <c r="BC24" s="78"/>
    </row>
    <row r="25">
      <c r="A25" s="11" t="s">
        <v>131</v>
      </c>
      <c r="C25" s="16">
        <v>0.016</v>
      </c>
      <c r="G25" s="16">
        <v>26414.0</v>
      </c>
      <c r="H25" s="79" t="str">
        <f t="shared" si="3"/>
        <v>2921</v>
      </c>
      <c r="I25" t="str">
        <f t="shared" si="43"/>
        <v>46.7422144</v>
      </c>
      <c r="J25" t="str">
        <f t="shared" si="34"/>
        <v>0</v>
      </c>
      <c r="K25" t="str">
        <f t="shared" si="44"/>
        <v>0</v>
      </c>
      <c r="M25" t="str">
        <f t="shared" si="5"/>
        <v>2834.2222</v>
      </c>
      <c r="N25" t="str">
        <f t="shared" si="45"/>
        <v>45.3475552</v>
      </c>
      <c r="O25" t="str">
        <f t="shared" si="7"/>
        <v>0</v>
      </c>
      <c r="P25" t="str">
        <f t="shared" si="46"/>
        <v>0</v>
      </c>
      <c r="R25" t="str">
        <f t="shared" si="9"/>
        <v>15.8484</v>
      </c>
      <c r="S25" t="str">
        <f t="shared" si="47"/>
        <v>0.2535744</v>
      </c>
      <c r="T25" t="str">
        <f t="shared" si="11"/>
        <v>0</v>
      </c>
      <c r="U25" t="str">
        <f t="shared" si="48"/>
        <v>0</v>
      </c>
      <c r="W25" t="str">
        <f t="shared" si="13"/>
        <v>4516.794</v>
      </c>
      <c r="X25" t="str">
        <f t="shared" si="49"/>
        <v>72.268704</v>
      </c>
      <c r="Y25" t="str">
        <f t="shared" si="15"/>
        <v>0</v>
      </c>
      <c r="Z25" t="str">
        <f t="shared" si="50"/>
        <v>0</v>
      </c>
      <c r="AB25" t="str">
        <f t="shared" si="17"/>
        <v>4677.9194</v>
      </c>
      <c r="AC25" t="str">
        <f t="shared" si="51"/>
        <v>74.8467104</v>
      </c>
      <c r="AD25" t="str">
        <f t="shared" si="19"/>
        <v>0</v>
      </c>
      <c r="AE25" t="str">
        <f t="shared" si="52"/>
        <v>0</v>
      </c>
      <c r="AG25" t="str">
        <f t="shared" si="21"/>
        <v>4593.3946</v>
      </c>
      <c r="AH25" t="str">
        <f t="shared" si="53"/>
        <v>73.4943136</v>
      </c>
      <c r="AI25" t="str">
        <f t="shared" si="23"/>
        <v>0</v>
      </c>
      <c r="AJ25" t="str">
        <f t="shared" si="54"/>
        <v>0</v>
      </c>
      <c r="AL25" t="str">
        <f t="shared" si="25"/>
        <v>4086.2458</v>
      </c>
      <c r="AM25" t="str">
        <f t="shared" si="55"/>
        <v>65.3799328</v>
      </c>
      <c r="AN25" t="str">
        <f t="shared" si="27"/>
        <v>0</v>
      </c>
      <c r="AO25" t="str">
        <f t="shared" si="56"/>
        <v>0</v>
      </c>
      <c r="AQ25" t="str">
        <f t="shared" si="29"/>
        <v>2770.8286</v>
      </c>
      <c r="AR25" t="str">
        <f t="shared" si="57"/>
        <v>44.3332576</v>
      </c>
      <c r="AS25" t="str">
        <f t="shared" si="31"/>
        <v>0</v>
      </c>
      <c r="AT25" t="str">
        <f t="shared" si="58"/>
        <v>0</v>
      </c>
      <c r="AV25" t="str">
        <f t="shared" ref="AV25:AX25" si="72">sum(AR25,AM25,AH25,AC25,X25,S25,N25,I25)</f>
        <v>422.6662624</v>
      </c>
      <c r="AW25" t="str">
        <f t="shared" si="72"/>
        <v>0</v>
      </c>
      <c r="AX25" t="str">
        <f t="shared" si="72"/>
        <v>0</v>
      </c>
      <c r="AZ25" s="78"/>
      <c r="BA25" s="78"/>
      <c r="BB25" s="78"/>
      <c r="BC25" s="78"/>
    </row>
    <row r="26">
      <c r="A26" s="11" t="s">
        <v>615</v>
      </c>
      <c r="C26" s="16">
        <v>0.023</v>
      </c>
      <c r="G26" s="16">
        <v>6251.0</v>
      </c>
      <c r="H26" s="79" t="str">
        <f t="shared" si="3"/>
        <v>691</v>
      </c>
      <c r="I26" t="str">
        <f t="shared" si="43"/>
        <v>15.9012938</v>
      </c>
      <c r="J26" t="str">
        <f t="shared" si="34"/>
        <v>0</v>
      </c>
      <c r="K26" t="str">
        <f t="shared" si="44"/>
        <v>0</v>
      </c>
      <c r="M26" t="str">
        <f t="shared" si="5"/>
        <v>670.7323</v>
      </c>
      <c r="N26" t="str">
        <f t="shared" si="45"/>
        <v>15.4268429</v>
      </c>
      <c r="O26" t="str">
        <f t="shared" si="7"/>
        <v>0</v>
      </c>
      <c r="P26" t="str">
        <f t="shared" si="46"/>
        <v>0</v>
      </c>
      <c r="R26" t="str">
        <f t="shared" si="9"/>
        <v>3.7506</v>
      </c>
      <c r="S26" t="str">
        <f t="shared" si="47"/>
        <v>0.0862638</v>
      </c>
      <c r="T26" t="str">
        <f t="shared" si="11"/>
        <v>0</v>
      </c>
      <c r="U26" t="str">
        <f t="shared" si="48"/>
        <v>0</v>
      </c>
      <c r="W26" t="str">
        <f t="shared" si="13"/>
        <v>1068.921</v>
      </c>
      <c r="X26" t="str">
        <f t="shared" si="49"/>
        <v>24.585183</v>
      </c>
      <c r="Y26" t="str">
        <f t="shared" si="15"/>
        <v>0</v>
      </c>
      <c r="Z26" t="str">
        <f t="shared" si="50"/>
        <v>0</v>
      </c>
      <c r="AB26" t="str">
        <f t="shared" si="17"/>
        <v>1107.0521</v>
      </c>
      <c r="AC26" t="str">
        <f t="shared" si="51"/>
        <v>25.4621983</v>
      </c>
      <c r="AD26" t="str">
        <f t="shared" si="19"/>
        <v>0</v>
      </c>
      <c r="AE26" t="str">
        <f t="shared" si="52"/>
        <v>0</v>
      </c>
      <c r="AG26" t="str">
        <f t="shared" si="21"/>
        <v>1087.0489</v>
      </c>
      <c r="AH26" t="str">
        <f t="shared" si="53"/>
        <v>25.0021247</v>
      </c>
      <c r="AI26" t="str">
        <f t="shared" si="23"/>
        <v>0</v>
      </c>
      <c r="AJ26" t="str">
        <f t="shared" si="54"/>
        <v>0</v>
      </c>
      <c r="AL26" t="str">
        <f t="shared" si="25"/>
        <v>967.0297</v>
      </c>
      <c r="AM26" t="str">
        <f t="shared" si="55"/>
        <v>22.2416831</v>
      </c>
      <c r="AN26" t="str">
        <f t="shared" si="27"/>
        <v>0</v>
      </c>
      <c r="AO26" t="str">
        <f t="shared" si="56"/>
        <v>0</v>
      </c>
      <c r="AQ26" t="str">
        <f t="shared" si="29"/>
        <v>655.7299</v>
      </c>
      <c r="AR26" t="str">
        <f t="shared" si="57"/>
        <v>15.0817877</v>
      </c>
      <c r="AS26" t="str">
        <f t="shared" si="31"/>
        <v>0</v>
      </c>
      <c r="AT26" t="str">
        <f t="shared" si="58"/>
        <v>0</v>
      </c>
      <c r="AV26" t="str">
        <f t="shared" ref="AV26:AX26" si="73">sum(AR26,AM26,AH26,AC26,X26,S26,N26,I26)</f>
        <v>143.7873773</v>
      </c>
      <c r="AW26" t="str">
        <f t="shared" si="73"/>
        <v>0</v>
      </c>
      <c r="AX26" t="str">
        <f t="shared" si="73"/>
        <v>0</v>
      </c>
      <c r="AZ26" s="78"/>
      <c r="BA26" s="78"/>
      <c r="BB26" s="78"/>
      <c r="BC26" s="78"/>
    </row>
    <row r="27">
      <c r="A27" s="11" t="s">
        <v>616</v>
      </c>
      <c r="C27" s="16">
        <v>3.057</v>
      </c>
      <c r="G27" s="16">
        <v>919.0</v>
      </c>
      <c r="H27" s="79" t="str">
        <f t="shared" si="3"/>
        <v>102</v>
      </c>
      <c r="I27" t="str">
        <f t="shared" si="43"/>
        <v>310.7177598</v>
      </c>
      <c r="J27" t="str">
        <f t="shared" si="34"/>
        <v>0</v>
      </c>
      <c r="K27" t="str">
        <f t="shared" si="44"/>
        <v>0</v>
      </c>
      <c r="M27" t="str">
        <f t="shared" si="5"/>
        <v>98.6087</v>
      </c>
      <c r="N27" t="str">
        <f t="shared" si="45"/>
        <v>301.4467959</v>
      </c>
      <c r="O27" t="str">
        <f t="shared" si="7"/>
        <v>0</v>
      </c>
      <c r="P27" t="str">
        <f t="shared" si="46"/>
        <v>0</v>
      </c>
      <c r="R27" t="str">
        <f t="shared" si="9"/>
        <v>0.5514</v>
      </c>
      <c r="S27" t="str">
        <f t="shared" si="47"/>
        <v>1.6856298</v>
      </c>
      <c r="T27" t="str">
        <f t="shared" si="11"/>
        <v>0</v>
      </c>
      <c r="U27" t="str">
        <f t="shared" si="48"/>
        <v>0</v>
      </c>
      <c r="W27" t="str">
        <f t="shared" si="13"/>
        <v>157.149</v>
      </c>
      <c r="X27" t="str">
        <f t="shared" si="49"/>
        <v>480.404493</v>
      </c>
      <c r="Y27" t="str">
        <f t="shared" si="15"/>
        <v>0</v>
      </c>
      <c r="Z27" t="str">
        <f t="shared" si="50"/>
        <v>0</v>
      </c>
      <c r="AB27" t="str">
        <f t="shared" si="17"/>
        <v>162.7549</v>
      </c>
      <c r="AC27" t="str">
        <f t="shared" si="51"/>
        <v>497.5417293</v>
      </c>
      <c r="AD27" t="str">
        <f t="shared" si="19"/>
        <v>0</v>
      </c>
      <c r="AE27" t="str">
        <f t="shared" si="52"/>
        <v>0</v>
      </c>
      <c r="AG27" t="str">
        <f t="shared" si="21"/>
        <v>159.8141</v>
      </c>
      <c r="AH27" t="str">
        <f t="shared" si="53"/>
        <v>488.5517037</v>
      </c>
      <c r="AI27" t="str">
        <f t="shared" si="23"/>
        <v>0</v>
      </c>
      <c r="AJ27" t="str">
        <f t="shared" si="54"/>
        <v>0</v>
      </c>
      <c r="AL27" t="str">
        <f t="shared" si="25"/>
        <v>142.1693</v>
      </c>
      <c r="AM27" t="str">
        <f t="shared" si="55"/>
        <v>434.6115501</v>
      </c>
      <c r="AN27" t="str">
        <f t="shared" si="27"/>
        <v>0</v>
      </c>
      <c r="AO27" t="str">
        <f t="shared" si="56"/>
        <v>0</v>
      </c>
      <c r="AQ27" t="str">
        <f t="shared" si="29"/>
        <v>96.4031</v>
      </c>
      <c r="AR27" t="str">
        <f t="shared" si="57"/>
        <v>294.7042767</v>
      </c>
      <c r="AS27" t="str">
        <f t="shared" si="31"/>
        <v>0</v>
      </c>
      <c r="AT27" t="str">
        <f t="shared" si="58"/>
        <v>0</v>
      </c>
      <c r="AV27" t="str">
        <f t="shared" ref="AV27:AX27" si="74">sum(AR27,AM27,AH27,AC27,X27,S27,N27,I27)</f>
        <v>2809.663938</v>
      </c>
      <c r="AW27" t="str">
        <f t="shared" si="74"/>
        <v>0</v>
      </c>
      <c r="AX27" t="str">
        <f t="shared" si="74"/>
        <v>0</v>
      </c>
      <c r="AZ27" s="78"/>
      <c r="BA27" s="78"/>
      <c r="BB27" s="78"/>
      <c r="BC27" s="78"/>
    </row>
    <row r="28">
      <c r="A28" s="11" t="s">
        <v>142</v>
      </c>
      <c r="C28" s="16" t="str">
        <f>3089/296</f>
        <v>10.43581081</v>
      </c>
      <c r="G28" s="11">
        <v>296.0</v>
      </c>
      <c r="H28" s="79" t="str">
        <f t="shared" si="3"/>
        <v>33</v>
      </c>
      <c r="I28" t="str">
        <f t="shared" si="43"/>
        <v>341.6434</v>
      </c>
      <c r="J28" t="str">
        <f t="shared" si="34"/>
        <v>0</v>
      </c>
      <c r="K28" t="str">
        <f t="shared" si="44"/>
        <v>0</v>
      </c>
      <c r="M28" t="str">
        <f t="shared" si="5"/>
        <v>31.7608</v>
      </c>
      <c r="N28" t="str">
        <f t="shared" si="45"/>
        <v>331.4497</v>
      </c>
      <c r="O28" t="str">
        <f t="shared" si="7"/>
        <v>0</v>
      </c>
      <c r="P28" t="str">
        <f t="shared" si="46"/>
        <v>0</v>
      </c>
      <c r="R28" t="str">
        <f t="shared" si="9"/>
        <v>0.1776</v>
      </c>
      <c r="S28" t="str">
        <f t="shared" si="47"/>
        <v>1.8534</v>
      </c>
      <c r="T28" t="str">
        <f t="shared" si="11"/>
        <v>0</v>
      </c>
      <c r="U28" t="str">
        <f t="shared" si="48"/>
        <v>0</v>
      </c>
      <c r="W28" t="str">
        <f t="shared" si="13"/>
        <v>50.616</v>
      </c>
      <c r="X28" t="str">
        <f t="shared" si="49"/>
        <v>528.219</v>
      </c>
      <c r="Y28" t="str">
        <f t="shared" si="15"/>
        <v>0</v>
      </c>
      <c r="Z28" t="str">
        <f t="shared" si="50"/>
        <v>0</v>
      </c>
      <c r="AB28" t="str">
        <f t="shared" si="17"/>
        <v>52.4216</v>
      </c>
      <c r="AC28" t="str">
        <f t="shared" si="51"/>
        <v>547.0619</v>
      </c>
      <c r="AD28" t="str">
        <f t="shared" si="19"/>
        <v>0</v>
      </c>
      <c r="AE28" t="str">
        <f t="shared" si="52"/>
        <v>0</v>
      </c>
      <c r="AG28" t="str">
        <f t="shared" si="21"/>
        <v>51.4744</v>
      </c>
      <c r="AH28" t="str">
        <f t="shared" si="53"/>
        <v>537.1771</v>
      </c>
      <c r="AI28" t="str">
        <f t="shared" si="23"/>
        <v>0</v>
      </c>
      <c r="AJ28" t="str">
        <f t="shared" si="54"/>
        <v>0</v>
      </c>
      <c r="AL28" t="str">
        <f t="shared" si="25"/>
        <v>45.7912</v>
      </c>
      <c r="AM28" t="str">
        <f t="shared" si="55"/>
        <v>477.8683</v>
      </c>
      <c r="AN28" t="str">
        <f t="shared" si="27"/>
        <v>0</v>
      </c>
      <c r="AO28" t="str">
        <f t="shared" si="56"/>
        <v>0</v>
      </c>
      <c r="AQ28" t="str">
        <f t="shared" si="29"/>
        <v>31.0504</v>
      </c>
      <c r="AR28" t="str">
        <f t="shared" si="57"/>
        <v>324.0361</v>
      </c>
      <c r="AS28" t="str">
        <f t="shared" si="31"/>
        <v>0</v>
      </c>
      <c r="AT28" t="str">
        <f t="shared" si="58"/>
        <v>0</v>
      </c>
      <c r="AV28" t="str">
        <f t="shared" ref="AV28:AX28" si="75">sum(AR28,AM28,AH28,AC28,X28,S28,N28,I28)</f>
        <v>3089.3089</v>
      </c>
      <c r="AW28" t="str">
        <f t="shared" si="75"/>
        <v>0</v>
      </c>
      <c r="AX28" t="str">
        <f t="shared" si="75"/>
        <v>0</v>
      </c>
      <c r="AZ28" s="78"/>
      <c r="BA28" s="78"/>
      <c r="BB28" s="78"/>
      <c r="BC28" s="78"/>
    </row>
    <row r="29">
      <c r="A29" s="83" t="s">
        <v>149</v>
      </c>
      <c r="C29" s="16">
        <v>0.6</v>
      </c>
      <c r="G29" s="11">
        <v>1150.0</v>
      </c>
      <c r="H29" s="79" t="str">
        <f t="shared" si="3"/>
        <v>127</v>
      </c>
      <c r="I29" t="str">
        <f t="shared" si="43"/>
        <v>76.314</v>
      </c>
      <c r="J29" t="str">
        <f t="shared" si="34"/>
        <v>0</v>
      </c>
      <c r="K29" t="str">
        <f t="shared" si="44"/>
        <v>0</v>
      </c>
      <c r="M29" t="str">
        <f t="shared" si="5"/>
        <v>123.395</v>
      </c>
      <c r="N29" t="str">
        <f t="shared" si="45"/>
        <v>74.037</v>
      </c>
      <c r="O29" t="str">
        <f t="shared" si="7"/>
        <v>0</v>
      </c>
      <c r="P29" t="str">
        <f t="shared" si="46"/>
        <v>0</v>
      </c>
      <c r="R29" t="str">
        <f t="shared" si="9"/>
        <v>0.69</v>
      </c>
      <c r="S29" t="str">
        <f t="shared" si="47"/>
        <v>0.414</v>
      </c>
      <c r="T29" t="str">
        <f t="shared" si="11"/>
        <v>0</v>
      </c>
      <c r="U29" t="str">
        <f t="shared" si="48"/>
        <v>0</v>
      </c>
      <c r="W29" t="str">
        <f t="shared" si="13"/>
        <v>196.65</v>
      </c>
      <c r="X29" t="str">
        <f t="shared" si="49"/>
        <v>117.99</v>
      </c>
      <c r="Y29" t="str">
        <f t="shared" si="15"/>
        <v>0</v>
      </c>
      <c r="Z29" t="str">
        <f t="shared" si="50"/>
        <v>0</v>
      </c>
      <c r="AB29" t="str">
        <f t="shared" si="17"/>
        <v>203.665</v>
      </c>
      <c r="AC29" t="str">
        <f t="shared" si="51"/>
        <v>122.199</v>
      </c>
      <c r="AD29" t="str">
        <f t="shared" si="19"/>
        <v>0</v>
      </c>
      <c r="AE29" t="str">
        <f t="shared" si="52"/>
        <v>0</v>
      </c>
      <c r="AG29" t="str">
        <f t="shared" si="21"/>
        <v>199.985</v>
      </c>
      <c r="AH29" t="str">
        <f t="shared" si="53"/>
        <v>119.991</v>
      </c>
      <c r="AI29" t="str">
        <f t="shared" si="23"/>
        <v>0</v>
      </c>
      <c r="AJ29" t="str">
        <f t="shared" si="54"/>
        <v>0</v>
      </c>
      <c r="AL29" t="str">
        <f t="shared" si="25"/>
        <v>177.905</v>
      </c>
      <c r="AM29" t="str">
        <f t="shared" si="55"/>
        <v>106.743</v>
      </c>
      <c r="AN29" t="str">
        <f t="shared" si="27"/>
        <v>0</v>
      </c>
      <c r="AO29" t="str">
        <f t="shared" si="56"/>
        <v>0</v>
      </c>
      <c r="AQ29" t="str">
        <f t="shared" si="29"/>
        <v>120.635</v>
      </c>
      <c r="AR29" t="str">
        <f t="shared" si="57"/>
        <v>72.381</v>
      </c>
      <c r="AS29" t="str">
        <f t="shared" si="31"/>
        <v>0</v>
      </c>
      <c r="AT29" t="str">
        <f t="shared" si="58"/>
        <v>0</v>
      </c>
      <c r="AV29" t="str">
        <f t="shared" ref="AV29:AX29" si="76">sum(AR29,AM29,AH29,AC29,X29,S29,N29,I29)</f>
        <v>690.069</v>
      </c>
      <c r="AW29" t="str">
        <f t="shared" si="76"/>
        <v>0</v>
      </c>
      <c r="AX29" t="str">
        <f t="shared" si="76"/>
        <v>0</v>
      </c>
      <c r="AZ29" s="78"/>
      <c r="BA29" s="78"/>
      <c r="BB29" s="78"/>
      <c r="BC29" s="78"/>
    </row>
    <row r="30">
      <c r="A30" s="83" t="s">
        <v>617</v>
      </c>
      <c r="G30" s="11">
        <v>514.0</v>
      </c>
      <c r="H30" s="79" t="str">
        <f t="shared" si="3"/>
        <v>57</v>
      </c>
      <c r="I30" t="str">
        <f t="shared" si="43"/>
        <v>0</v>
      </c>
      <c r="J30" t="str">
        <f t="shared" si="34"/>
        <v>0</v>
      </c>
      <c r="K30" t="str">
        <f t="shared" si="44"/>
        <v>0</v>
      </c>
      <c r="M30" t="str">
        <f t="shared" si="5"/>
        <v>55.1522</v>
      </c>
      <c r="N30" t="str">
        <f t="shared" si="45"/>
        <v>0</v>
      </c>
      <c r="O30" t="str">
        <f t="shared" si="7"/>
        <v>0</v>
      </c>
      <c r="P30" t="str">
        <f t="shared" si="46"/>
        <v>0</v>
      </c>
      <c r="R30" t="str">
        <f t="shared" si="9"/>
        <v>0.3084</v>
      </c>
      <c r="S30" t="str">
        <f t="shared" si="47"/>
        <v>0</v>
      </c>
      <c r="T30" t="str">
        <f t="shared" si="11"/>
        <v>0</v>
      </c>
      <c r="U30" t="str">
        <f t="shared" si="48"/>
        <v>0</v>
      </c>
      <c r="W30" t="str">
        <f t="shared" si="13"/>
        <v>87.894</v>
      </c>
      <c r="X30" t="str">
        <f t="shared" si="49"/>
        <v>0</v>
      </c>
      <c r="Y30" t="str">
        <f t="shared" si="15"/>
        <v>0</v>
      </c>
      <c r="Z30" t="str">
        <f t="shared" si="50"/>
        <v>0</v>
      </c>
      <c r="AB30" t="str">
        <f t="shared" si="17"/>
        <v>91.0294</v>
      </c>
      <c r="AC30" t="str">
        <f t="shared" si="51"/>
        <v>0</v>
      </c>
      <c r="AD30" t="str">
        <f t="shared" si="19"/>
        <v>0</v>
      </c>
      <c r="AE30" t="str">
        <f t="shared" si="52"/>
        <v>0</v>
      </c>
      <c r="AG30" t="str">
        <f t="shared" si="21"/>
        <v>89.3846</v>
      </c>
      <c r="AH30" t="str">
        <f t="shared" si="53"/>
        <v>0</v>
      </c>
      <c r="AI30" t="str">
        <f t="shared" si="23"/>
        <v>0</v>
      </c>
      <c r="AJ30" t="str">
        <f t="shared" si="54"/>
        <v>0</v>
      </c>
      <c r="AL30" t="str">
        <f t="shared" si="25"/>
        <v>79.5158</v>
      </c>
      <c r="AM30" t="str">
        <f t="shared" si="55"/>
        <v>0</v>
      </c>
      <c r="AN30" t="str">
        <f t="shared" si="27"/>
        <v>0</v>
      </c>
      <c r="AO30" t="str">
        <f t="shared" si="56"/>
        <v>0</v>
      </c>
      <c r="AQ30" t="str">
        <f t="shared" si="29"/>
        <v>53.9186</v>
      </c>
      <c r="AR30" t="str">
        <f t="shared" si="57"/>
        <v>0</v>
      </c>
      <c r="AS30" t="str">
        <f t="shared" si="31"/>
        <v>0</v>
      </c>
      <c r="AT30" t="str">
        <f t="shared" si="58"/>
        <v>0</v>
      </c>
      <c r="AV30" t="str">
        <f t="shared" ref="AV30:AX30" si="77">sum(AR30,AM30,AH30,AC30,X30,S30,N30,I30)</f>
        <v>0</v>
      </c>
      <c r="AW30" t="str">
        <f t="shared" si="77"/>
        <v>0</v>
      </c>
      <c r="AX30" t="str">
        <f t="shared" si="77"/>
        <v>0</v>
      </c>
      <c r="AZ30" s="78"/>
      <c r="BA30" s="78"/>
      <c r="BB30" s="78"/>
      <c r="BC30" s="78"/>
    </row>
    <row r="31">
      <c r="A31" s="30" t="s">
        <v>154</v>
      </c>
      <c r="E31" s="18" t="str">
        <f>59.63/432610</f>
        <v>0.0001378377754</v>
      </c>
      <c r="G31" s="16">
        <v>432610.0</v>
      </c>
      <c r="H31" s="79" t="str">
        <f t="shared" si="3"/>
        <v>47847</v>
      </c>
      <c r="I31" t="str">
        <f t="shared" si="43"/>
        <v>0</v>
      </c>
      <c r="J31" t="str">
        <f t="shared" si="34"/>
        <v>0</v>
      </c>
      <c r="K31" t="str">
        <f t="shared" si="44"/>
        <v>6.595078</v>
      </c>
      <c r="M31" t="str">
        <f t="shared" si="5"/>
        <v>46419.053</v>
      </c>
      <c r="N31" t="str">
        <f t="shared" si="45"/>
        <v>0</v>
      </c>
      <c r="O31" t="str">
        <f t="shared" si="7"/>
        <v>0</v>
      </c>
      <c r="P31" t="str">
        <f t="shared" si="46"/>
        <v>6.398299</v>
      </c>
      <c r="R31" t="str">
        <f t="shared" si="9"/>
        <v>259.566</v>
      </c>
      <c r="S31" t="str">
        <f t="shared" si="47"/>
        <v>0</v>
      </c>
      <c r="T31" t="str">
        <f t="shared" si="11"/>
        <v>0</v>
      </c>
      <c r="U31" t="str">
        <f t="shared" si="48"/>
        <v>0.035778</v>
      </c>
      <c r="W31" t="str">
        <f t="shared" si="13"/>
        <v>73976.31</v>
      </c>
      <c r="X31" t="str">
        <f t="shared" si="49"/>
        <v>0</v>
      </c>
      <c r="Y31" t="str">
        <f t="shared" si="15"/>
        <v>0</v>
      </c>
      <c r="Z31" t="str">
        <f t="shared" si="50"/>
        <v>10.19673</v>
      </c>
      <c r="AB31" t="str">
        <f t="shared" si="17"/>
        <v>76615.231</v>
      </c>
      <c r="AC31" t="str">
        <f t="shared" si="51"/>
        <v>0</v>
      </c>
      <c r="AD31" t="str">
        <f t="shared" si="19"/>
        <v>0</v>
      </c>
      <c r="AE31" t="str">
        <f t="shared" si="52"/>
        <v>10.560473</v>
      </c>
      <c r="AG31" t="str">
        <f t="shared" si="21"/>
        <v>75230.879</v>
      </c>
      <c r="AH31" t="str">
        <f t="shared" si="53"/>
        <v>0</v>
      </c>
      <c r="AI31" t="str">
        <f t="shared" si="23"/>
        <v>0</v>
      </c>
      <c r="AJ31" t="str">
        <f t="shared" si="54"/>
        <v>10.369657</v>
      </c>
      <c r="AL31" t="str">
        <f t="shared" si="25"/>
        <v>66924.767</v>
      </c>
      <c r="AM31" t="str">
        <f t="shared" si="55"/>
        <v>0</v>
      </c>
      <c r="AN31" t="str">
        <f t="shared" si="27"/>
        <v>0</v>
      </c>
      <c r="AO31" t="str">
        <f t="shared" si="56"/>
        <v>9.224761</v>
      </c>
      <c r="AQ31" t="str">
        <f t="shared" si="29"/>
        <v>45380.789</v>
      </c>
      <c r="AR31" t="str">
        <f t="shared" si="57"/>
        <v>0</v>
      </c>
      <c r="AS31" t="str">
        <f t="shared" si="31"/>
        <v>0</v>
      </c>
      <c r="AT31" t="str">
        <f t="shared" si="58"/>
        <v>6.255187</v>
      </c>
      <c r="AV31" t="str">
        <f t="shared" ref="AV31:AX31" si="78">sum(AR31,AM31,AH31,AC31,X31,S31,N31,I31)</f>
        <v>0</v>
      </c>
      <c r="AW31" t="str">
        <f t="shared" si="78"/>
        <v>0</v>
      </c>
      <c r="AX31" t="str">
        <f t="shared" si="78"/>
        <v>59.635963</v>
      </c>
      <c r="AZ31" s="78"/>
      <c r="BA31" s="78"/>
      <c r="BB31" s="78"/>
      <c r="BC31" s="78"/>
    </row>
    <row r="32">
      <c r="A32" s="30" t="s">
        <v>161</v>
      </c>
      <c r="C32" s="16">
        <v>0.04536</v>
      </c>
      <c r="G32" s="16">
        <v>11464.0</v>
      </c>
      <c r="H32" s="79" t="str">
        <f t="shared" si="3"/>
        <v>1268</v>
      </c>
      <c r="I32" t="str">
        <f t="shared" si="43"/>
        <v>57.51277862</v>
      </c>
      <c r="J32" t="str">
        <f t="shared" si="34"/>
        <v>0</v>
      </c>
      <c r="K32" t="str">
        <f t="shared" si="44"/>
        <v>0</v>
      </c>
      <c r="M32" t="str">
        <f t="shared" si="5"/>
        <v>1230.0872</v>
      </c>
      <c r="N32" t="str">
        <f t="shared" si="45"/>
        <v>55.79675539</v>
      </c>
      <c r="O32" t="str">
        <f t="shared" si="7"/>
        <v>0</v>
      </c>
      <c r="P32" t="str">
        <f t="shared" si="46"/>
        <v>0</v>
      </c>
      <c r="R32" t="str">
        <f t="shared" si="9"/>
        <v>6.8784</v>
      </c>
      <c r="S32" t="str">
        <f t="shared" si="47"/>
        <v>0.312004224</v>
      </c>
      <c r="T32" t="str">
        <f t="shared" si="11"/>
        <v>0</v>
      </c>
      <c r="U32" t="str">
        <f t="shared" si="48"/>
        <v>0</v>
      </c>
      <c r="W32" t="str">
        <f t="shared" si="13"/>
        <v>1960.344</v>
      </c>
      <c r="X32" t="str">
        <f t="shared" si="49"/>
        <v>88.92120384</v>
      </c>
      <c r="Y32" t="str">
        <f t="shared" si="15"/>
        <v>0</v>
      </c>
      <c r="Z32" t="str">
        <f t="shared" si="50"/>
        <v>0</v>
      </c>
      <c r="AB32" t="str">
        <f t="shared" si="17"/>
        <v>2030.2744</v>
      </c>
      <c r="AC32" t="str">
        <f t="shared" si="51"/>
        <v>92.09324678</v>
      </c>
      <c r="AD32" t="str">
        <f t="shared" si="19"/>
        <v>0</v>
      </c>
      <c r="AE32" t="str">
        <f t="shared" si="52"/>
        <v>0</v>
      </c>
      <c r="AG32" t="str">
        <f t="shared" si="21"/>
        <v>1993.5896</v>
      </c>
      <c r="AH32" t="str">
        <f t="shared" si="53"/>
        <v>90.42922426</v>
      </c>
      <c r="AI32" t="str">
        <f t="shared" si="23"/>
        <v>0</v>
      </c>
      <c r="AJ32" t="str">
        <f t="shared" si="54"/>
        <v>0</v>
      </c>
      <c r="AL32" t="str">
        <f t="shared" si="25"/>
        <v>1773.4808</v>
      </c>
      <c r="AM32" t="str">
        <f t="shared" si="55"/>
        <v>80.44508909</v>
      </c>
      <c r="AN32" t="str">
        <f t="shared" si="27"/>
        <v>0</v>
      </c>
      <c r="AO32" t="str">
        <f t="shared" si="56"/>
        <v>0</v>
      </c>
      <c r="AQ32" t="str">
        <f t="shared" si="29"/>
        <v>1202.5736</v>
      </c>
      <c r="AR32" t="str">
        <f t="shared" si="57"/>
        <v>54.5487385</v>
      </c>
      <c r="AS32" t="str">
        <f t="shared" si="31"/>
        <v>0</v>
      </c>
      <c r="AT32" t="str">
        <f t="shared" si="58"/>
        <v>0</v>
      </c>
      <c r="AV32" t="str">
        <f t="shared" ref="AV32:AX32" si="79">sum(AR32,AM32,AH32,AC32,X32,S32,N32,I32)</f>
        <v>520.0590407</v>
      </c>
      <c r="AW32" t="str">
        <f t="shared" si="79"/>
        <v>0</v>
      </c>
      <c r="AX32" t="str">
        <f t="shared" si="79"/>
        <v>0</v>
      </c>
      <c r="AZ32" s="78"/>
      <c r="BA32" s="78"/>
      <c r="BB32" s="78"/>
      <c r="BC32" s="78"/>
    </row>
    <row r="33">
      <c r="A33" s="84" t="s">
        <v>618</v>
      </c>
      <c r="B33" s="85"/>
      <c r="C33" s="85"/>
      <c r="D33" s="85"/>
      <c r="E33" s="85"/>
      <c r="F33" s="85"/>
      <c r="G33" s="85" t="str">
        <f t="shared" ref="G33:K33" si="80">SUM(G3:G32)</f>
        <v>717116.661</v>
      </c>
      <c r="H33" s="86" t="str">
        <f t="shared" si="80"/>
        <v>79313</v>
      </c>
      <c r="I33" s="85" t="str">
        <f t="shared" si="80"/>
        <v>13328.73393</v>
      </c>
      <c r="J33" s="85" t="str">
        <f t="shared" si="80"/>
        <v>0</v>
      </c>
      <c r="K33" s="85" t="str">
        <f t="shared" si="80"/>
        <v>5713.845735</v>
      </c>
      <c r="L33" s="85"/>
      <c r="M33" s="85" t="str">
        <f t="shared" ref="M33:P33" si="81">SUM(M3:M32)</f>
        <v>76946.61773</v>
      </c>
      <c r="N33" s="85" t="str">
        <f t="shared" si="81"/>
        <v>12931.04115</v>
      </c>
      <c r="O33" s="85" t="str">
        <f t="shared" si="81"/>
        <v>0</v>
      </c>
      <c r="P33" s="85" t="str">
        <f t="shared" si="81"/>
        <v>5543.360283</v>
      </c>
      <c r="Q33" s="85"/>
      <c r="R33" s="85" t="str">
        <f t="shared" ref="R33:U33" si="82">SUM(R3:R32)</f>
        <v>430.2699966</v>
      </c>
      <c r="S33" s="85" t="str">
        <f t="shared" si="82"/>
        <v>72.30777902</v>
      </c>
      <c r="T33" s="85" t="str">
        <f t="shared" si="82"/>
        <v>0</v>
      </c>
      <c r="U33" s="85" t="str">
        <f t="shared" si="82"/>
        <v>30.9973548</v>
      </c>
      <c r="V33" s="85"/>
      <c r="W33" s="85" t="str">
        <f t="shared" ref="W33:Z33" si="83">SUM(W3:W32)</f>
        <v>122626.949</v>
      </c>
      <c r="X33" s="85" t="str">
        <f t="shared" si="83"/>
        <v>20607.71702</v>
      </c>
      <c r="Y33" s="85" t="str">
        <f t="shared" si="83"/>
        <v>0</v>
      </c>
      <c r="Z33" s="85" t="str">
        <f t="shared" si="83"/>
        <v>8834.246118</v>
      </c>
      <c r="AA33" s="85"/>
      <c r="AB33" s="85" t="str">
        <f t="shared" ref="AB33:AE33" si="84">SUM(AB3:AB32)</f>
        <v>127001.3607</v>
      </c>
      <c r="AC33" s="85" t="str">
        <f t="shared" si="84"/>
        <v>21342.84611</v>
      </c>
      <c r="AD33" s="85" t="str">
        <f t="shared" si="84"/>
        <v>0</v>
      </c>
      <c r="AE33" s="85" t="str">
        <f t="shared" si="84"/>
        <v>9149.385892</v>
      </c>
      <c r="AF33" s="85"/>
      <c r="AG33" s="85" t="str">
        <f t="shared" ref="AG33:AJ33" si="85">SUM(AG3:AG32)</f>
        <v>124706.5873</v>
      </c>
      <c r="AH33" s="85" t="str">
        <f t="shared" si="85"/>
        <v>20957.20462</v>
      </c>
      <c r="AI33" s="85" t="str">
        <f t="shared" si="85"/>
        <v>0</v>
      </c>
      <c r="AJ33" s="85" t="str">
        <f t="shared" si="85"/>
        <v>8984.066666</v>
      </c>
      <c r="AK33" s="85"/>
      <c r="AL33" s="85" t="str">
        <f t="shared" ref="AL33:AO33" si="86">SUM(AL3:AL32)</f>
        <v>110937.9475</v>
      </c>
      <c r="AM33" s="85" t="str">
        <f t="shared" si="86"/>
        <v>18643.35569</v>
      </c>
      <c r="AN33" s="85" t="str">
        <f t="shared" si="86"/>
        <v>0</v>
      </c>
      <c r="AO33" s="85" t="str">
        <f t="shared" si="86"/>
        <v>7992.151313</v>
      </c>
      <c r="AP33" s="85"/>
      <c r="AQ33" s="85" t="str">
        <f t="shared" ref="AQ33:AT33" si="87">SUM(AQ3:AQ32)</f>
        <v>75225.53774</v>
      </c>
      <c r="AR33" s="85" t="str">
        <f t="shared" si="87"/>
        <v>12641.81003</v>
      </c>
      <c r="AS33" s="85" t="str">
        <f t="shared" si="87"/>
        <v>0</v>
      </c>
      <c r="AT33" s="85" t="str">
        <f t="shared" si="87"/>
        <v>5419.370864</v>
      </c>
      <c r="AU33" s="85"/>
      <c r="AV33" s="85" t="str">
        <f t="shared" ref="AV33:AX33" si="88">SUM(AV3:AV32)</f>
        <v>120525.0163</v>
      </c>
      <c r="AW33" s="85" t="str">
        <f t="shared" si="88"/>
        <v>0</v>
      </c>
      <c r="AX33" s="85" t="str">
        <f t="shared" si="88"/>
        <v>51667.42423</v>
      </c>
      <c r="AZ33" s="78"/>
      <c r="BA33" s="78"/>
      <c r="BB33" s="78"/>
      <c r="BC33" s="78"/>
    </row>
    <row r="34">
      <c r="A34" s="87"/>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c r="AP34" s="78"/>
      <c r="AQ34" s="78"/>
      <c r="AR34" s="78"/>
      <c r="AS34" s="78"/>
      <c r="AT34" s="78"/>
      <c r="AU34" s="78"/>
      <c r="AV34" s="78"/>
      <c r="AW34" s="78"/>
      <c r="AX34" s="78"/>
      <c r="AY34" s="78"/>
      <c r="AZ34" s="78"/>
      <c r="BA34" s="78"/>
      <c r="BB34" s="78"/>
      <c r="BC34" s="78"/>
    </row>
    <row r="35">
      <c r="A35" s="74" t="s">
        <v>2</v>
      </c>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row>
    <row r="36">
      <c r="A36" s="88" t="s">
        <v>164</v>
      </c>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row>
    <row r="37">
      <c r="A37" s="89" t="s">
        <v>165</v>
      </c>
      <c r="B37" s="78"/>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row>
    <row r="38">
      <c r="A38" s="90" t="s">
        <v>170</v>
      </c>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row>
    <row r="39">
      <c r="A39" s="89" t="s">
        <v>173</v>
      </c>
      <c r="B39" s="78"/>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row>
    <row r="40">
      <c r="A40" s="89" t="s">
        <v>177</v>
      </c>
      <c r="B40" s="78"/>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row>
    <row r="41">
      <c r="A41" s="89" t="s">
        <v>181</v>
      </c>
      <c r="B41" s="78"/>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row>
    <row r="42">
      <c r="A42" s="89" t="s">
        <v>619</v>
      </c>
      <c r="B42" s="78"/>
      <c r="C42" s="78"/>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row>
    <row r="43">
      <c r="A43" s="87" t="s">
        <v>620</v>
      </c>
      <c r="B43" s="78"/>
      <c r="C43" s="78"/>
      <c r="D43" s="78"/>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row>
    <row r="44">
      <c r="A44" s="87" t="s">
        <v>621</v>
      </c>
      <c r="B44" s="78"/>
      <c r="C44" s="78"/>
      <c r="D44" s="78"/>
      <c r="E44" s="78"/>
      <c r="F44" s="78"/>
      <c r="G44" s="78"/>
      <c r="H44" s="78"/>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c r="AQ44" s="78"/>
      <c r="AR44" s="78"/>
      <c r="AS44" s="78"/>
      <c r="AT44" s="78"/>
      <c r="AU44" s="78"/>
      <c r="AV44" s="78"/>
      <c r="AW44" s="78"/>
      <c r="AX44" s="78"/>
      <c r="AY44" s="78"/>
      <c r="AZ44" s="78"/>
      <c r="BA44" s="78"/>
      <c r="BB44" s="78"/>
      <c r="BC44" s="78"/>
    </row>
    <row r="45">
      <c r="A45" s="91" t="s">
        <v>622</v>
      </c>
      <c r="B45" s="78"/>
      <c r="C45" s="78"/>
      <c r="D45" s="78"/>
      <c r="E45" s="78"/>
      <c r="F45" s="78"/>
      <c r="G45" s="78"/>
      <c r="H45" s="78"/>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Q45" s="78"/>
      <c r="AR45" s="78"/>
      <c r="AS45" s="78"/>
      <c r="AT45" s="78"/>
      <c r="AU45" s="78"/>
      <c r="AV45" s="78"/>
      <c r="AW45" s="78"/>
      <c r="AX45" s="78"/>
      <c r="AY45" s="78"/>
      <c r="AZ45" s="78"/>
      <c r="BA45" s="78"/>
      <c r="BB45" s="78"/>
      <c r="BC45" s="78"/>
    </row>
    <row r="46">
      <c r="A46" s="91" t="s">
        <v>623</v>
      </c>
      <c r="B46" s="78"/>
      <c r="C46" s="78"/>
      <c r="D46" s="78"/>
      <c r="E46" s="78"/>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c r="AQ46" s="78"/>
      <c r="AR46" s="78"/>
      <c r="AS46" s="78"/>
      <c r="AT46" s="78"/>
      <c r="AU46" s="78"/>
      <c r="AV46" s="78"/>
      <c r="AW46" s="78"/>
      <c r="AX46" s="78"/>
      <c r="AY46" s="78"/>
      <c r="AZ46" s="78"/>
      <c r="BA46" s="78"/>
      <c r="BB46" s="78"/>
      <c r="BC46" s="78"/>
    </row>
    <row r="47">
      <c r="A47" s="91" t="s">
        <v>624</v>
      </c>
      <c r="B47" s="78"/>
      <c r="C47" s="78"/>
      <c r="D47" s="78"/>
      <c r="E47" s="78"/>
      <c r="F47" s="78"/>
      <c r="G47" s="78"/>
      <c r="H47" s="78"/>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c r="AQ47" s="78"/>
      <c r="AR47" s="78"/>
      <c r="AS47" s="78"/>
      <c r="AT47" s="78"/>
      <c r="AU47" s="78"/>
      <c r="AV47" s="78"/>
      <c r="AW47" s="78"/>
      <c r="AX47" s="78"/>
      <c r="AY47" s="78"/>
      <c r="AZ47" s="78"/>
      <c r="BA47" s="78"/>
      <c r="BB47" s="78"/>
      <c r="BC47" s="78"/>
    </row>
    <row r="48">
      <c r="A48" s="91" t="s">
        <v>625</v>
      </c>
      <c r="B48" s="78"/>
      <c r="C48" s="78"/>
      <c r="D48" s="78"/>
      <c r="E48" s="78"/>
      <c r="F48" s="78"/>
      <c r="G48" s="78"/>
      <c r="H48" s="78"/>
      <c r="I48" s="78"/>
      <c r="J48" s="78"/>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c r="AQ48" s="78"/>
      <c r="AR48" s="78"/>
      <c r="AS48" s="78"/>
      <c r="AT48" s="78"/>
      <c r="AU48" s="78"/>
      <c r="AV48" s="78"/>
      <c r="AW48" s="78"/>
      <c r="AX48" s="78"/>
      <c r="AY48" s="78"/>
      <c r="AZ48" s="78"/>
      <c r="BA48" s="78"/>
      <c r="BB48" s="78"/>
      <c r="BC48" s="78"/>
    </row>
    <row r="49">
      <c r="A49" s="91" t="s">
        <v>626</v>
      </c>
      <c r="B49" s="78"/>
      <c r="C49" s="78"/>
      <c r="D49" s="78"/>
      <c r="E49" s="78"/>
      <c r="F49" s="78"/>
      <c r="G49" s="78"/>
      <c r="H49" s="78"/>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c r="AQ49" s="78"/>
      <c r="AR49" s="78"/>
      <c r="AS49" s="78"/>
      <c r="AT49" s="78"/>
      <c r="AU49" s="78"/>
      <c r="AV49" s="78"/>
      <c r="AW49" s="78"/>
      <c r="AX49" s="78"/>
      <c r="AY49" s="78"/>
      <c r="AZ49" s="78"/>
      <c r="BA49" s="78"/>
      <c r="BB49" s="78"/>
      <c r="BC49" s="78"/>
    </row>
    <row r="50">
      <c r="A50" s="91" t="s">
        <v>627</v>
      </c>
      <c r="B50" s="78"/>
      <c r="C50" s="78"/>
      <c r="D50" s="78"/>
      <c r="E50" s="78"/>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c r="AQ50" s="78"/>
      <c r="AR50" s="78"/>
      <c r="AS50" s="78"/>
      <c r="AT50" s="78"/>
      <c r="AU50" s="78"/>
      <c r="AV50" s="78"/>
      <c r="AW50" s="78"/>
      <c r="AX50" s="78"/>
      <c r="AY50" s="78"/>
      <c r="AZ50" s="78"/>
      <c r="BA50" s="78"/>
      <c r="BB50" s="78"/>
      <c r="BC50" s="78"/>
    </row>
    <row r="51">
      <c r="A51" s="91" t="s">
        <v>628</v>
      </c>
      <c r="B51" s="78"/>
      <c r="C51" s="78"/>
      <c r="D51" s="78"/>
      <c r="E51" s="78"/>
      <c r="F51" s="78"/>
      <c r="G51" s="78"/>
      <c r="H51" s="78"/>
      <c r="I51" s="78"/>
      <c r="J51" s="78"/>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c r="AQ51" s="78"/>
      <c r="AR51" s="78"/>
      <c r="AS51" s="78"/>
      <c r="AT51" s="78"/>
      <c r="AU51" s="78"/>
      <c r="AV51" s="78"/>
      <c r="AW51" s="78"/>
      <c r="AX51" s="78"/>
      <c r="AY51" s="78"/>
      <c r="AZ51" s="78"/>
      <c r="BA51" s="78"/>
      <c r="BB51" s="78"/>
      <c r="BC51" s="78"/>
    </row>
    <row r="52">
      <c r="A52" s="91" t="s">
        <v>629</v>
      </c>
      <c r="B52" s="78"/>
      <c r="C52" s="78"/>
      <c r="D52" s="78"/>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c r="AQ52" s="78"/>
      <c r="AR52" s="78"/>
      <c r="AS52" s="78"/>
      <c r="AT52" s="78"/>
      <c r="AU52" s="78"/>
      <c r="AV52" s="78"/>
      <c r="AW52" s="78"/>
      <c r="AX52" s="78"/>
      <c r="AY52" s="78"/>
      <c r="AZ52" s="78"/>
      <c r="BA52" s="78"/>
      <c r="BB52" s="78"/>
      <c r="BC52" s="78"/>
    </row>
    <row r="53">
      <c r="A53" s="89" t="s">
        <v>216</v>
      </c>
      <c r="B53" s="78"/>
      <c r="C53" s="78"/>
      <c r="D53" s="78"/>
      <c r="E53" s="78"/>
      <c r="F53" s="78"/>
      <c r="G53" s="78"/>
      <c r="H53" s="78"/>
      <c r="I53" s="78"/>
      <c r="J53" s="78"/>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8"/>
      <c r="AR53" s="78"/>
      <c r="AS53" s="78"/>
      <c r="AT53" s="78"/>
      <c r="AU53" s="78"/>
      <c r="AV53" s="78"/>
      <c r="AW53" s="78"/>
      <c r="AX53" s="78"/>
      <c r="AY53" s="78"/>
      <c r="AZ53" s="78"/>
      <c r="BA53" s="78"/>
      <c r="BB53" s="78"/>
      <c r="BC53" s="78"/>
    </row>
    <row r="54">
      <c r="A54" s="89" t="s">
        <v>221</v>
      </c>
      <c r="B54" s="78"/>
      <c r="C54" s="78"/>
      <c r="D54" s="78"/>
      <c r="E54" s="78"/>
      <c r="F54" s="78"/>
      <c r="G54" s="78"/>
      <c r="H54" s="78"/>
      <c r="I54" s="78"/>
      <c r="J54" s="78"/>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78"/>
      <c r="AR54" s="78"/>
      <c r="AS54" s="78"/>
      <c r="AT54" s="78"/>
      <c r="AU54" s="78"/>
      <c r="AV54" s="78"/>
      <c r="AW54" s="78"/>
      <c r="AX54" s="78"/>
      <c r="AY54" s="78"/>
      <c r="AZ54" s="78"/>
      <c r="BA54" s="78"/>
      <c r="BB54" s="78"/>
      <c r="BC54" s="78"/>
    </row>
    <row r="55">
      <c r="A55" s="90" t="s">
        <v>630</v>
      </c>
      <c r="B55" s="78"/>
      <c r="C55" s="78"/>
      <c r="D55" s="78"/>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c r="AQ55" s="78"/>
      <c r="AR55" s="78"/>
      <c r="AS55" s="78"/>
      <c r="AT55" s="78"/>
      <c r="AU55" s="78"/>
      <c r="AV55" s="78"/>
      <c r="AW55" s="78"/>
      <c r="AX55" s="78"/>
      <c r="AY55" s="78"/>
      <c r="AZ55" s="78"/>
      <c r="BA55" s="78"/>
      <c r="BB55" s="78"/>
      <c r="BC55" s="78"/>
    </row>
    <row r="56">
      <c r="A56" s="89" t="s">
        <v>631</v>
      </c>
      <c r="B56" s="78"/>
      <c r="C56" s="78"/>
      <c r="D56" s="78"/>
      <c r="E56" s="78"/>
      <c r="F56" s="78"/>
      <c r="G56" s="78"/>
      <c r="H56" s="78"/>
      <c r="I56" s="78"/>
      <c r="J56" s="78"/>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c r="AQ56" s="78"/>
      <c r="AR56" s="78"/>
      <c r="AS56" s="78"/>
      <c r="AT56" s="78"/>
      <c r="AU56" s="78"/>
      <c r="AV56" s="78"/>
      <c r="AW56" s="78"/>
      <c r="AX56" s="78"/>
      <c r="AY56" s="78"/>
      <c r="AZ56" s="78"/>
      <c r="BA56" s="78"/>
      <c r="BB56" s="78"/>
      <c r="BC56" s="78"/>
    </row>
    <row r="57">
      <c r="A57" s="90" t="s">
        <v>632</v>
      </c>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c r="AQ57" s="78"/>
      <c r="AR57" s="78"/>
      <c r="AS57" s="78"/>
      <c r="AT57" s="78"/>
      <c r="AU57" s="78"/>
      <c r="AV57" s="78"/>
      <c r="AW57" s="78"/>
      <c r="AX57" s="78"/>
      <c r="AY57" s="78"/>
      <c r="AZ57" s="78"/>
      <c r="BA57" s="78"/>
      <c r="BB57" s="78"/>
      <c r="BC57" s="78"/>
    </row>
    <row r="58">
      <c r="A58" s="89" t="s">
        <v>633</v>
      </c>
      <c r="B58" s="78"/>
      <c r="C58" s="78"/>
      <c r="D58" s="78"/>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c r="AV58" s="78"/>
      <c r="AW58" s="78"/>
      <c r="AX58" s="78"/>
      <c r="AY58" s="78"/>
      <c r="AZ58" s="78"/>
      <c r="BA58" s="78"/>
      <c r="BB58" s="78"/>
      <c r="BC58" s="78"/>
    </row>
    <row r="59">
      <c r="A59" s="91" t="s">
        <v>634</v>
      </c>
      <c r="B59" s="78"/>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c r="AQ59" s="78"/>
      <c r="AR59" s="78"/>
      <c r="AS59" s="78"/>
      <c r="AT59" s="78"/>
      <c r="AU59" s="78"/>
      <c r="AV59" s="78"/>
      <c r="AW59" s="78"/>
      <c r="AX59" s="78"/>
      <c r="AY59" s="78"/>
      <c r="AZ59" s="78"/>
      <c r="BA59" s="78"/>
      <c r="BB59" s="78"/>
      <c r="BC59" s="78"/>
    </row>
    <row r="60">
      <c r="A60" s="92" t="s">
        <v>618</v>
      </c>
      <c r="B60" s="93"/>
      <c r="C60" s="93"/>
      <c r="D60" s="93"/>
      <c r="E60" s="93"/>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c r="AE60" s="93"/>
      <c r="AF60" s="93"/>
      <c r="AG60" s="93"/>
      <c r="AH60" s="93"/>
      <c r="AI60" s="93"/>
      <c r="AJ60" s="93"/>
      <c r="AK60" s="93"/>
      <c r="AL60" s="93"/>
      <c r="AM60" s="93"/>
      <c r="AN60" s="93"/>
      <c r="AO60" s="93"/>
      <c r="AP60" s="93"/>
      <c r="AQ60" s="93"/>
      <c r="AR60" s="93"/>
      <c r="AS60" s="93"/>
      <c r="AT60" s="93"/>
      <c r="AU60" s="93"/>
      <c r="AV60" s="93"/>
      <c r="AW60" s="93"/>
      <c r="AX60" s="93"/>
      <c r="AY60" s="93"/>
      <c r="AZ60" s="93"/>
      <c r="BA60" s="93"/>
      <c r="BB60" s="93"/>
      <c r="BC60" s="93"/>
    </row>
    <row r="61">
      <c r="A61" s="94"/>
      <c r="B61" s="78"/>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c r="AW61" s="78"/>
      <c r="AX61" s="78"/>
      <c r="AY61" s="78"/>
      <c r="AZ61" s="78"/>
      <c r="BA61" s="78"/>
      <c r="BB61" s="78"/>
      <c r="BC61" s="78"/>
    </row>
    <row r="62">
      <c r="A62" s="74" t="s">
        <v>2</v>
      </c>
      <c r="B62" s="78"/>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c r="AQ62" s="78"/>
      <c r="AR62" s="78"/>
      <c r="AS62" s="78"/>
      <c r="AT62" s="78"/>
      <c r="AU62" s="78"/>
      <c r="AV62" s="78"/>
      <c r="AW62" s="78"/>
      <c r="AX62" s="78"/>
      <c r="AY62" s="78"/>
      <c r="AZ62" s="78"/>
      <c r="BA62" s="78"/>
      <c r="BB62" s="78"/>
      <c r="BC62" s="78"/>
    </row>
    <row r="63">
      <c r="A63" s="88" t="s">
        <v>247</v>
      </c>
      <c r="B63" s="78"/>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c r="AQ63" s="78"/>
      <c r="AR63" s="78"/>
      <c r="AS63" s="78"/>
      <c r="AT63" s="78"/>
      <c r="AU63" s="78"/>
      <c r="AV63" s="78"/>
      <c r="AW63" s="78"/>
      <c r="AX63" s="78"/>
      <c r="AY63" s="78"/>
      <c r="AZ63" s="78"/>
      <c r="BA63" s="78"/>
      <c r="BB63" s="78"/>
      <c r="BC63" s="78"/>
    </row>
    <row r="64">
      <c r="A64" s="95" t="s">
        <v>635</v>
      </c>
      <c r="B64" s="78"/>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78"/>
      <c r="AY64" s="78"/>
      <c r="AZ64" s="96" t="s">
        <v>636</v>
      </c>
      <c r="BA64" s="96" t="s">
        <v>637</v>
      </c>
      <c r="BB64" s="96" t="s">
        <v>638</v>
      </c>
      <c r="BC64" s="78"/>
    </row>
    <row r="65">
      <c r="A65" s="97" t="s">
        <v>248</v>
      </c>
      <c r="B65" s="79"/>
      <c r="C65" s="79"/>
      <c r="D65" s="79"/>
      <c r="E65" s="79"/>
      <c r="F65" s="79"/>
      <c r="G65" s="79"/>
      <c r="H65" s="79"/>
      <c r="I65" s="79" t="str">
        <f>'Data - districts in tons'!I64/1000</f>
        <v>24</v>
      </c>
      <c r="J65" s="79" t="str">
        <f>'Data - districts in tons'!J64/1000</f>
        <v>3</v>
      </c>
      <c r="K65" s="79" t="str">
        <f>'Data - districts in tons'!K64/1000</f>
        <v>1</v>
      </c>
      <c r="L65" s="79"/>
      <c r="M65" s="79"/>
      <c r="N65" s="79" t="str">
        <f>'Data - districts in tons'!N64/1000</f>
        <v>17</v>
      </c>
      <c r="O65" s="79" t="str">
        <f>'Data - districts in tons'!O64/1000</f>
        <v>2</v>
      </c>
      <c r="P65" s="79" t="str">
        <f>'Data - districts in tons'!P64/1000</f>
        <v>0</v>
      </c>
      <c r="Q65" s="79"/>
      <c r="R65" s="79"/>
      <c r="S65" s="79" t="str">
        <f>'Data - districts in tons'!S64/1000</f>
        <v>2</v>
      </c>
      <c r="T65" s="79" t="str">
        <f>'Data - districts in tons'!T64/1000</f>
        <v>0</v>
      </c>
      <c r="U65" s="79" t="str">
        <f>'Data - districts in tons'!U64/1000</f>
        <v>0</v>
      </c>
      <c r="V65" s="79"/>
      <c r="W65" s="79"/>
      <c r="X65" s="79" t="str">
        <f>'Data - districts in tons'!X64/1000</f>
        <v>26</v>
      </c>
      <c r="Y65" s="79" t="str">
        <f>'Data - districts in tons'!Y64/1000</f>
        <v>4</v>
      </c>
      <c r="Z65" s="79" t="str">
        <f>'Data - districts in tons'!Z64/1000</f>
        <v>1</v>
      </c>
      <c r="AA65" s="79"/>
      <c r="AB65" s="79"/>
      <c r="AC65" s="79" t="str">
        <f>'Data - districts in tons'!AC64/1000</f>
        <v>36</v>
      </c>
      <c r="AD65" s="79" t="str">
        <f>'Data - districts in tons'!AD64/1000</f>
        <v>5</v>
      </c>
      <c r="AE65" s="79" t="str">
        <f>'Data - districts in tons'!AE64/1000</f>
        <v>1</v>
      </c>
      <c r="AF65" s="79"/>
      <c r="AG65" s="79"/>
      <c r="AH65" s="79" t="str">
        <f>'Data - districts in tons'!AH64/1000</f>
        <v>36</v>
      </c>
      <c r="AI65" s="79" t="str">
        <f>'Data - districts in tons'!AI64/1000</f>
        <v>5</v>
      </c>
      <c r="AJ65" s="79" t="str">
        <f>'Data - districts in tons'!AJ64/1000</f>
        <v>1</v>
      </c>
      <c r="AK65" s="79"/>
      <c r="AL65" s="79"/>
      <c r="AM65" s="79" t="str">
        <f>'Data - districts in tons'!AM64/1000</f>
        <v>28</v>
      </c>
      <c r="AN65" s="79" t="str">
        <f>'Data - districts in tons'!AN64/1000</f>
        <v>4</v>
      </c>
      <c r="AO65" s="79" t="str">
        <f>'Data - districts in tons'!AO64/1000</f>
        <v>1</v>
      </c>
      <c r="AP65" s="79"/>
      <c r="AQ65" s="79"/>
      <c r="AR65" s="79" t="str">
        <f>'Data - districts in tons'!AR64/1000</f>
        <v>23</v>
      </c>
      <c r="AS65" s="79" t="str">
        <f>'Data - districts in tons'!AS64/1000</f>
        <v>3</v>
      </c>
      <c r="AT65" s="79" t="str">
        <f>'Data - districts in tons'!AT64/1000</f>
        <v>1</v>
      </c>
      <c r="AU65" s="79"/>
      <c r="AV65" s="79" t="str">
        <f>'Data - districts in tons'!AV64/1000</f>
        <v>192</v>
      </c>
      <c r="AW65" s="79" t="str">
        <f>'Data - districts in tons'!AW64/1000</f>
        <v>27</v>
      </c>
      <c r="AX65" s="79" t="str">
        <f>'Data - districts in tons'!AX64/1000</f>
        <v>5</v>
      </c>
      <c r="AY65" s="97" t="s">
        <v>248</v>
      </c>
      <c r="AZ65" s="79">
        <v>192100.44</v>
      </c>
      <c r="BA65" s="79">
        <v>27214.229</v>
      </c>
      <c r="BB65" s="79">
        <v>5031.202</v>
      </c>
      <c r="BC65" s="79"/>
    </row>
    <row r="66">
      <c r="A66" s="98" t="s">
        <v>256</v>
      </c>
      <c r="B66" s="79"/>
      <c r="C66" s="79"/>
      <c r="D66" s="79"/>
      <c r="E66" s="79"/>
      <c r="F66" s="79"/>
      <c r="G66" s="79"/>
      <c r="H66" s="79"/>
      <c r="I66" s="79" t="str">
        <f>'Data - districts in tons'!I65/1000</f>
        <v>0</v>
      </c>
      <c r="J66" s="79" t="str">
        <f>'Data - districts in tons'!J65/1000</f>
        <v>0</v>
      </c>
      <c r="K66" s="79" t="str">
        <f>'Data - districts in tons'!K65/1000</f>
        <v>0</v>
      </c>
      <c r="L66" s="79"/>
      <c r="M66" s="79"/>
      <c r="N66" s="79" t="str">
        <f>'Data - districts in tons'!N65/1000</f>
        <v>0</v>
      </c>
      <c r="O66" s="79" t="str">
        <f>'Data - districts in tons'!O65/1000</f>
        <v>0</v>
      </c>
      <c r="P66" s="79" t="str">
        <f>'Data - districts in tons'!P65/1000</f>
        <v>0</v>
      </c>
      <c r="Q66" s="79"/>
      <c r="R66" s="79"/>
      <c r="S66" s="79" t="str">
        <f>'Data - districts in tons'!S65/1000</f>
        <v>0</v>
      </c>
      <c r="T66" s="79" t="str">
        <f>'Data - districts in tons'!T65/1000</f>
        <v>0</v>
      </c>
      <c r="U66" s="79" t="str">
        <f>'Data - districts in tons'!U65/1000</f>
        <v>0</v>
      </c>
      <c r="V66" s="79"/>
      <c r="W66" s="79"/>
      <c r="X66" s="79" t="str">
        <f>'Data - districts in tons'!X65/1000</f>
        <v>0</v>
      </c>
      <c r="Y66" s="79" t="str">
        <f>'Data - districts in tons'!Y65/1000</f>
        <v>0</v>
      </c>
      <c r="Z66" s="79" t="str">
        <f>'Data - districts in tons'!Z65/1000</f>
        <v>0</v>
      </c>
      <c r="AA66" s="79"/>
      <c r="AB66" s="79"/>
      <c r="AC66" s="79" t="str">
        <f>'Data - districts in tons'!AC65/1000</f>
        <v>0</v>
      </c>
      <c r="AD66" s="79" t="str">
        <f>'Data - districts in tons'!AD65/1000</f>
        <v>0</v>
      </c>
      <c r="AE66" s="79" t="str">
        <f>'Data - districts in tons'!AE65/1000</f>
        <v>0</v>
      </c>
      <c r="AF66" s="79"/>
      <c r="AG66" s="79"/>
      <c r="AH66" s="79" t="str">
        <f>'Data - districts in tons'!AH65/1000</f>
        <v>0</v>
      </c>
      <c r="AI66" s="79" t="str">
        <f>'Data - districts in tons'!AI65/1000</f>
        <v>0</v>
      </c>
      <c r="AJ66" s="79" t="str">
        <f>'Data - districts in tons'!AJ65/1000</f>
        <v>0</v>
      </c>
      <c r="AK66" s="79"/>
      <c r="AL66" s="79"/>
      <c r="AM66" s="79" t="str">
        <f>'Data - districts in tons'!AM65/1000</f>
        <v>0</v>
      </c>
      <c r="AN66" s="79" t="str">
        <f>'Data - districts in tons'!AN65/1000</f>
        <v>0</v>
      </c>
      <c r="AO66" s="79" t="str">
        <f>'Data - districts in tons'!AO65/1000</f>
        <v>0</v>
      </c>
      <c r="AP66" s="79"/>
      <c r="AQ66" s="79"/>
      <c r="AR66" s="79" t="str">
        <f>'Data - districts in tons'!AR65/1000</f>
        <v>0</v>
      </c>
      <c r="AS66" s="79" t="str">
        <f>'Data - districts in tons'!AS65/1000</f>
        <v>0</v>
      </c>
      <c r="AT66" s="79" t="str">
        <f>'Data - districts in tons'!AT65/1000</f>
        <v>0</v>
      </c>
      <c r="AU66" s="79"/>
      <c r="AV66" s="79" t="str">
        <f>'Data - districts in tons'!AV65/1000</f>
        <v>2</v>
      </c>
      <c r="AW66" s="79" t="str">
        <f>'Data - districts in tons'!AW65/1000</f>
        <v>0</v>
      </c>
      <c r="AX66" s="79" t="str">
        <f>'Data - districts in tons'!AX65/1000</f>
        <v>0</v>
      </c>
      <c r="AY66" s="98" t="s">
        <v>256</v>
      </c>
      <c r="AZ66" s="79">
        <v>1996.68</v>
      </c>
      <c r="BA66" s="79">
        <v>282.863</v>
      </c>
      <c r="BB66" s="79">
        <v>52.294</v>
      </c>
      <c r="BC66" s="79"/>
    </row>
    <row r="67">
      <c r="A67" s="99" t="s">
        <v>259</v>
      </c>
      <c r="B67" s="79"/>
      <c r="C67" s="79"/>
      <c r="D67" s="79"/>
      <c r="E67" s="79"/>
      <c r="F67" s="79"/>
      <c r="G67" s="79"/>
      <c r="H67" s="79"/>
      <c r="I67" s="79" t="str">
        <f>'Data - districts in tons'!I66/1000</f>
        <v>2</v>
      </c>
      <c r="J67" s="79" t="str">
        <f>'Data - districts in tons'!J66/1000</f>
        <v>0</v>
      </c>
      <c r="K67" s="79" t="str">
        <f>'Data - districts in tons'!K66/1000</f>
        <v>0</v>
      </c>
      <c r="L67" s="79"/>
      <c r="M67" s="79"/>
      <c r="N67" s="79" t="str">
        <f>'Data - districts in tons'!N66/1000</f>
        <v>2</v>
      </c>
      <c r="O67" s="79" t="str">
        <f>'Data - districts in tons'!O66/1000</f>
        <v>0</v>
      </c>
      <c r="P67" s="79" t="str">
        <f>'Data - districts in tons'!P66/1000</f>
        <v>0</v>
      </c>
      <c r="Q67" s="79"/>
      <c r="R67" s="79"/>
      <c r="S67" s="79" t="str">
        <f>'Data - districts in tons'!S66/1000</f>
        <v>1</v>
      </c>
      <c r="T67" s="79" t="str">
        <f>'Data - districts in tons'!T66/1000</f>
        <v>0</v>
      </c>
      <c r="U67" s="79" t="str">
        <f>'Data - districts in tons'!U66/1000</f>
        <v>0</v>
      </c>
      <c r="V67" s="79"/>
      <c r="W67" s="79"/>
      <c r="X67" s="79" t="str">
        <f>'Data - districts in tons'!X66/1000</f>
        <v>2</v>
      </c>
      <c r="Y67" s="79" t="str">
        <f>'Data - districts in tons'!Y66/1000</f>
        <v>0</v>
      </c>
      <c r="Z67" s="79" t="str">
        <f>'Data - districts in tons'!Z66/1000</f>
        <v>0</v>
      </c>
      <c r="AA67" s="79"/>
      <c r="AB67" s="79"/>
      <c r="AC67" s="79" t="str">
        <f>'Data - districts in tons'!AC66/1000</f>
        <v>3</v>
      </c>
      <c r="AD67" s="79" t="str">
        <f>'Data - districts in tons'!AD66/1000</f>
        <v>0</v>
      </c>
      <c r="AE67" s="79" t="str">
        <f>'Data - districts in tons'!AE66/1000</f>
        <v>0</v>
      </c>
      <c r="AF67" s="79"/>
      <c r="AG67" s="79"/>
      <c r="AH67" s="79" t="str">
        <f>'Data - districts in tons'!AH66/1000</f>
        <v>2</v>
      </c>
      <c r="AI67" s="79" t="str">
        <f>'Data - districts in tons'!AI66/1000</f>
        <v>0</v>
      </c>
      <c r="AJ67" s="79" t="str">
        <f>'Data - districts in tons'!AJ66/1000</f>
        <v>0</v>
      </c>
      <c r="AK67" s="79"/>
      <c r="AL67" s="79"/>
      <c r="AM67" s="79" t="str">
        <f>'Data - districts in tons'!AM66/1000</f>
        <v>2</v>
      </c>
      <c r="AN67" s="79" t="str">
        <f>'Data - districts in tons'!AN66/1000</f>
        <v>0</v>
      </c>
      <c r="AO67" s="79" t="str">
        <f>'Data - districts in tons'!AO66/1000</f>
        <v>0</v>
      </c>
      <c r="AP67" s="79"/>
      <c r="AQ67" s="79"/>
      <c r="AR67" s="79" t="str">
        <f>'Data - districts in tons'!AR66/1000</f>
        <v>2</v>
      </c>
      <c r="AS67" s="79" t="str">
        <f>'Data - districts in tons'!AS66/1000</f>
        <v>0</v>
      </c>
      <c r="AT67" s="79" t="str">
        <f>'Data - districts in tons'!AT66/1000</f>
        <v>0</v>
      </c>
      <c r="AU67" s="79"/>
      <c r="AV67" s="79" t="str">
        <f>'Data - districts in tons'!AV66/1000</f>
        <v>17</v>
      </c>
      <c r="AW67" s="79" t="str">
        <f>'Data - districts in tons'!AW66/1000</f>
        <v>2</v>
      </c>
      <c r="AX67" s="79" t="str">
        <f>'Data - districts in tons'!AX66/1000</f>
        <v>0</v>
      </c>
      <c r="AY67" s="99" t="s">
        <v>259</v>
      </c>
      <c r="AZ67" s="79">
        <v>16807.56</v>
      </c>
      <c r="BA67" s="79">
        <v>2481.116</v>
      </c>
      <c r="BB67" s="79">
        <v>440.198</v>
      </c>
      <c r="BC67" s="79"/>
    </row>
    <row r="68">
      <c r="A68" s="97" t="s">
        <v>263</v>
      </c>
      <c r="B68" s="79"/>
      <c r="C68" s="79"/>
      <c r="D68" s="79"/>
      <c r="E68" s="79"/>
      <c r="F68" s="79"/>
      <c r="G68" s="79"/>
      <c r="H68" s="79"/>
      <c r="I68" s="79" t="str">
        <f>'Data - districts in tons'!I67/1000</f>
        <v>1</v>
      </c>
      <c r="J68" s="79" t="str">
        <f>'Data - districts in tons'!J67/1000</f>
        <v>0</v>
      </c>
      <c r="K68" s="79" t="str">
        <f>'Data - districts in tons'!K67/1000</f>
        <v>0</v>
      </c>
      <c r="L68" s="79"/>
      <c r="M68" s="79"/>
      <c r="N68" s="79" t="str">
        <f>'Data - districts in tons'!N67/1000</f>
        <v>1</v>
      </c>
      <c r="O68" s="79" t="str">
        <f>'Data - districts in tons'!O67/1000</f>
        <v>0</v>
      </c>
      <c r="P68" s="79" t="str">
        <f>'Data - districts in tons'!P67/1000</f>
        <v>0</v>
      </c>
      <c r="Q68" s="79"/>
      <c r="R68" s="79"/>
      <c r="S68" s="79" t="str">
        <f>'Data - districts in tons'!S67/1000</f>
        <v>3</v>
      </c>
      <c r="T68" s="79" t="str">
        <f>'Data - districts in tons'!T67/1000</f>
        <v>0</v>
      </c>
      <c r="U68" s="79" t="str">
        <f>'Data - districts in tons'!U67/1000</f>
        <v>0</v>
      </c>
      <c r="V68" s="79"/>
      <c r="W68" s="79"/>
      <c r="X68" s="79" t="str">
        <f>'Data - districts in tons'!X67/1000</f>
        <v>1</v>
      </c>
      <c r="Y68" s="79" t="str">
        <f>'Data - districts in tons'!Y67/1000</f>
        <v>0</v>
      </c>
      <c r="Z68" s="79" t="str">
        <f>'Data - districts in tons'!Z67/1000</f>
        <v>0</v>
      </c>
      <c r="AA68" s="79"/>
      <c r="AB68" s="79"/>
      <c r="AC68" s="79" t="str">
        <f>'Data - districts in tons'!AC67/1000</f>
        <v>1</v>
      </c>
      <c r="AD68" s="79" t="str">
        <f>'Data - districts in tons'!AD67/1000</f>
        <v>0</v>
      </c>
      <c r="AE68" s="79" t="str">
        <f>'Data - districts in tons'!AE67/1000</f>
        <v>0</v>
      </c>
      <c r="AF68" s="79"/>
      <c r="AG68" s="79"/>
      <c r="AH68" s="79" t="str">
        <f>'Data - districts in tons'!AH67/1000</f>
        <v>0</v>
      </c>
      <c r="AI68" s="79" t="str">
        <f>'Data - districts in tons'!AI67/1000</f>
        <v>0</v>
      </c>
      <c r="AJ68" s="79" t="str">
        <f>'Data - districts in tons'!AJ67/1000</f>
        <v>0</v>
      </c>
      <c r="AK68" s="79"/>
      <c r="AL68" s="79"/>
      <c r="AM68" s="79" t="str">
        <f>'Data - districts in tons'!AM67/1000</f>
        <v>1</v>
      </c>
      <c r="AN68" s="79" t="str">
        <f>'Data - districts in tons'!AN67/1000</f>
        <v>0</v>
      </c>
      <c r="AO68" s="79" t="str">
        <f>'Data - districts in tons'!AO67/1000</f>
        <v>0</v>
      </c>
      <c r="AP68" s="79"/>
      <c r="AQ68" s="79"/>
      <c r="AR68" s="79" t="str">
        <f>'Data - districts in tons'!AR67/1000</f>
        <v>1</v>
      </c>
      <c r="AS68" s="79" t="str">
        <f>'Data - districts in tons'!AS67/1000</f>
        <v>0</v>
      </c>
      <c r="AT68" s="79" t="str">
        <f>'Data - districts in tons'!AT67/1000</f>
        <v>0</v>
      </c>
      <c r="AU68" s="79"/>
      <c r="AV68" s="79" t="str">
        <f>'Data - districts in tons'!AV67/1000</f>
        <v>9</v>
      </c>
      <c r="AW68" s="79" t="str">
        <f>'Data - districts in tons'!AW67/1000</f>
        <v>0</v>
      </c>
      <c r="AX68" s="79" t="str">
        <f>'Data - districts in tons'!AX67/1000</f>
        <v>0</v>
      </c>
      <c r="AY68" s="97" t="s">
        <v>263</v>
      </c>
      <c r="AZ68" s="79">
        <v>8548.8</v>
      </c>
      <c r="BA68" s="79">
        <v>287.7</v>
      </c>
      <c r="BB68" s="79">
        <v>21.92</v>
      </c>
      <c r="BC68" s="79"/>
    </row>
    <row r="69">
      <c r="A69" s="98" t="s">
        <v>270</v>
      </c>
      <c r="B69" s="79"/>
      <c r="C69" s="79"/>
      <c r="D69" s="79"/>
      <c r="E69" s="79"/>
      <c r="F69" s="79"/>
      <c r="G69" s="79"/>
      <c r="H69" s="79"/>
      <c r="I69" s="79" t="str">
        <f>'Data - districts in tons'!I68/1000</f>
        <v>0</v>
      </c>
      <c r="J69" s="79" t="str">
        <f>'Data - districts in tons'!J68/1000</f>
        <v>0</v>
      </c>
      <c r="K69" s="79" t="str">
        <f>'Data - districts in tons'!K68/1000</f>
        <v>0</v>
      </c>
      <c r="L69" s="79"/>
      <c r="M69" s="79"/>
      <c r="N69" s="79" t="str">
        <f>'Data - districts in tons'!N68/1000</f>
        <v>0</v>
      </c>
      <c r="O69" s="79" t="str">
        <f>'Data - districts in tons'!O68/1000</f>
        <v>0</v>
      </c>
      <c r="P69" s="79" t="str">
        <f>'Data - districts in tons'!P68/1000</f>
        <v>0</v>
      </c>
      <c r="Q69" s="79"/>
      <c r="R69" s="79"/>
      <c r="S69" s="79" t="str">
        <f>'Data - districts in tons'!S68/1000</f>
        <v>0</v>
      </c>
      <c r="T69" s="79" t="str">
        <f>'Data - districts in tons'!T68/1000</f>
        <v>0</v>
      </c>
      <c r="U69" s="79" t="str">
        <f>'Data - districts in tons'!U68/1000</f>
        <v>0</v>
      </c>
      <c r="V69" s="79"/>
      <c r="W69" s="79"/>
      <c r="X69" s="79" t="str">
        <f>'Data - districts in tons'!X68/1000</f>
        <v>0</v>
      </c>
      <c r="Y69" s="79" t="str">
        <f>'Data - districts in tons'!Y68/1000</f>
        <v>0</v>
      </c>
      <c r="Z69" s="79" t="str">
        <f>'Data - districts in tons'!Z68/1000</f>
        <v>0</v>
      </c>
      <c r="AA69" s="79"/>
      <c r="AB69" s="79"/>
      <c r="AC69" s="79" t="str">
        <f>'Data - districts in tons'!AC68/1000</f>
        <v>0</v>
      </c>
      <c r="AD69" s="79" t="str">
        <f>'Data - districts in tons'!AD68/1000</f>
        <v>0</v>
      </c>
      <c r="AE69" s="79" t="str">
        <f>'Data - districts in tons'!AE68/1000</f>
        <v>0</v>
      </c>
      <c r="AF69" s="79"/>
      <c r="AG69" s="79"/>
      <c r="AH69" s="79" t="str">
        <f>'Data - districts in tons'!AH68/1000</f>
        <v>0</v>
      </c>
      <c r="AI69" s="79" t="str">
        <f>'Data - districts in tons'!AI68/1000</f>
        <v>0</v>
      </c>
      <c r="AJ69" s="79" t="str">
        <f>'Data - districts in tons'!AJ68/1000</f>
        <v>0</v>
      </c>
      <c r="AK69" s="79"/>
      <c r="AL69" s="79"/>
      <c r="AM69" s="79" t="str">
        <f>'Data - districts in tons'!AM68/1000</f>
        <v>0</v>
      </c>
      <c r="AN69" s="79" t="str">
        <f>'Data - districts in tons'!AN68/1000</f>
        <v>0</v>
      </c>
      <c r="AO69" s="79" t="str">
        <f>'Data - districts in tons'!AO68/1000</f>
        <v>0</v>
      </c>
      <c r="AP69" s="79"/>
      <c r="AQ69" s="79"/>
      <c r="AR69" s="79" t="str">
        <f>'Data - districts in tons'!AR68/1000</f>
        <v>0</v>
      </c>
      <c r="AS69" s="79" t="str">
        <f>'Data - districts in tons'!AS68/1000</f>
        <v>0</v>
      </c>
      <c r="AT69" s="79" t="str">
        <f>'Data - districts in tons'!AT68/1000</f>
        <v>0</v>
      </c>
      <c r="AU69" s="79"/>
      <c r="AV69" s="79" t="str">
        <f>'Data - districts in tons'!AV68/1000</f>
        <v>2</v>
      </c>
      <c r="AW69" s="79" t="str">
        <f>'Data - districts in tons'!AW68/1000</f>
        <v>1</v>
      </c>
      <c r="AX69" s="79" t="str">
        <f>'Data - districts in tons'!AX68/1000</f>
        <v>0</v>
      </c>
      <c r="AY69" s="98" t="s">
        <v>270</v>
      </c>
      <c r="AZ69" s="79">
        <v>1890.945</v>
      </c>
      <c r="BA69" s="79">
        <v>810.405</v>
      </c>
      <c r="BB69" s="79">
        <v>54.027</v>
      </c>
      <c r="BC69" s="79"/>
    </row>
    <row r="70">
      <c r="A70" s="100" t="s">
        <v>279</v>
      </c>
      <c r="B70" s="79"/>
      <c r="C70" s="79"/>
      <c r="D70" s="79"/>
      <c r="E70" s="79"/>
      <c r="F70" s="79"/>
      <c r="G70" s="79"/>
      <c r="H70" s="79"/>
      <c r="I70" s="79" t="str">
        <f>'Data - districts in tons'!I69/1000</f>
        <v>0</v>
      </c>
      <c r="J70" s="79" t="str">
        <f>'Data - districts in tons'!J69/1000</f>
        <v>0</v>
      </c>
      <c r="K70" s="79" t="str">
        <f>'Data - districts in tons'!K69/1000</f>
        <v>0</v>
      </c>
      <c r="L70" s="79"/>
      <c r="M70" s="79"/>
      <c r="N70" s="79" t="str">
        <f>'Data - districts in tons'!N69/1000</f>
        <v>0</v>
      </c>
      <c r="O70" s="79" t="str">
        <f>'Data - districts in tons'!O69/1000</f>
        <v>0</v>
      </c>
      <c r="P70" s="79" t="str">
        <f>'Data - districts in tons'!P69/1000</f>
        <v>0</v>
      </c>
      <c r="Q70" s="79"/>
      <c r="R70" s="79"/>
      <c r="S70" s="79" t="str">
        <f>'Data - districts in tons'!S69/1000</f>
        <v>0</v>
      </c>
      <c r="T70" s="79" t="str">
        <f>'Data - districts in tons'!T69/1000</f>
        <v>0</v>
      </c>
      <c r="U70" s="79" t="str">
        <f>'Data - districts in tons'!U69/1000</f>
        <v>0</v>
      </c>
      <c r="V70" s="79"/>
      <c r="W70" s="79"/>
      <c r="X70" s="79" t="str">
        <f>'Data - districts in tons'!X69/1000</f>
        <v>0</v>
      </c>
      <c r="Y70" s="79" t="str">
        <f>'Data - districts in tons'!Y69/1000</f>
        <v>0</v>
      </c>
      <c r="Z70" s="79" t="str">
        <f>'Data - districts in tons'!Z69/1000</f>
        <v>0</v>
      </c>
      <c r="AA70" s="79"/>
      <c r="AB70" s="79"/>
      <c r="AC70" s="79" t="str">
        <f>'Data - districts in tons'!AC69/1000</f>
        <v>0</v>
      </c>
      <c r="AD70" s="79" t="str">
        <f>'Data - districts in tons'!AD69/1000</f>
        <v>0</v>
      </c>
      <c r="AE70" s="79" t="str">
        <f>'Data - districts in tons'!AE69/1000</f>
        <v>0</v>
      </c>
      <c r="AF70" s="79"/>
      <c r="AG70" s="79"/>
      <c r="AH70" s="79" t="str">
        <f>'Data - districts in tons'!AH69/1000</f>
        <v>0</v>
      </c>
      <c r="AI70" s="79" t="str">
        <f>'Data - districts in tons'!AI69/1000</f>
        <v>0</v>
      </c>
      <c r="AJ70" s="79" t="str">
        <f>'Data - districts in tons'!AJ69/1000</f>
        <v>0</v>
      </c>
      <c r="AK70" s="79"/>
      <c r="AL70" s="79"/>
      <c r="AM70" s="79" t="str">
        <f>'Data - districts in tons'!AM69/1000</f>
        <v>0</v>
      </c>
      <c r="AN70" s="79" t="str">
        <f>'Data - districts in tons'!AN69/1000</f>
        <v>0</v>
      </c>
      <c r="AO70" s="79" t="str">
        <f>'Data - districts in tons'!AO69/1000</f>
        <v>0</v>
      </c>
      <c r="AP70" s="79"/>
      <c r="AQ70" s="79"/>
      <c r="AR70" s="79" t="str">
        <f>'Data - districts in tons'!AR69/1000</f>
        <v>0</v>
      </c>
      <c r="AS70" s="79" t="str">
        <f>'Data - districts in tons'!AS69/1000</f>
        <v>0</v>
      </c>
      <c r="AT70" s="79" t="str">
        <f>'Data - districts in tons'!AT69/1000</f>
        <v>0</v>
      </c>
      <c r="AU70" s="79"/>
      <c r="AV70" s="79" t="str">
        <f>'Data - districts in tons'!AV69/1000</f>
        <v>5</v>
      </c>
      <c r="AW70" s="79" t="str">
        <f>'Data - districts in tons'!AW69/1000</f>
        <v>3</v>
      </c>
      <c r="AX70" s="79" t="str">
        <f>'Data - districts in tons'!AX69/1000</f>
        <v>0</v>
      </c>
      <c r="AY70" s="100" t="s">
        <v>279</v>
      </c>
      <c r="AZ70" s="79">
        <v>1380.6</v>
      </c>
      <c r="BA70" s="79">
        <v>3337.1</v>
      </c>
      <c r="BB70" s="79">
        <v>218.4</v>
      </c>
      <c r="BC70" s="79"/>
    </row>
    <row r="71">
      <c r="A71" s="101" t="s">
        <v>287</v>
      </c>
      <c r="B71" s="79"/>
      <c r="C71" s="79"/>
      <c r="D71" s="79"/>
      <c r="E71" s="79"/>
      <c r="F71" s="79"/>
      <c r="G71" s="79"/>
      <c r="H71" s="79"/>
      <c r="I71" s="79" t="str">
        <f>'Data - districts in tons'!I70/1000</f>
        <v>0</v>
      </c>
      <c r="J71" s="79" t="str">
        <f>'Data - districts in tons'!J70/1000</f>
        <v>0</v>
      </c>
      <c r="K71" s="79" t="str">
        <f>'Data - districts in tons'!K70/1000</f>
        <v>0</v>
      </c>
      <c r="L71" s="79"/>
      <c r="M71" s="79"/>
      <c r="N71" s="79" t="str">
        <f>'Data - districts in tons'!N70/1000</f>
        <v>0</v>
      </c>
      <c r="O71" s="79" t="str">
        <f>'Data - districts in tons'!O70/1000</f>
        <v>0</v>
      </c>
      <c r="P71" s="79" t="str">
        <f>'Data - districts in tons'!P70/1000</f>
        <v>0</v>
      </c>
      <c r="Q71" s="79"/>
      <c r="R71" s="79"/>
      <c r="S71" s="79" t="str">
        <f>'Data - districts in tons'!S70/1000</f>
        <v>0</v>
      </c>
      <c r="T71" s="79" t="str">
        <f>'Data - districts in tons'!T70/1000</f>
        <v>0</v>
      </c>
      <c r="U71" s="79" t="str">
        <f>'Data - districts in tons'!U70/1000</f>
        <v>0</v>
      </c>
      <c r="V71" s="79"/>
      <c r="W71" s="79"/>
      <c r="X71" s="79" t="str">
        <f>'Data - districts in tons'!X70/1000</f>
        <v>0</v>
      </c>
      <c r="Y71" s="79" t="str">
        <f>'Data - districts in tons'!Y70/1000</f>
        <v>0</v>
      </c>
      <c r="Z71" s="79" t="str">
        <f>'Data - districts in tons'!Z70/1000</f>
        <v>0</v>
      </c>
      <c r="AA71" s="79"/>
      <c r="AB71" s="79"/>
      <c r="AC71" s="79" t="str">
        <f>'Data - districts in tons'!AC70/1000</f>
        <v>0</v>
      </c>
      <c r="AD71" s="79" t="str">
        <f>'Data - districts in tons'!AD70/1000</f>
        <v>0</v>
      </c>
      <c r="AE71" s="79" t="str">
        <f>'Data - districts in tons'!AE70/1000</f>
        <v>0</v>
      </c>
      <c r="AF71" s="79"/>
      <c r="AG71" s="79"/>
      <c r="AH71" s="79" t="str">
        <f>'Data - districts in tons'!AH70/1000</f>
        <v>0</v>
      </c>
      <c r="AI71" s="79" t="str">
        <f>'Data - districts in tons'!AI70/1000</f>
        <v>0</v>
      </c>
      <c r="AJ71" s="79" t="str">
        <f>'Data - districts in tons'!AJ70/1000</f>
        <v>0</v>
      </c>
      <c r="AK71" s="79"/>
      <c r="AL71" s="79"/>
      <c r="AM71" s="79" t="str">
        <f>'Data - districts in tons'!AM70/1000</f>
        <v>0</v>
      </c>
      <c r="AN71" s="79" t="str">
        <f>'Data - districts in tons'!AN70/1000</f>
        <v>0</v>
      </c>
      <c r="AO71" s="79" t="str">
        <f>'Data - districts in tons'!AO70/1000</f>
        <v>0</v>
      </c>
      <c r="AP71" s="79"/>
      <c r="AQ71" s="79"/>
      <c r="AR71" s="79" t="str">
        <f>'Data - districts in tons'!AR70/1000</f>
        <v>0</v>
      </c>
      <c r="AS71" s="79" t="str">
        <f>'Data - districts in tons'!AS70/1000</f>
        <v>0</v>
      </c>
      <c r="AT71" s="79" t="str">
        <f>'Data - districts in tons'!AT70/1000</f>
        <v>0</v>
      </c>
      <c r="AU71" s="79"/>
      <c r="AV71" s="79" t="str">
        <f>'Data - districts in tons'!AV69/1000</f>
        <v>5</v>
      </c>
      <c r="AW71" s="79" t="str">
        <f>'Data - districts in tons'!AW70/1000</f>
        <v>4</v>
      </c>
      <c r="AX71" s="79" t="str">
        <f>'Data - districts in tons'!AX70/1000</f>
        <v>0</v>
      </c>
      <c r="AY71" s="101" t="s">
        <v>287</v>
      </c>
      <c r="AZ71" s="79">
        <v>4928.0</v>
      </c>
      <c r="BA71" s="79">
        <v>4376.0</v>
      </c>
      <c r="BB71" s="79">
        <v>0.0</v>
      </c>
      <c r="BC71" s="79"/>
    </row>
    <row r="72">
      <c r="A72" s="100"/>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100" t="s">
        <v>639</v>
      </c>
      <c r="AZ72" s="79">
        <v>3009.072</v>
      </c>
      <c r="BA72" s="79">
        <v>852.965</v>
      </c>
      <c r="BB72" s="79">
        <v>75.759</v>
      </c>
      <c r="BC72" s="79"/>
    </row>
    <row r="73">
      <c r="A73" s="100" t="s">
        <v>640</v>
      </c>
      <c r="B73" s="79"/>
      <c r="C73" s="79"/>
      <c r="D73" s="79"/>
      <c r="E73" s="79"/>
      <c r="F73" s="79"/>
      <c r="G73" s="79"/>
      <c r="H73" s="79"/>
      <c r="I73" s="79" t="str">
        <f>'Data - districts in tons'!I71/1000</f>
        <v>0</v>
      </c>
      <c r="J73" s="79" t="str">
        <f>'Data - districts in tons'!J71/1000</f>
        <v>0</v>
      </c>
      <c r="K73" s="79" t="str">
        <f>'Data - districts in tons'!K71/1000</f>
        <v>0</v>
      </c>
      <c r="L73" s="79"/>
      <c r="M73" s="79"/>
      <c r="N73" s="79" t="str">
        <f>'Data - districts in tons'!N71/1000</f>
        <v>0</v>
      </c>
      <c r="O73" s="79" t="str">
        <f>'Data - districts in tons'!O71/1000</f>
        <v>0</v>
      </c>
      <c r="P73" s="79" t="str">
        <f>'Data - districts in tons'!P71/1000</f>
        <v>0</v>
      </c>
      <c r="Q73" s="79"/>
      <c r="R73" s="79"/>
      <c r="S73" s="79" t="str">
        <f>'Data - districts in tons'!S71/1000</f>
        <v>0</v>
      </c>
      <c r="T73" s="79" t="str">
        <f>'Data - districts in tons'!T71/1000</f>
        <v>0</v>
      </c>
      <c r="U73" s="79" t="str">
        <f>'Data - districts in tons'!U71/1000</f>
        <v>0</v>
      </c>
      <c r="V73" s="79"/>
      <c r="W73" s="79"/>
      <c r="X73" s="79" t="str">
        <f>'Data - districts in tons'!X71/1000</f>
        <v>0</v>
      </c>
      <c r="Y73" s="79" t="str">
        <f>'Data - districts in tons'!Y71/1000</f>
        <v>0</v>
      </c>
      <c r="Z73" s="79" t="str">
        <f>'Data - districts in tons'!Z71/1000</f>
        <v>0</v>
      </c>
      <c r="AA73" s="79"/>
      <c r="AB73" s="79"/>
      <c r="AC73" s="79" t="str">
        <f>'Data - districts in tons'!AC71/1000</f>
        <v>0</v>
      </c>
      <c r="AD73" s="79" t="str">
        <f>'Data - districts in tons'!AD71/1000</f>
        <v>0</v>
      </c>
      <c r="AE73" s="79" t="str">
        <f>'Data - districts in tons'!AE71/1000</f>
        <v>0</v>
      </c>
      <c r="AF73" s="79"/>
      <c r="AG73" s="79"/>
      <c r="AH73" s="79" t="str">
        <f>'Data - districts in tons'!AH71/1000</f>
        <v>0</v>
      </c>
      <c r="AI73" s="79" t="str">
        <f>'Data - districts in tons'!AI71/1000</f>
        <v>0</v>
      </c>
      <c r="AJ73" s="79" t="str">
        <f>'Data - districts in tons'!AJ71/1000</f>
        <v>0</v>
      </c>
      <c r="AK73" s="79"/>
      <c r="AL73" s="79"/>
      <c r="AM73" s="79" t="str">
        <f>'Data - districts in tons'!AM71/1000</f>
        <v>0</v>
      </c>
      <c r="AN73" s="79" t="str">
        <f>'Data - districts in tons'!AN71/1000</f>
        <v>0</v>
      </c>
      <c r="AO73" s="79" t="str">
        <f>'Data - districts in tons'!AO71/1000</f>
        <v>0</v>
      </c>
      <c r="AP73" s="79"/>
      <c r="AQ73" s="79"/>
      <c r="AR73" s="79" t="str">
        <f>'Data - districts in tons'!AR71/1000</f>
        <v>0</v>
      </c>
      <c r="AS73" s="79" t="str">
        <f>'Data - districts in tons'!AS71/1000</f>
        <v>0</v>
      </c>
      <c r="AT73" s="79" t="str">
        <f>'Data - districts in tons'!AT71/1000</f>
        <v>0</v>
      </c>
      <c r="AU73" s="79" t="str">
        <f>'Data - districts in tons'!AU71/1000</f>
        <v>3</v>
      </c>
      <c r="AV73" s="79"/>
      <c r="AW73" s="79"/>
      <c r="AX73" s="79"/>
      <c r="AY73" s="101" t="s">
        <v>641</v>
      </c>
      <c r="AZ73" s="79">
        <v>997.542</v>
      </c>
      <c r="BA73" s="79">
        <v>263.42</v>
      </c>
      <c r="BB73" s="79">
        <v>31.466</v>
      </c>
      <c r="BC73" s="79"/>
    </row>
    <row r="74">
      <c r="A74" s="100" t="s">
        <v>642</v>
      </c>
      <c r="B74" s="79"/>
      <c r="C74" s="79"/>
      <c r="D74" s="79"/>
      <c r="E74" s="79"/>
      <c r="F74" s="79"/>
      <c r="G74" s="79"/>
      <c r="H74" s="79"/>
      <c r="I74" s="79" t="str">
        <f>'Data - districts in tons'!I72/1000</f>
        <v>0</v>
      </c>
      <c r="J74" s="79" t="str">
        <f>'Data - districts in tons'!J72/1000</f>
        <v>0</v>
      </c>
      <c r="K74" s="79" t="str">
        <f>'Data - districts in tons'!K72/1000</f>
        <v>0</v>
      </c>
      <c r="L74" s="79"/>
      <c r="M74" s="79"/>
      <c r="N74" s="79" t="str">
        <f>'Data - districts in tons'!N72/1000</f>
        <v>0</v>
      </c>
      <c r="O74" s="79" t="str">
        <f>'Data - districts in tons'!O72/1000</f>
        <v>0</v>
      </c>
      <c r="P74" s="79" t="str">
        <f>'Data - districts in tons'!P72/1000</f>
        <v>0</v>
      </c>
      <c r="Q74" s="79"/>
      <c r="R74" s="79"/>
      <c r="S74" s="79" t="str">
        <f>'Data - districts in tons'!S72/1000</f>
        <v>0</v>
      </c>
      <c r="T74" s="79" t="str">
        <f>'Data - districts in tons'!T72/1000</f>
        <v>0</v>
      </c>
      <c r="U74" s="79" t="str">
        <f>'Data - districts in tons'!U72/1000</f>
        <v>0</v>
      </c>
      <c r="V74" s="79"/>
      <c r="W74" s="79"/>
      <c r="X74" s="79" t="str">
        <f>'Data - districts in tons'!X72/1000</f>
        <v>0</v>
      </c>
      <c r="Y74" s="79" t="str">
        <f>'Data - districts in tons'!Y72/1000</f>
        <v>0</v>
      </c>
      <c r="Z74" s="79" t="str">
        <f>'Data - districts in tons'!Z72/1000</f>
        <v>0</v>
      </c>
      <c r="AA74" s="79"/>
      <c r="AB74" s="79"/>
      <c r="AC74" s="79" t="str">
        <f>'Data - districts in tons'!AC72/1000</f>
        <v>0</v>
      </c>
      <c r="AD74" s="79" t="str">
        <f>'Data - districts in tons'!AD72/1000</f>
        <v>0</v>
      </c>
      <c r="AE74" s="79" t="str">
        <f>'Data - districts in tons'!AE72/1000</f>
        <v>0</v>
      </c>
      <c r="AF74" s="79"/>
      <c r="AG74" s="79"/>
      <c r="AH74" s="79" t="str">
        <f>'Data - districts in tons'!AH72/1000</f>
        <v>0</v>
      </c>
      <c r="AI74" s="79" t="str">
        <f>'Data - districts in tons'!AI72/1000</f>
        <v>0</v>
      </c>
      <c r="AJ74" s="79" t="str">
        <f>'Data - districts in tons'!AJ72/1000</f>
        <v>0</v>
      </c>
      <c r="AK74" s="79"/>
      <c r="AL74" s="79"/>
      <c r="AM74" s="79" t="str">
        <f>'Data - districts in tons'!AM72/1000</f>
        <v>0</v>
      </c>
      <c r="AN74" s="79" t="str">
        <f>'Data - districts in tons'!AN72/1000</f>
        <v>0</v>
      </c>
      <c r="AO74" s="79" t="str">
        <f>'Data - districts in tons'!AO72/1000</f>
        <v>0</v>
      </c>
      <c r="AP74" s="79"/>
      <c r="AQ74" s="79"/>
      <c r="AR74" s="79" t="str">
        <f>'Data - districts in tons'!AR72/1000</f>
        <v>0</v>
      </c>
      <c r="AS74" s="79" t="str">
        <f>'Data - districts in tons'!AS72/1000</f>
        <v>0</v>
      </c>
      <c r="AT74" s="79" t="str">
        <f>'Data - districts in tons'!AT72/1000</f>
        <v>0</v>
      </c>
      <c r="AU74" s="79" t="str">
        <f>'Data - districts in tons'!AU72/1000</f>
        <v>0</v>
      </c>
      <c r="AV74" s="79"/>
      <c r="AW74" s="79"/>
      <c r="AX74" s="79"/>
      <c r="AY74" s="102" t="s">
        <v>643</v>
      </c>
      <c r="AZ74" s="79">
        <v>4023.56</v>
      </c>
      <c r="BA74" s="79">
        <v>2555.168</v>
      </c>
      <c r="BB74" s="79">
        <v>215.696</v>
      </c>
      <c r="BC74" s="79"/>
    </row>
    <row r="75">
      <c r="A75" s="100" t="s">
        <v>644</v>
      </c>
      <c r="B75" s="79"/>
      <c r="C75" s="79"/>
      <c r="D75" s="79"/>
      <c r="E75" s="79"/>
      <c r="F75" s="79"/>
      <c r="G75" s="79"/>
      <c r="H75" s="79"/>
      <c r="I75" s="79" t="str">
        <f>'Data - districts in tons'!I73/1000</f>
        <v>0</v>
      </c>
      <c r="J75" s="79" t="str">
        <f>'Data - districts in tons'!J73/1000</f>
        <v>0</v>
      </c>
      <c r="K75" s="79" t="str">
        <f>'Data - districts in tons'!K73/1000</f>
        <v>0</v>
      </c>
      <c r="L75" s="79"/>
      <c r="M75" s="79"/>
      <c r="N75" s="79" t="str">
        <f>'Data - districts in tons'!N73/1000</f>
        <v>0</v>
      </c>
      <c r="O75" s="79" t="str">
        <f>'Data - districts in tons'!O73/1000</f>
        <v>0</v>
      </c>
      <c r="P75" s="79" t="str">
        <f>'Data - districts in tons'!P73/1000</f>
        <v>0</v>
      </c>
      <c r="Q75" s="79"/>
      <c r="R75" s="79"/>
      <c r="S75" s="79" t="str">
        <f>'Data - districts in tons'!S73/1000</f>
        <v>0</v>
      </c>
      <c r="T75" s="79" t="str">
        <f>'Data - districts in tons'!T73/1000</f>
        <v>0</v>
      </c>
      <c r="U75" s="79" t="str">
        <f>'Data - districts in tons'!U73/1000</f>
        <v>0</v>
      </c>
      <c r="V75" s="79"/>
      <c r="W75" s="79"/>
      <c r="X75" s="79" t="str">
        <f>'Data - districts in tons'!X73/1000</f>
        <v>0</v>
      </c>
      <c r="Y75" s="79" t="str">
        <f>'Data - districts in tons'!Y73/1000</f>
        <v>0</v>
      </c>
      <c r="Z75" s="79" t="str">
        <f>'Data - districts in tons'!Z73/1000</f>
        <v>0</v>
      </c>
      <c r="AA75" s="79"/>
      <c r="AB75" s="79"/>
      <c r="AC75" s="79" t="str">
        <f>'Data - districts in tons'!AC73/1000</f>
        <v>0</v>
      </c>
      <c r="AD75" s="79" t="str">
        <f>'Data - districts in tons'!AD73/1000</f>
        <v>0</v>
      </c>
      <c r="AE75" s="79" t="str">
        <f>'Data - districts in tons'!AE73/1000</f>
        <v>0</v>
      </c>
      <c r="AF75" s="79"/>
      <c r="AG75" s="79"/>
      <c r="AH75" s="79" t="str">
        <f>'Data - districts in tons'!AH73/1000</f>
        <v>0</v>
      </c>
      <c r="AI75" s="79" t="str">
        <f>'Data - districts in tons'!AI73/1000</f>
        <v>0</v>
      </c>
      <c r="AJ75" s="79" t="str">
        <f>'Data - districts in tons'!AJ73/1000</f>
        <v>0</v>
      </c>
      <c r="AK75" s="79"/>
      <c r="AL75" s="79"/>
      <c r="AM75" s="79" t="str">
        <f>'Data - districts in tons'!AM73/1000</f>
        <v>0</v>
      </c>
      <c r="AN75" s="79" t="str">
        <f>'Data - districts in tons'!AN73/1000</f>
        <v>0</v>
      </c>
      <c r="AO75" s="79" t="str">
        <f>'Data - districts in tons'!AO73/1000</f>
        <v>0</v>
      </c>
      <c r="AP75" s="79"/>
      <c r="AQ75" s="79"/>
      <c r="AR75" s="79" t="str">
        <f>'Data - districts in tons'!AR73/1000</f>
        <v>0</v>
      </c>
      <c r="AS75" s="79" t="str">
        <f>'Data - districts in tons'!AS73/1000</f>
        <v>0</v>
      </c>
      <c r="AT75" s="79" t="str">
        <f>'Data - districts in tons'!AT73/1000</f>
        <v>0</v>
      </c>
      <c r="AU75" s="79" t="str">
        <f>'Data - districts in tons'!AU73/1000</f>
        <v>1</v>
      </c>
      <c r="AV75" s="79"/>
      <c r="AW75" s="79"/>
      <c r="AX75" s="79"/>
      <c r="AY75" s="79"/>
      <c r="AZ75" s="79"/>
      <c r="BA75" s="79"/>
      <c r="BB75" s="79"/>
      <c r="BC75" s="79"/>
    </row>
    <row r="76">
      <c r="A76" s="100" t="s">
        <v>645</v>
      </c>
      <c r="B76" s="79"/>
      <c r="C76" s="79"/>
      <c r="D76" s="79"/>
      <c r="E76" s="79"/>
      <c r="F76" s="79"/>
      <c r="G76" s="79"/>
      <c r="H76" s="79"/>
      <c r="I76" s="79" t="str">
        <f>'Data - districts in tons'!I74/1000</f>
        <v>0</v>
      </c>
      <c r="J76" s="79" t="str">
        <f>'Data - districts in tons'!J74/1000</f>
        <v>0</v>
      </c>
      <c r="K76" s="79" t="str">
        <f>'Data - districts in tons'!K74/1000</f>
        <v>0</v>
      </c>
      <c r="L76" s="79"/>
      <c r="M76" s="79"/>
      <c r="N76" s="79" t="str">
        <f>'Data - districts in tons'!N74/1000</f>
        <v>0</v>
      </c>
      <c r="O76" s="79" t="str">
        <f>'Data - districts in tons'!O74/1000</f>
        <v>0</v>
      </c>
      <c r="P76" s="79" t="str">
        <f>'Data - districts in tons'!P74/1000</f>
        <v>0</v>
      </c>
      <c r="Q76" s="79"/>
      <c r="R76" s="79"/>
      <c r="S76" s="79" t="str">
        <f>'Data - districts in tons'!S74/1000</f>
        <v>0</v>
      </c>
      <c r="T76" s="79" t="str">
        <f>'Data - districts in tons'!T74/1000</f>
        <v>0</v>
      </c>
      <c r="U76" s="79" t="str">
        <f>'Data - districts in tons'!U74/1000</f>
        <v>0</v>
      </c>
      <c r="V76" s="79"/>
      <c r="W76" s="79"/>
      <c r="X76" s="79" t="str">
        <f>'Data - districts in tons'!X74/1000</f>
        <v>0</v>
      </c>
      <c r="Y76" s="79" t="str">
        <f>'Data - districts in tons'!Y74/1000</f>
        <v>0</v>
      </c>
      <c r="Z76" s="79" t="str">
        <f>'Data - districts in tons'!Z74/1000</f>
        <v>0</v>
      </c>
      <c r="AA76" s="79"/>
      <c r="AB76" s="79"/>
      <c r="AC76" s="79" t="str">
        <f>'Data - districts in tons'!AC74/1000</f>
        <v>1</v>
      </c>
      <c r="AD76" s="79" t="str">
        <f>'Data - districts in tons'!AD74/1000</f>
        <v>0</v>
      </c>
      <c r="AE76" s="79" t="str">
        <f>'Data - districts in tons'!AE74/1000</f>
        <v>0</v>
      </c>
      <c r="AF76" s="79"/>
      <c r="AG76" s="79"/>
      <c r="AH76" s="79" t="str">
        <f>'Data - districts in tons'!AH74/1000</f>
        <v>0</v>
      </c>
      <c r="AI76" s="79" t="str">
        <f>'Data - districts in tons'!AI74/1000</f>
        <v>0</v>
      </c>
      <c r="AJ76" s="79" t="str">
        <f>'Data - districts in tons'!AJ74/1000</f>
        <v>0</v>
      </c>
      <c r="AK76" s="79"/>
      <c r="AL76" s="79"/>
      <c r="AM76" s="79" t="str">
        <f>'Data - districts in tons'!AM74/1000</f>
        <v>0</v>
      </c>
      <c r="AN76" s="79" t="str">
        <f>'Data - districts in tons'!AN74/1000</f>
        <v>0</v>
      </c>
      <c r="AO76" s="79" t="str">
        <f>'Data - districts in tons'!AO74/1000</f>
        <v>0</v>
      </c>
      <c r="AP76" s="79"/>
      <c r="AQ76" s="79"/>
      <c r="AR76" s="79" t="str">
        <f>'Data - districts in tons'!AR74/1000</f>
        <v>0</v>
      </c>
      <c r="AS76" s="79" t="str">
        <f>'Data - districts in tons'!AS74/1000</f>
        <v>0</v>
      </c>
      <c r="AT76" s="79" t="str">
        <f>'Data - districts in tons'!AT74/1000</f>
        <v>0</v>
      </c>
      <c r="AU76" s="79" t="str">
        <f>'Data - districts in tons'!AU74/1000</f>
        <v>56</v>
      </c>
      <c r="AV76" s="79"/>
      <c r="AW76" s="79"/>
      <c r="AX76" s="79"/>
      <c r="AY76" s="79"/>
      <c r="AZ76" s="79"/>
      <c r="BA76" s="79"/>
      <c r="BB76" s="79"/>
      <c r="BC76" s="79"/>
    </row>
    <row r="77">
      <c r="A77" s="101" t="s">
        <v>641</v>
      </c>
      <c r="B77" s="79"/>
      <c r="C77" s="79"/>
      <c r="D77" s="79"/>
      <c r="E77" s="79"/>
      <c r="F77" s="79"/>
      <c r="G77" s="79"/>
      <c r="H77" s="79"/>
      <c r="I77" s="79" t="str">
        <f>'Data - districts in tons'!I75/1000</f>
        <v>0</v>
      </c>
      <c r="J77" s="79" t="str">
        <f>'Data - districts in tons'!J75/1000</f>
        <v>0</v>
      </c>
      <c r="K77" s="79" t="str">
        <f>'Data - districts in tons'!K75/1000</f>
        <v>0</v>
      </c>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t="str">
        <f>'Data - districts in tons'!AV75/1000</f>
        <v>1</v>
      </c>
      <c r="AW77" s="79" t="str">
        <f>'Data - districts in tons'!AW75/1000</f>
        <v>0</v>
      </c>
      <c r="AX77" s="79" t="str">
        <f>'Data - districts in tons'!AX75/1000</f>
        <v>0</v>
      </c>
      <c r="AY77" s="79"/>
      <c r="AZ77" s="79"/>
      <c r="BA77" s="79"/>
      <c r="BB77" s="79"/>
      <c r="BC77" s="79"/>
    </row>
    <row r="78">
      <c r="A78" s="103" t="s">
        <v>646</v>
      </c>
      <c r="B78" s="78"/>
      <c r="C78" s="78"/>
      <c r="D78" s="78"/>
      <c r="E78" s="78"/>
      <c r="F78" s="78"/>
      <c r="G78" s="78"/>
      <c r="H78" s="78"/>
      <c r="I78" s="78"/>
      <c r="J78" s="78"/>
      <c r="K78" s="78"/>
      <c r="L78" s="78"/>
      <c r="M78" s="78"/>
      <c r="N78" s="78"/>
      <c r="O78" s="78"/>
      <c r="P78" s="78"/>
      <c r="Q78" s="78"/>
      <c r="R78" s="78"/>
      <c r="S78" s="78"/>
      <c r="T78" s="78"/>
      <c r="U78" s="78"/>
      <c r="V78" s="78"/>
      <c r="W78" s="78"/>
      <c r="X78" s="78"/>
      <c r="Y78" s="78"/>
      <c r="Z78" s="78"/>
      <c r="AA78" s="78"/>
      <c r="AB78" s="78"/>
      <c r="AC78" s="78"/>
      <c r="AD78" s="78"/>
      <c r="AE78" s="78"/>
      <c r="AF78" s="78"/>
      <c r="AG78" s="78"/>
      <c r="AH78" s="78"/>
      <c r="AI78" s="78"/>
      <c r="AJ78" s="78"/>
      <c r="AK78" s="78"/>
      <c r="AL78" s="78"/>
      <c r="AM78" s="78"/>
      <c r="AN78" s="78"/>
      <c r="AO78" s="78"/>
      <c r="AP78" s="78"/>
      <c r="AQ78" s="78"/>
      <c r="AR78" s="78"/>
      <c r="AS78" s="78"/>
      <c r="AT78" s="78"/>
      <c r="AU78" s="78"/>
      <c r="AV78" s="79" t="str">
        <f>'Data - districts in tons'!AV76/1000</f>
        <v>0</v>
      </c>
      <c r="AW78" s="79" t="str">
        <f>'Data - districts in tons'!AW76/1000</f>
        <v>0</v>
      </c>
      <c r="AX78" s="79" t="str">
        <f>'Data - districts in tons'!AX76/1000</f>
        <v>0</v>
      </c>
      <c r="AY78" s="79"/>
      <c r="AZ78" s="79"/>
      <c r="BA78" s="79"/>
      <c r="BB78" s="79"/>
      <c r="BC78" s="79"/>
    </row>
    <row r="79">
      <c r="A79" s="102" t="s">
        <v>643</v>
      </c>
      <c r="B79" s="78"/>
      <c r="C79" s="78"/>
      <c r="D79" s="78"/>
      <c r="E79" s="78"/>
      <c r="F79" s="78"/>
      <c r="G79" s="78"/>
      <c r="H79" s="78"/>
      <c r="I79" s="78"/>
      <c r="J79" s="78"/>
      <c r="K79" s="78"/>
      <c r="L79" s="78"/>
      <c r="M79" s="78"/>
      <c r="N79" s="78"/>
      <c r="O79" s="78"/>
      <c r="P79" s="78"/>
      <c r="Q79" s="78"/>
      <c r="R79" s="78"/>
      <c r="S79" s="78"/>
      <c r="T79" s="78"/>
      <c r="U79" s="78"/>
      <c r="V79" s="78"/>
      <c r="W79" s="78"/>
      <c r="X79" s="78"/>
      <c r="Y79" s="78"/>
      <c r="Z79" s="78"/>
      <c r="AA79" s="78"/>
      <c r="AB79" s="78"/>
      <c r="AC79" s="78"/>
      <c r="AD79" s="78"/>
      <c r="AE79" s="78"/>
      <c r="AF79" s="78"/>
      <c r="AG79" s="78"/>
      <c r="AH79" s="78"/>
      <c r="AI79" s="78"/>
      <c r="AJ79" s="78"/>
      <c r="AK79" s="78"/>
      <c r="AL79" s="78"/>
      <c r="AM79" s="78"/>
      <c r="AN79" s="78"/>
      <c r="AO79" s="78"/>
      <c r="AP79" s="78"/>
      <c r="AQ79" s="78"/>
      <c r="AR79" s="78"/>
      <c r="AS79" s="78"/>
      <c r="AT79" s="78"/>
      <c r="AU79" s="78"/>
      <c r="AV79" s="79"/>
      <c r="AW79" s="79"/>
      <c r="AX79" s="79"/>
      <c r="AY79" s="79"/>
      <c r="AZ79" s="79"/>
      <c r="BA79" s="79"/>
      <c r="BB79" s="79"/>
      <c r="BC79" s="79"/>
    </row>
    <row r="80">
      <c r="A80" s="103" t="s">
        <v>647</v>
      </c>
      <c r="B80" s="78"/>
      <c r="C80" s="78"/>
      <c r="D80" s="78"/>
      <c r="E80" s="78"/>
      <c r="F80" s="78"/>
      <c r="G80" s="78"/>
      <c r="H80" s="78"/>
      <c r="I80" s="78"/>
      <c r="J80" s="78"/>
      <c r="K80" s="78"/>
      <c r="L80" s="78"/>
      <c r="M80" s="78"/>
      <c r="N80" s="78"/>
      <c r="O80" s="78"/>
      <c r="P80" s="78"/>
      <c r="Q80" s="78"/>
      <c r="R80" s="78"/>
      <c r="S80" s="78"/>
      <c r="T80" s="78"/>
      <c r="U80" s="78"/>
      <c r="V80" s="78"/>
      <c r="W80" s="78"/>
      <c r="X80" s="78"/>
      <c r="Y80" s="78"/>
      <c r="Z80" s="78"/>
      <c r="AA80" s="78"/>
      <c r="AB80" s="78"/>
      <c r="AC80" s="78"/>
      <c r="AD80" s="78"/>
      <c r="AE80" s="78"/>
      <c r="AF80" s="78"/>
      <c r="AG80" s="78"/>
      <c r="AH80" s="78"/>
      <c r="AI80" s="78"/>
      <c r="AJ80" s="78"/>
      <c r="AK80" s="78"/>
      <c r="AL80" s="78"/>
      <c r="AM80" s="78"/>
      <c r="AN80" s="78"/>
      <c r="AO80" s="78"/>
      <c r="AP80" s="78"/>
      <c r="AQ80" s="78"/>
      <c r="AR80" s="78"/>
      <c r="AS80" s="78"/>
      <c r="AT80" s="78"/>
      <c r="AU80" s="78"/>
      <c r="AV80" s="78"/>
      <c r="AW80" s="78"/>
      <c r="AX80" s="78"/>
      <c r="AY80" s="78"/>
      <c r="AZ80" s="78"/>
      <c r="BA80" s="78"/>
      <c r="BB80" s="78"/>
      <c r="BC80" s="78"/>
    </row>
    <row r="81">
      <c r="A81" s="103" t="s">
        <v>648</v>
      </c>
      <c r="B81" s="78"/>
      <c r="C81" s="78"/>
      <c r="D81" s="78"/>
      <c r="E81" s="78"/>
      <c r="F81" s="78"/>
      <c r="G81" s="78"/>
      <c r="H81" s="78"/>
      <c r="I81" s="78"/>
      <c r="J81" s="78"/>
      <c r="K81" s="78"/>
      <c r="L81" s="78"/>
      <c r="M81" s="78"/>
      <c r="N81" s="78"/>
      <c r="O81" s="78"/>
      <c r="P81" s="78"/>
      <c r="Q81" s="78"/>
      <c r="R81" s="78"/>
      <c r="S81" s="78"/>
      <c r="T81" s="78"/>
      <c r="U81" s="78"/>
      <c r="V81" s="78"/>
      <c r="W81" s="78"/>
      <c r="X81" s="78"/>
      <c r="Y81" s="78"/>
      <c r="Z81" s="78"/>
      <c r="AA81" s="78"/>
      <c r="AB81" s="78"/>
      <c r="AC81" s="78"/>
      <c r="AD81" s="78"/>
      <c r="AE81" s="78"/>
      <c r="AF81" s="78"/>
      <c r="AG81" s="78"/>
      <c r="AH81" s="78"/>
      <c r="AI81" s="78"/>
      <c r="AJ81" s="78"/>
      <c r="AK81" s="78"/>
      <c r="AL81" s="78"/>
      <c r="AM81" s="78"/>
      <c r="AN81" s="78"/>
      <c r="AO81" s="78"/>
      <c r="AP81" s="78"/>
      <c r="AQ81" s="78"/>
      <c r="AR81" s="78"/>
      <c r="AS81" s="78"/>
      <c r="AT81" s="78"/>
      <c r="AU81" s="78"/>
      <c r="AV81" s="78"/>
      <c r="AW81" s="78"/>
      <c r="AX81" s="78"/>
      <c r="AY81" s="78"/>
      <c r="AZ81" s="78"/>
      <c r="BA81" s="78"/>
      <c r="BB81" s="78"/>
      <c r="BC81" s="78"/>
    </row>
    <row r="82">
      <c r="A82" s="103" t="s">
        <v>649</v>
      </c>
      <c r="B82" s="78"/>
      <c r="C82" s="78"/>
      <c r="D82" s="78"/>
      <c r="E82" s="78"/>
      <c r="F82" s="78"/>
      <c r="G82" s="78"/>
      <c r="H82" s="78"/>
      <c r="I82" s="78"/>
      <c r="J82" s="78"/>
      <c r="K82" s="78"/>
      <c r="L82" s="78"/>
      <c r="M82" s="78"/>
      <c r="N82" s="78"/>
      <c r="O82" s="78"/>
      <c r="P82" s="78"/>
      <c r="Q82" s="78"/>
      <c r="R82" s="78"/>
      <c r="S82" s="78"/>
      <c r="T82" s="78"/>
      <c r="U82" s="78"/>
      <c r="V82" s="78"/>
      <c r="W82" s="78"/>
      <c r="X82" s="78"/>
      <c r="Y82" s="78"/>
      <c r="Z82" s="78"/>
      <c r="AA82" s="78"/>
      <c r="AB82" s="78"/>
      <c r="AC82" s="78"/>
      <c r="AD82" s="78"/>
      <c r="AE82" s="78"/>
      <c r="AF82" s="78"/>
      <c r="AG82" s="78"/>
      <c r="AH82" s="78"/>
      <c r="AI82" s="78"/>
      <c r="AJ82" s="78"/>
      <c r="AK82" s="78"/>
      <c r="AL82" s="78"/>
      <c r="AM82" s="78"/>
      <c r="AN82" s="78"/>
      <c r="AO82" s="78"/>
      <c r="AP82" s="78"/>
      <c r="AQ82" s="78"/>
      <c r="AR82" s="78"/>
      <c r="AS82" s="78"/>
      <c r="AT82" s="78"/>
      <c r="AU82" s="78"/>
      <c r="AV82" s="78"/>
      <c r="AW82" s="78"/>
      <c r="AX82" s="78"/>
      <c r="AY82" s="78"/>
      <c r="AZ82" s="78"/>
      <c r="BA82" s="78"/>
      <c r="BB82" s="78"/>
      <c r="BC82" s="78"/>
    </row>
    <row r="83">
      <c r="A83" s="102" t="s">
        <v>650</v>
      </c>
      <c r="B83" s="78"/>
      <c r="C83" s="78"/>
      <c r="D83" s="78"/>
      <c r="E83" s="78"/>
      <c r="F83" s="78"/>
      <c r="G83" s="78"/>
      <c r="H83" s="78"/>
      <c r="I83" s="78"/>
      <c r="J83" s="78"/>
      <c r="K83" s="78"/>
      <c r="L83" s="78"/>
      <c r="M83" s="78"/>
      <c r="N83" s="78"/>
      <c r="O83" s="78"/>
      <c r="P83" s="78"/>
      <c r="Q83" s="78"/>
      <c r="R83" s="78"/>
      <c r="S83" s="78"/>
      <c r="T83" s="78"/>
      <c r="U83" s="78"/>
      <c r="V83" s="78"/>
      <c r="W83" s="78"/>
      <c r="X83" s="78"/>
      <c r="Y83" s="78"/>
      <c r="Z83" s="78"/>
      <c r="AA83" s="78"/>
      <c r="AB83" s="78"/>
      <c r="AC83" s="78"/>
      <c r="AD83" s="78"/>
      <c r="AE83" s="78"/>
      <c r="AF83" s="78"/>
      <c r="AG83" s="78"/>
      <c r="AH83" s="78"/>
      <c r="AI83" s="78"/>
      <c r="AJ83" s="78"/>
      <c r="AK83" s="78"/>
      <c r="AL83" s="78"/>
      <c r="AM83" s="78"/>
      <c r="AN83" s="78"/>
      <c r="AO83" s="78"/>
      <c r="AP83" s="78"/>
      <c r="AQ83" s="78"/>
      <c r="AR83" s="78"/>
      <c r="AS83" s="78"/>
      <c r="AT83" s="78"/>
      <c r="AU83" s="78"/>
      <c r="AV83" s="78"/>
      <c r="AW83" s="78"/>
      <c r="AX83" s="78"/>
      <c r="AY83" s="78"/>
      <c r="AZ83" s="78"/>
      <c r="BA83" s="78"/>
      <c r="BB83" s="78"/>
      <c r="BC83" s="78"/>
    </row>
    <row r="84">
      <c r="A84" s="103" t="s">
        <v>651</v>
      </c>
      <c r="B84" s="78"/>
      <c r="C84" s="78"/>
      <c r="D84" s="78"/>
      <c r="E84" s="78"/>
      <c r="F84" s="78"/>
      <c r="G84" s="78"/>
      <c r="H84" s="78"/>
      <c r="I84" s="78"/>
      <c r="J84" s="78"/>
      <c r="K84" s="78"/>
      <c r="L84" s="78"/>
      <c r="M84" s="78"/>
      <c r="N84" s="78"/>
      <c r="O84" s="78"/>
      <c r="P84" s="78"/>
      <c r="Q84" s="78"/>
      <c r="R84" s="78"/>
      <c r="S84" s="78"/>
      <c r="T84" s="78"/>
      <c r="U84" s="78"/>
      <c r="V84" s="78"/>
      <c r="W84" s="78"/>
      <c r="X84" s="78"/>
      <c r="Y84" s="78"/>
      <c r="Z84" s="78"/>
      <c r="AA84" s="78"/>
      <c r="AB84" s="78"/>
      <c r="AC84" s="78"/>
      <c r="AD84" s="78"/>
      <c r="AE84" s="78"/>
      <c r="AF84" s="78"/>
      <c r="AG84" s="78"/>
      <c r="AH84" s="78"/>
      <c r="AI84" s="78"/>
      <c r="AJ84" s="78"/>
      <c r="AK84" s="78"/>
      <c r="AL84" s="78"/>
      <c r="AM84" s="78"/>
      <c r="AN84" s="78"/>
      <c r="AO84" s="78"/>
      <c r="AP84" s="78"/>
      <c r="AQ84" s="78"/>
      <c r="AR84" s="78"/>
      <c r="AS84" s="78"/>
      <c r="AT84" s="78"/>
      <c r="AU84" s="78"/>
      <c r="AV84" s="78"/>
      <c r="AW84" s="78"/>
      <c r="AX84" s="78"/>
      <c r="AY84" s="78"/>
      <c r="AZ84" s="78"/>
      <c r="BA84" s="78"/>
      <c r="BB84" s="78"/>
      <c r="BC84" s="78"/>
    </row>
    <row r="85">
      <c r="A85" s="104" t="s">
        <v>652</v>
      </c>
      <c r="B85" s="78"/>
      <c r="C85" s="78"/>
      <c r="D85" s="78"/>
      <c r="E85" s="78"/>
      <c r="F85" s="78"/>
      <c r="G85" s="78"/>
      <c r="H85" s="78"/>
      <c r="I85" s="78"/>
      <c r="J85" s="78"/>
      <c r="K85" s="78"/>
      <c r="L85" s="78"/>
      <c r="M85" s="78"/>
      <c r="N85" s="78"/>
      <c r="O85" s="78"/>
      <c r="P85" s="78"/>
      <c r="Q85" s="78"/>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c r="AR85" s="78"/>
      <c r="AS85" s="78"/>
      <c r="AT85" s="78"/>
      <c r="AU85" s="78"/>
      <c r="AV85" s="78"/>
      <c r="AW85" s="78"/>
      <c r="AX85" s="78"/>
      <c r="AY85" s="78"/>
      <c r="AZ85" s="78"/>
      <c r="BA85" s="78"/>
      <c r="BB85" s="78"/>
      <c r="BC85" s="78"/>
    </row>
    <row r="86">
      <c r="A86" s="102" t="s">
        <v>653</v>
      </c>
      <c r="B86" s="78"/>
      <c r="C86" s="78"/>
      <c r="D86" s="78"/>
      <c r="E86" s="78"/>
      <c r="F86" s="78"/>
      <c r="G86" s="78"/>
      <c r="H86" s="78"/>
      <c r="I86" s="78"/>
      <c r="J86" s="78"/>
      <c r="K86" s="78"/>
      <c r="L86" s="78"/>
      <c r="M86" s="78"/>
      <c r="N86" s="78"/>
      <c r="O86" s="78"/>
      <c r="P86" s="78"/>
      <c r="Q86" s="78"/>
      <c r="R86" s="78"/>
      <c r="S86" s="78"/>
      <c r="T86" s="78"/>
      <c r="U86" s="78"/>
      <c r="V86" s="78"/>
      <c r="W86" s="78"/>
      <c r="X86" s="78"/>
      <c r="Y86" s="78"/>
      <c r="Z86" s="78"/>
      <c r="AA86" s="78"/>
      <c r="AB86" s="78"/>
      <c r="AC86" s="78"/>
      <c r="AD86" s="78"/>
      <c r="AE86" s="78"/>
      <c r="AF86" s="78"/>
      <c r="AG86" s="78"/>
      <c r="AH86" s="78"/>
      <c r="AI86" s="78"/>
      <c r="AJ86" s="78"/>
      <c r="AK86" s="78"/>
      <c r="AL86" s="78"/>
      <c r="AM86" s="78"/>
      <c r="AN86" s="78"/>
      <c r="AO86" s="78"/>
      <c r="AP86" s="78"/>
      <c r="AQ86" s="78"/>
      <c r="AR86" s="78"/>
      <c r="AS86" s="78"/>
      <c r="AT86" s="78"/>
      <c r="AU86" s="78"/>
      <c r="AV86" s="78"/>
      <c r="AW86" s="78"/>
      <c r="AX86" s="78"/>
      <c r="AY86" s="78"/>
      <c r="AZ86" s="78"/>
      <c r="BA86" s="78"/>
      <c r="BB86" s="78"/>
      <c r="BC86" s="78"/>
    </row>
    <row r="87">
      <c r="A87" s="105" t="s">
        <v>654</v>
      </c>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row>
    <row r="88">
      <c r="A88" s="102" t="s">
        <v>655</v>
      </c>
      <c r="B88" s="78"/>
      <c r="C88" s="78"/>
      <c r="D88" s="78"/>
      <c r="E88" s="78"/>
      <c r="F88" s="78"/>
      <c r="G88" s="78"/>
      <c r="H88" s="78"/>
      <c r="I88" s="78"/>
      <c r="J88" s="78"/>
      <c r="K88" s="78"/>
      <c r="L88" s="78"/>
      <c r="M88" s="78"/>
      <c r="N88" s="78"/>
      <c r="O88" s="78"/>
      <c r="P88" s="78"/>
      <c r="Q88" s="78"/>
      <c r="R88" s="78"/>
      <c r="S88" s="78"/>
      <c r="T88" s="78"/>
      <c r="U88" s="78"/>
      <c r="V88" s="78"/>
      <c r="W88" s="78"/>
      <c r="X88" s="78"/>
      <c r="Y88" s="78"/>
      <c r="Z88" s="78"/>
      <c r="AA88" s="78"/>
      <c r="AB88" s="78"/>
      <c r="AC88" s="78"/>
      <c r="AD88" s="78"/>
      <c r="AE88" s="78"/>
      <c r="AF88" s="78"/>
      <c r="AG88" s="78"/>
      <c r="AH88" s="78"/>
      <c r="AI88" s="78"/>
      <c r="AJ88" s="78"/>
      <c r="AK88" s="78"/>
      <c r="AL88" s="78"/>
      <c r="AM88" s="78"/>
      <c r="AN88" s="78"/>
      <c r="AO88" s="78"/>
      <c r="AP88" s="78"/>
      <c r="AQ88" s="78"/>
      <c r="AR88" s="78"/>
      <c r="AS88" s="78"/>
      <c r="AT88" s="78"/>
      <c r="AU88" s="78"/>
      <c r="AV88" s="78"/>
      <c r="AW88" s="78"/>
      <c r="AX88" s="78"/>
      <c r="AY88" s="78"/>
      <c r="AZ88" s="78"/>
      <c r="BA88" s="78"/>
      <c r="BB88" s="78"/>
      <c r="BC88" s="78"/>
    </row>
    <row r="89">
      <c r="A89" s="87" t="s">
        <v>656</v>
      </c>
      <c r="B89" s="78"/>
      <c r="C89" s="78"/>
      <c r="D89" s="78"/>
      <c r="E89" s="78"/>
      <c r="F89" s="78"/>
      <c r="G89" s="78"/>
      <c r="H89" s="78"/>
      <c r="I89" s="78"/>
      <c r="J89" s="78"/>
      <c r="K89" s="78"/>
      <c r="L89" s="78"/>
      <c r="M89" s="78"/>
      <c r="N89" s="78"/>
      <c r="O89" s="78"/>
      <c r="P89" s="78"/>
      <c r="Q89" s="78"/>
      <c r="R89" s="78"/>
      <c r="S89" s="78"/>
      <c r="T89" s="78"/>
      <c r="U89" s="78"/>
      <c r="V89" s="78"/>
      <c r="W89" s="78"/>
      <c r="X89" s="78"/>
      <c r="Y89" s="78"/>
      <c r="Z89" s="78"/>
      <c r="AA89" s="78"/>
      <c r="AB89" s="78"/>
      <c r="AC89" s="78"/>
      <c r="AD89" s="78"/>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row>
    <row r="90">
      <c r="A90" s="92" t="s">
        <v>618</v>
      </c>
      <c r="B90" s="93"/>
      <c r="C90" s="93"/>
      <c r="D90" s="93"/>
      <c r="E90" s="93"/>
      <c r="F90" s="93"/>
      <c r="G90" s="93"/>
      <c r="H90" s="93"/>
      <c r="I90" s="93"/>
      <c r="J90" s="93"/>
      <c r="K90" s="93"/>
      <c r="L90" s="93"/>
      <c r="M90" s="93"/>
      <c r="N90" s="93"/>
      <c r="O90" s="93"/>
      <c r="P90" s="93"/>
      <c r="Q90" s="93"/>
      <c r="R90" s="93"/>
      <c r="S90" s="93"/>
      <c r="T90" s="93"/>
      <c r="U90" s="93"/>
      <c r="V90" s="93"/>
      <c r="W90" s="93"/>
      <c r="X90" s="93"/>
      <c r="Y90" s="93"/>
      <c r="Z90" s="93"/>
      <c r="AA90" s="93"/>
      <c r="AB90" s="93"/>
      <c r="AC90" s="93"/>
      <c r="AD90" s="93"/>
      <c r="AE90" s="93"/>
      <c r="AF90" s="93"/>
      <c r="AG90" s="93"/>
      <c r="AH90" s="93"/>
      <c r="AI90" s="93"/>
      <c r="AJ90" s="93"/>
      <c r="AK90" s="93"/>
      <c r="AL90" s="93"/>
      <c r="AM90" s="93"/>
      <c r="AN90" s="93"/>
      <c r="AO90" s="93"/>
      <c r="AP90" s="93"/>
      <c r="AQ90" s="93"/>
      <c r="AR90" s="93"/>
      <c r="AS90" s="93"/>
      <c r="AT90" s="93"/>
      <c r="AU90" s="93"/>
      <c r="AV90" s="93"/>
      <c r="AW90" s="93"/>
      <c r="AX90" s="93"/>
      <c r="AY90" s="93"/>
      <c r="AZ90" s="93"/>
      <c r="BA90" s="93"/>
      <c r="BB90" s="93"/>
      <c r="BC90" s="93"/>
    </row>
    <row r="91">
      <c r="A91" s="106" t="s">
        <v>657</v>
      </c>
      <c r="B91" s="93"/>
      <c r="C91" s="93"/>
      <c r="D91" s="93"/>
      <c r="E91" s="93"/>
      <c r="F91" s="93"/>
      <c r="G91" s="93"/>
      <c r="H91" s="93"/>
      <c r="I91" s="93" t="str">
        <f t="shared" ref="I91:K91" si="89">sum(I65:I69,I76)</f>
        <v>28.6</v>
      </c>
      <c r="J91" s="93" t="str">
        <f t="shared" si="89"/>
        <v>4.1</v>
      </c>
      <c r="K91" s="93" t="str">
        <f t="shared" si="89"/>
        <v>0.7</v>
      </c>
      <c r="L91" s="93"/>
      <c r="M91" s="93"/>
      <c r="N91" s="93" t="str">
        <f t="shared" ref="N91:P91" si="90">sum(N65:N69,N76)</f>
        <v>20.2</v>
      </c>
      <c r="O91" s="93" t="str">
        <f t="shared" si="90"/>
        <v>2.9</v>
      </c>
      <c r="P91" s="93" t="str">
        <f t="shared" si="90"/>
        <v>0.5</v>
      </c>
      <c r="Q91" s="93"/>
      <c r="R91" s="93"/>
      <c r="S91" s="93" t="str">
        <f t="shared" ref="S91:U91" si="91">sum(S65:S69,S76)</f>
        <v>6.7</v>
      </c>
      <c r="T91" s="93" t="str">
        <f t="shared" si="91"/>
        <v>0.7</v>
      </c>
      <c r="U91" s="93" t="str">
        <f t="shared" si="91"/>
        <v>0.1</v>
      </c>
      <c r="V91" s="93"/>
      <c r="W91" s="93"/>
      <c r="X91" s="93" t="str">
        <f t="shared" ref="X91:Z91" si="92">sum(X65:X69,X76)</f>
        <v>30.2</v>
      </c>
      <c r="Y91" s="93" t="str">
        <f t="shared" si="92"/>
        <v>4.4</v>
      </c>
      <c r="Z91" s="93" t="str">
        <f t="shared" si="92"/>
        <v>0.8</v>
      </c>
      <c r="AA91" s="93"/>
      <c r="AB91" s="93"/>
      <c r="AC91" s="93" t="str">
        <f t="shared" ref="AC91:AE91" si="93">sum(AC65:AC69,AC76)</f>
        <v>41.0</v>
      </c>
      <c r="AD91" s="93" t="str">
        <f t="shared" si="93"/>
        <v>5.9</v>
      </c>
      <c r="AE91" s="93" t="str">
        <f t="shared" si="93"/>
        <v>1.1</v>
      </c>
      <c r="AF91" s="93"/>
      <c r="AG91" s="93"/>
      <c r="AH91" s="93" t="str">
        <f t="shared" ref="AH91:AJ91" si="94">sum(AH65:AH69,AH76)</f>
        <v>39.5</v>
      </c>
      <c r="AI91" s="93" t="str">
        <f t="shared" si="94"/>
        <v>5.7</v>
      </c>
      <c r="AJ91" s="93" t="str">
        <f t="shared" si="94"/>
        <v>1.0</v>
      </c>
      <c r="AK91" s="93"/>
      <c r="AL91" s="93"/>
      <c r="AM91" s="93" t="str">
        <f t="shared" ref="AM91:AO91" si="95">sum(AM65:AM69,AM76)</f>
        <v>31.5</v>
      </c>
      <c r="AN91" s="93" t="str">
        <f t="shared" si="95"/>
        <v>4.5</v>
      </c>
      <c r="AO91" s="93" t="str">
        <f t="shared" si="95"/>
        <v>0.8</v>
      </c>
      <c r="AP91" s="93"/>
      <c r="AQ91" s="93"/>
      <c r="AR91" s="93" t="str">
        <f t="shared" ref="AR91:AT91" si="96">sum(AR65:AR69,AR76)</f>
        <v>26.8</v>
      </c>
      <c r="AS91" s="93" t="str">
        <f t="shared" si="96"/>
        <v>3.7</v>
      </c>
      <c r="AT91" s="93" t="str">
        <f t="shared" si="96"/>
        <v>0.7</v>
      </c>
      <c r="AU91" s="93"/>
      <c r="AV91" s="93"/>
      <c r="AW91" s="93"/>
      <c r="AX91" s="93"/>
      <c r="AY91" s="93"/>
      <c r="AZ91" s="93"/>
      <c r="BA91" s="93"/>
      <c r="BB91" s="93"/>
      <c r="BC91" s="93"/>
    </row>
    <row r="92">
      <c r="A92" s="94"/>
      <c r="B92" s="78"/>
      <c r="C92" s="78"/>
      <c r="D92" s="78"/>
      <c r="E92" s="78"/>
      <c r="F92" s="78"/>
      <c r="G92" s="78"/>
      <c r="H92" s="78"/>
      <c r="I92" s="78"/>
      <c r="J92" s="78"/>
      <c r="K92" s="78"/>
      <c r="L92" s="78"/>
      <c r="M92" s="78"/>
      <c r="N92" s="78"/>
      <c r="O92" s="78"/>
      <c r="P92" s="78"/>
      <c r="Q92" s="78"/>
      <c r="R92" s="78"/>
      <c r="S92" s="78"/>
      <c r="T92" s="78"/>
      <c r="U92" s="78"/>
      <c r="V92" s="78"/>
      <c r="W92" s="78"/>
      <c r="X92" s="78"/>
      <c r="Y92" s="78"/>
      <c r="Z92" s="78"/>
      <c r="AA92" s="78"/>
      <c r="AB92" s="78"/>
      <c r="AC92" s="78"/>
      <c r="AD92" s="78"/>
      <c r="AE92" s="78"/>
      <c r="AF92" s="78"/>
      <c r="AG92" s="78"/>
      <c r="AH92" s="78"/>
      <c r="AI92" s="78"/>
      <c r="AJ92" s="78"/>
      <c r="AK92" s="78"/>
      <c r="AL92" s="78"/>
      <c r="AM92" s="78"/>
      <c r="AN92" s="78"/>
      <c r="AO92" s="78"/>
      <c r="AP92" s="78"/>
      <c r="AQ92" s="78"/>
      <c r="AR92" s="78"/>
      <c r="AS92" s="78"/>
      <c r="AT92" s="78"/>
      <c r="AU92" s="78"/>
      <c r="AV92" s="78"/>
      <c r="AW92" s="78"/>
      <c r="AX92" s="78"/>
      <c r="AY92" s="78"/>
      <c r="AZ92" s="78"/>
      <c r="BA92" s="78"/>
      <c r="BB92" s="78"/>
      <c r="BC92" s="78"/>
    </row>
    <row r="93">
      <c r="A93" s="74" t="s">
        <v>2</v>
      </c>
      <c r="B93" s="78"/>
      <c r="C93" s="78"/>
      <c r="D93" s="78"/>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row>
    <row r="94">
      <c r="A94" s="77" t="s">
        <v>316</v>
      </c>
      <c r="B94" s="78"/>
      <c r="C94" s="78"/>
      <c r="D94" s="78"/>
      <c r="E94" s="78"/>
      <c r="F94" s="78"/>
      <c r="G94" s="78"/>
      <c r="H94" s="78"/>
      <c r="I94" s="78"/>
      <c r="J94" s="78"/>
      <c r="K94" s="78"/>
      <c r="L94" s="78"/>
      <c r="M94" s="78"/>
      <c r="N94" s="78"/>
      <c r="O94" s="78"/>
      <c r="P94" s="78"/>
      <c r="Q94" s="78"/>
      <c r="R94" s="78"/>
      <c r="S94" s="78"/>
      <c r="T94" s="78"/>
      <c r="U94" s="78"/>
      <c r="V94" s="78"/>
      <c r="W94" s="78"/>
      <c r="X94" s="78"/>
      <c r="Y94" s="78"/>
      <c r="Z94" s="78"/>
      <c r="AA94" s="78"/>
      <c r="AB94" s="78"/>
      <c r="AC94" s="78"/>
      <c r="AD94" s="78"/>
      <c r="AE94" s="78"/>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row>
    <row r="95">
      <c r="A95" s="107" t="s">
        <v>658</v>
      </c>
      <c r="B95" s="43"/>
      <c r="C95" s="43"/>
      <c r="D95" s="43"/>
      <c r="E95" s="43"/>
      <c r="F95" s="43"/>
      <c r="G95" s="43"/>
      <c r="H95" s="79"/>
      <c r="I95" s="79" t="str">
        <f>'Data - districts in tons'!I81/1000</f>
        <v>0</v>
      </c>
      <c r="J95" s="79" t="str">
        <f>'Data - districts in tons'!J81/1000</f>
        <v>0</v>
      </c>
      <c r="K95" s="79" t="str">
        <f>'Data - districts in tons'!K81/1000</f>
        <v>0</v>
      </c>
      <c r="L95" s="79"/>
      <c r="M95" s="79"/>
      <c r="N95" s="79" t="str">
        <f>'Data - districts in tons'!N81/1000</f>
        <v>0</v>
      </c>
      <c r="O95" s="79" t="str">
        <f>'Data - districts in tons'!O81/1000</f>
        <v>0</v>
      </c>
      <c r="P95" s="79" t="str">
        <f>'Data - districts in tons'!P81/1000</f>
        <v>0</v>
      </c>
      <c r="Q95" s="79"/>
      <c r="R95" s="79"/>
      <c r="S95" s="79" t="str">
        <f>'Data - districts in tons'!S81/1000</f>
        <v>0</v>
      </c>
      <c r="T95" s="79" t="str">
        <f>'Data - districts in tons'!T81/1000</f>
        <v>0</v>
      </c>
      <c r="U95" s="79" t="str">
        <f>'Data - districts in tons'!U81/1000</f>
        <v>0</v>
      </c>
      <c r="V95" s="79"/>
      <c r="W95" s="79"/>
      <c r="X95" s="79" t="str">
        <f>'Data - districts in tons'!X81/1000</f>
        <v>0</v>
      </c>
      <c r="Y95" s="79" t="str">
        <f>'Data - districts in tons'!Y81/1000</f>
        <v>0</v>
      </c>
      <c r="Z95" s="79" t="str">
        <f>'Data - districts in tons'!Z81/1000</f>
        <v>0</v>
      </c>
      <c r="AA95" s="79"/>
      <c r="AB95" s="79"/>
      <c r="AC95" s="79" t="str">
        <f>'Data - districts in tons'!AC81/1000</f>
        <v>0</v>
      </c>
      <c r="AD95" s="79" t="str">
        <f>'Data - districts in tons'!AD81/1000</f>
        <v>0</v>
      </c>
      <c r="AE95" s="79" t="str">
        <f>'Data - districts in tons'!AE81/1000</f>
        <v>0</v>
      </c>
      <c r="AF95" s="79"/>
      <c r="AG95" s="79"/>
      <c r="AH95" s="79" t="str">
        <f>'Data - districts in tons'!AH81/1000</f>
        <v>0</v>
      </c>
      <c r="AI95" s="79" t="str">
        <f>'Data - districts in tons'!AI81/1000</f>
        <v>0</v>
      </c>
      <c r="AJ95" s="79" t="str">
        <f>'Data - districts in tons'!AJ81/1000</f>
        <v>0</v>
      </c>
      <c r="AK95" s="79"/>
      <c r="AL95" s="79"/>
      <c r="AM95" s="79" t="str">
        <f>'Data - districts in tons'!AM81/1000</f>
        <v>0</v>
      </c>
      <c r="AN95" s="79" t="str">
        <f>'Data - districts in tons'!AN81/1000</f>
        <v>0</v>
      </c>
      <c r="AO95" s="79" t="str">
        <f>'Data - districts in tons'!AO81/1000</f>
        <v>0</v>
      </c>
      <c r="AP95" s="79"/>
      <c r="AQ95" s="79"/>
      <c r="AR95" s="79" t="str">
        <f>'Data - districts in tons'!AR81/1000</f>
        <v>0</v>
      </c>
      <c r="AS95" s="79" t="str">
        <f>'Data - districts in tons'!AS81/1000</f>
        <v>0</v>
      </c>
      <c r="AT95" s="79" t="str">
        <f>'Data - districts in tons'!AT81/1000</f>
        <v>0</v>
      </c>
      <c r="AU95" s="79"/>
      <c r="AV95" s="43" t="str">
        <f t="shared" ref="AV95:AX95" si="97">sum(I95,N95,S95,X95,AC95,AH95,AM95,AR95)</f>
        <v>0</v>
      </c>
      <c r="AW95" s="79" t="str">
        <f t="shared" si="97"/>
        <v>0</v>
      </c>
      <c r="AX95" s="79" t="str">
        <f t="shared" si="97"/>
        <v>0</v>
      </c>
      <c r="AY95" s="79"/>
      <c r="AZ95" s="79"/>
      <c r="BA95" s="79"/>
      <c r="BB95" s="79"/>
      <c r="BC95" s="79"/>
    </row>
    <row r="96">
      <c r="A96" s="107" t="s">
        <v>347</v>
      </c>
      <c r="B96" s="79"/>
      <c r="C96" s="79"/>
      <c r="D96" s="79"/>
      <c r="E96" s="79"/>
      <c r="F96" s="79"/>
      <c r="G96" s="79"/>
      <c r="H96" s="79"/>
      <c r="I96" s="79" t="str">
        <f>'Data - districts in tons'!I82/1000</f>
        <v>0</v>
      </c>
      <c r="J96" s="79" t="str">
        <f>'Data - districts in tons'!J82/1000</f>
        <v>0</v>
      </c>
      <c r="K96" s="79" t="str">
        <f>'Data - districts in tons'!K82/1000</f>
        <v>0</v>
      </c>
      <c r="L96" s="79"/>
      <c r="M96" s="79"/>
      <c r="N96" s="79" t="str">
        <f>'Data - districts in tons'!N82/1000</f>
        <v>0</v>
      </c>
      <c r="O96" s="79" t="str">
        <f>'Data - districts in tons'!O82/1000</f>
        <v>0</v>
      </c>
      <c r="P96" s="79" t="str">
        <f>'Data - districts in tons'!P82/1000</f>
        <v>0</v>
      </c>
      <c r="Q96" s="79"/>
      <c r="R96" s="79"/>
      <c r="S96" s="79" t="str">
        <f>'Data - districts in tons'!S82/1000</f>
        <v>0</v>
      </c>
      <c r="T96" s="79" t="str">
        <f>'Data - districts in tons'!T82/1000</f>
        <v>0</v>
      </c>
      <c r="U96" s="79" t="str">
        <f>'Data - districts in tons'!U82/1000</f>
        <v>0</v>
      </c>
      <c r="V96" s="79"/>
      <c r="W96" s="79"/>
      <c r="X96" s="79" t="str">
        <f>'Data - districts in tons'!X82/1000</f>
        <v>0</v>
      </c>
      <c r="Y96" s="79" t="str">
        <f>'Data - districts in tons'!Y82/1000</f>
        <v>0</v>
      </c>
      <c r="Z96" s="79" t="str">
        <f>'Data - districts in tons'!Z82/1000</f>
        <v>0</v>
      </c>
      <c r="AA96" s="79"/>
      <c r="AB96" s="79"/>
      <c r="AC96" s="79" t="str">
        <f>'Data - districts in tons'!AC82/1000</f>
        <v>0</v>
      </c>
      <c r="AD96" s="79" t="str">
        <f>'Data - districts in tons'!AD82/1000</f>
        <v>0</v>
      </c>
      <c r="AE96" s="79" t="str">
        <f>'Data - districts in tons'!AE82/1000</f>
        <v>0</v>
      </c>
      <c r="AF96" s="79"/>
      <c r="AG96" s="79"/>
      <c r="AH96" s="79" t="str">
        <f>'Data - districts in tons'!AH82/1000</f>
        <v>0</v>
      </c>
      <c r="AI96" s="79" t="str">
        <f>'Data - districts in tons'!AI82/1000</f>
        <v>0</v>
      </c>
      <c r="AJ96" s="79" t="str">
        <f>'Data - districts in tons'!AJ82/1000</f>
        <v>0</v>
      </c>
      <c r="AK96" s="79"/>
      <c r="AL96" s="79"/>
      <c r="AM96" s="79" t="str">
        <f>'Data - districts in tons'!AM82/1000</f>
        <v>0</v>
      </c>
      <c r="AN96" s="79" t="str">
        <f>'Data - districts in tons'!AN82/1000</f>
        <v>0</v>
      </c>
      <c r="AO96" s="79" t="str">
        <f>'Data - districts in tons'!AO82/1000</f>
        <v>0</v>
      </c>
      <c r="AP96" s="79"/>
      <c r="AQ96" s="79"/>
      <c r="AR96" s="79" t="str">
        <f>'Data - districts in tons'!AR82/1000</f>
        <v>0</v>
      </c>
      <c r="AS96" s="79" t="str">
        <f>'Data - districts in tons'!AS82/1000</f>
        <v>0</v>
      </c>
      <c r="AT96" s="79" t="str">
        <f>'Data - districts in tons'!AT82/1000</f>
        <v>0</v>
      </c>
      <c r="AU96" s="79"/>
      <c r="AV96" s="43" t="str">
        <f t="shared" ref="AV96:AX96" si="98">sum(I96,N96,S96,X96,AC96,AH96,AM96,AR96)</f>
        <v>0</v>
      </c>
      <c r="AW96" s="79" t="str">
        <f t="shared" si="98"/>
        <v>0</v>
      </c>
      <c r="AX96" s="79" t="str">
        <f t="shared" si="98"/>
        <v>0</v>
      </c>
      <c r="AY96" s="79"/>
      <c r="AZ96" s="79"/>
      <c r="BA96" s="79"/>
      <c r="BB96" s="79"/>
      <c r="BC96" s="79"/>
    </row>
    <row r="97">
      <c r="A97" s="107" t="s">
        <v>659</v>
      </c>
      <c r="B97" s="79"/>
      <c r="C97" s="79"/>
      <c r="D97" s="79"/>
      <c r="E97" s="79"/>
      <c r="F97" s="79"/>
      <c r="G97" s="79"/>
      <c r="H97" s="79"/>
      <c r="I97" s="79" t="str">
        <f>'Data - districts in tons'!I83/1000</f>
        <v>0</v>
      </c>
      <c r="J97" s="79" t="str">
        <f>'Data - districts in tons'!J83/1000</f>
        <v>0</v>
      </c>
      <c r="K97" s="79" t="str">
        <f>'Data - districts in tons'!K83/1000</f>
        <v>0</v>
      </c>
      <c r="L97" s="79"/>
      <c r="M97" s="79"/>
      <c r="N97" s="79" t="str">
        <f>'Data - districts in tons'!N83/1000</f>
        <v>0</v>
      </c>
      <c r="O97" s="79" t="str">
        <f>'Data - districts in tons'!O83/1000</f>
        <v>0</v>
      </c>
      <c r="P97" s="79" t="str">
        <f>'Data - districts in tons'!P83/1000</f>
        <v>0</v>
      </c>
      <c r="Q97" s="79"/>
      <c r="R97" s="79"/>
      <c r="S97" s="79" t="str">
        <f>'Data - districts in tons'!S83/1000</f>
        <v>0</v>
      </c>
      <c r="T97" s="79" t="str">
        <f>'Data - districts in tons'!T83/1000</f>
        <v>0</v>
      </c>
      <c r="U97" s="79" t="str">
        <f>'Data - districts in tons'!U83/1000</f>
        <v>0</v>
      </c>
      <c r="V97" s="79"/>
      <c r="W97" s="79"/>
      <c r="X97" s="79" t="str">
        <f>'Data - districts in tons'!X83/1000</f>
        <v>0</v>
      </c>
      <c r="Y97" s="79" t="str">
        <f>'Data - districts in tons'!Y83/1000</f>
        <v>0</v>
      </c>
      <c r="Z97" s="79" t="str">
        <f>'Data - districts in tons'!Z83/1000</f>
        <v>0</v>
      </c>
      <c r="AA97" s="79"/>
      <c r="AB97" s="79"/>
      <c r="AC97" s="79" t="str">
        <f>'Data - districts in tons'!AC83/1000</f>
        <v>0</v>
      </c>
      <c r="AD97" s="79" t="str">
        <f>'Data - districts in tons'!AD83/1000</f>
        <v>0</v>
      </c>
      <c r="AE97" s="79" t="str">
        <f>'Data - districts in tons'!AE83/1000</f>
        <v>0</v>
      </c>
      <c r="AF97" s="79"/>
      <c r="AG97" s="79"/>
      <c r="AH97" s="79" t="str">
        <f>'Data - districts in tons'!AH83/1000</f>
        <v>0</v>
      </c>
      <c r="AI97" s="79" t="str">
        <f>'Data - districts in tons'!AI83/1000</f>
        <v>0</v>
      </c>
      <c r="AJ97" s="79" t="str">
        <f>'Data - districts in tons'!AJ83/1000</f>
        <v>0</v>
      </c>
      <c r="AK97" s="79"/>
      <c r="AL97" s="79"/>
      <c r="AM97" s="79" t="str">
        <f>'Data - districts in tons'!AM83/1000</f>
        <v>0</v>
      </c>
      <c r="AN97" s="79" t="str">
        <f>'Data - districts in tons'!AN83/1000</f>
        <v>0</v>
      </c>
      <c r="AO97" s="79" t="str">
        <f>'Data - districts in tons'!AO83/1000</f>
        <v>0</v>
      </c>
      <c r="AP97" s="79"/>
      <c r="AQ97" s="79"/>
      <c r="AR97" s="79" t="str">
        <f>'Data - districts in tons'!AR83/1000</f>
        <v>0</v>
      </c>
      <c r="AS97" s="79" t="str">
        <f>'Data - districts in tons'!AS83/1000</f>
        <v>0</v>
      </c>
      <c r="AT97" s="79" t="str">
        <f>'Data - districts in tons'!AT83/1000</f>
        <v>0</v>
      </c>
      <c r="AU97" s="79"/>
      <c r="AV97" s="43" t="str">
        <f t="shared" ref="AV97:AX97" si="99">sum(I97,N97,S97,X97,AC97,AH97,AM97,AR97)</f>
        <v>0</v>
      </c>
      <c r="AW97" s="79" t="str">
        <f t="shared" si="99"/>
        <v>0</v>
      </c>
      <c r="AX97" s="79" t="str">
        <f t="shared" si="99"/>
        <v>0</v>
      </c>
      <c r="AY97" s="79"/>
      <c r="AZ97" s="79"/>
      <c r="BA97" s="79"/>
      <c r="BB97" s="79"/>
      <c r="BC97" s="79"/>
    </row>
    <row r="98">
      <c r="A98" s="107" t="s">
        <v>367</v>
      </c>
      <c r="B98" s="79"/>
      <c r="C98" s="79"/>
      <c r="D98" s="79"/>
      <c r="E98" s="79"/>
      <c r="F98" s="79"/>
      <c r="G98" s="79"/>
      <c r="H98" s="79"/>
      <c r="I98" s="79" t="str">
        <f>'Data - districts in tons'!I84/1000</f>
        <v>0</v>
      </c>
      <c r="J98" s="79" t="str">
        <f>'Data - districts in tons'!J84/1000</f>
        <v>0</v>
      </c>
      <c r="K98" s="79" t="str">
        <f>'Data - districts in tons'!K84/1000</f>
        <v>0</v>
      </c>
      <c r="L98" s="79"/>
      <c r="M98" s="79"/>
      <c r="N98" s="79" t="str">
        <f>'Data - districts in tons'!N84/1000</f>
        <v>0</v>
      </c>
      <c r="O98" s="79" t="str">
        <f>'Data - districts in tons'!O84/1000</f>
        <v>0</v>
      </c>
      <c r="P98" s="79" t="str">
        <f>'Data - districts in tons'!P84/1000</f>
        <v>0</v>
      </c>
      <c r="Q98" s="79"/>
      <c r="R98" s="79"/>
      <c r="S98" s="79" t="str">
        <f>'Data - districts in tons'!S84/1000</f>
        <v>0</v>
      </c>
      <c r="T98" s="79" t="str">
        <f>'Data - districts in tons'!T84/1000</f>
        <v>0</v>
      </c>
      <c r="U98" s="79" t="str">
        <f>'Data - districts in tons'!U84/1000</f>
        <v>0</v>
      </c>
      <c r="V98" s="79"/>
      <c r="W98" s="79"/>
      <c r="X98" s="79" t="str">
        <f>'Data - districts in tons'!X84/1000</f>
        <v>0</v>
      </c>
      <c r="Y98" s="79" t="str">
        <f>'Data - districts in tons'!Y84/1000</f>
        <v>0</v>
      </c>
      <c r="Z98" s="79" t="str">
        <f>'Data - districts in tons'!Z84/1000</f>
        <v>0</v>
      </c>
      <c r="AA98" s="79"/>
      <c r="AB98" s="79"/>
      <c r="AC98" s="79" t="str">
        <f>'Data - districts in tons'!AC84/1000</f>
        <v>0</v>
      </c>
      <c r="AD98" s="79" t="str">
        <f>'Data - districts in tons'!AD84/1000</f>
        <v>0</v>
      </c>
      <c r="AE98" s="79" t="str">
        <f>'Data - districts in tons'!AE84/1000</f>
        <v>0</v>
      </c>
      <c r="AF98" s="79"/>
      <c r="AG98" s="79"/>
      <c r="AH98" s="79" t="str">
        <f>'Data - districts in tons'!AH84/1000</f>
        <v>0</v>
      </c>
      <c r="AI98" s="79" t="str">
        <f>'Data - districts in tons'!AI84/1000</f>
        <v>0</v>
      </c>
      <c r="AJ98" s="79" t="str">
        <f>'Data - districts in tons'!AJ84/1000</f>
        <v>0</v>
      </c>
      <c r="AK98" s="79"/>
      <c r="AL98" s="79"/>
      <c r="AM98" s="79" t="str">
        <f>'Data - districts in tons'!AM84/1000</f>
        <v>0</v>
      </c>
      <c r="AN98" s="79" t="str">
        <f>'Data - districts in tons'!AN84/1000</f>
        <v>0</v>
      </c>
      <c r="AO98" s="79" t="str">
        <f>'Data - districts in tons'!AO84/1000</f>
        <v>0</v>
      </c>
      <c r="AP98" s="79"/>
      <c r="AQ98" s="79"/>
      <c r="AR98" s="79" t="str">
        <f>'Data - districts in tons'!AR84/1000</f>
        <v>0</v>
      </c>
      <c r="AS98" s="79" t="str">
        <f>'Data - districts in tons'!AS84/1000</f>
        <v>0</v>
      </c>
      <c r="AT98" s="79" t="str">
        <f>'Data - districts in tons'!AT84/1000</f>
        <v>0</v>
      </c>
      <c r="AU98" s="79"/>
      <c r="AV98" s="43" t="str">
        <f t="shared" ref="AV98:AX98" si="100">sum(I98,N98,S98,X98,AC98,AH98,AM98,AR98)</f>
        <v>1</v>
      </c>
      <c r="AW98" s="79" t="str">
        <f t="shared" si="100"/>
        <v>0</v>
      </c>
      <c r="AX98" s="79" t="str">
        <f t="shared" si="100"/>
        <v>0</v>
      </c>
      <c r="AY98" s="79"/>
      <c r="AZ98" s="79"/>
      <c r="BA98" s="79"/>
      <c r="BB98" s="79"/>
      <c r="BC98" s="79"/>
    </row>
    <row r="99">
      <c r="A99" s="107" t="s">
        <v>660</v>
      </c>
      <c r="B99" s="79"/>
      <c r="C99" s="79"/>
      <c r="D99" s="79"/>
      <c r="E99" s="79"/>
      <c r="F99" s="79"/>
      <c r="G99" s="79"/>
      <c r="H99" s="79"/>
      <c r="I99" s="79" t="str">
        <f>'Data - districts in tons'!I85/1000</f>
        <v>0</v>
      </c>
      <c r="J99" s="79" t="str">
        <f>'Data - districts in tons'!J85/1000</f>
        <v>0</v>
      </c>
      <c r="K99" s="79" t="str">
        <f>'Data - districts in tons'!K85/1000</f>
        <v>0</v>
      </c>
      <c r="L99" s="79"/>
      <c r="M99" s="79"/>
      <c r="N99" s="79" t="str">
        <f>'Data - districts in tons'!N85/1000</f>
        <v>0</v>
      </c>
      <c r="O99" s="79" t="str">
        <f>'Data - districts in tons'!O85/1000</f>
        <v>0</v>
      </c>
      <c r="P99" s="79" t="str">
        <f>'Data - districts in tons'!P85/1000</f>
        <v>0</v>
      </c>
      <c r="Q99" s="79"/>
      <c r="R99" s="79"/>
      <c r="S99" s="79" t="str">
        <f>'Data - districts in tons'!S85/1000</f>
        <v>0</v>
      </c>
      <c r="T99" s="79" t="str">
        <f>'Data - districts in tons'!T85/1000</f>
        <v>0</v>
      </c>
      <c r="U99" s="79" t="str">
        <f>'Data - districts in tons'!U85/1000</f>
        <v>0</v>
      </c>
      <c r="V99" s="79"/>
      <c r="W99" s="79"/>
      <c r="X99" s="79" t="str">
        <f>'Data - districts in tons'!X85/1000</f>
        <v>0</v>
      </c>
      <c r="Y99" s="79" t="str">
        <f>'Data - districts in tons'!Y85/1000</f>
        <v>0</v>
      </c>
      <c r="Z99" s="79" t="str">
        <f>'Data - districts in tons'!Z85/1000</f>
        <v>0</v>
      </c>
      <c r="AA99" s="79"/>
      <c r="AB99" s="79"/>
      <c r="AC99" s="79" t="str">
        <f>'Data - districts in tons'!AC85/1000</f>
        <v>0</v>
      </c>
      <c r="AD99" s="79" t="str">
        <f>'Data - districts in tons'!AD85/1000</f>
        <v>0</v>
      </c>
      <c r="AE99" s="79" t="str">
        <f>'Data - districts in tons'!AE85/1000</f>
        <v>0</v>
      </c>
      <c r="AF99" s="79"/>
      <c r="AG99" s="79"/>
      <c r="AH99" s="79" t="str">
        <f>'Data - districts in tons'!AH85/1000</f>
        <v>0</v>
      </c>
      <c r="AI99" s="79" t="str">
        <f>'Data - districts in tons'!AI85/1000</f>
        <v>0</v>
      </c>
      <c r="AJ99" s="79" t="str">
        <f>'Data - districts in tons'!AJ85/1000</f>
        <v>0</v>
      </c>
      <c r="AK99" s="79"/>
      <c r="AL99" s="79"/>
      <c r="AM99" s="79" t="str">
        <f>'Data - districts in tons'!AM85/1000</f>
        <v>0</v>
      </c>
      <c r="AN99" s="79" t="str">
        <f>'Data - districts in tons'!AN85/1000</f>
        <v>0</v>
      </c>
      <c r="AO99" s="79" t="str">
        <f>'Data - districts in tons'!AO85/1000</f>
        <v>0</v>
      </c>
      <c r="AP99" s="79"/>
      <c r="AQ99" s="79"/>
      <c r="AR99" s="79" t="str">
        <f>'Data - districts in tons'!AR85/1000</f>
        <v>0</v>
      </c>
      <c r="AS99" s="79" t="str">
        <f>'Data - districts in tons'!AS85/1000</f>
        <v>0</v>
      </c>
      <c r="AT99" s="79" t="str">
        <f>'Data - districts in tons'!AT85/1000</f>
        <v>0</v>
      </c>
      <c r="AU99" s="79"/>
      <c r="AV99" s="43" t="str">
        <f t="shared" ref="AV99:AX99" si="101">sum(I99,N99,S99,X99,AC99,AH99,AM99,AR99)</f>
        <v>2</v>
      </c>
      <c r="AW99" s="79" t="str">
        <f t="shared" si="101"/>
        <v>0</v>
      </c>
      <c r="AX99" s="79" t="str">
        <f t="shared" si="101"/>
        <v>1</v>
      </c>
      <c r="AY99" s="79"/>
      <c r="AZ99" s="79"/>
      <c r="BA99" s="79"/>
      <c r="BB99" s="79"/>
      <c r="BC99" s="79"/>
    </row>
    <row r="100">
      <c r="A100" s="107" t="s">
        <v>661</v>
      </c>
      <c r="B100" s="79"/>
      <c r="C100" s="79"/>
      <c r="D100" s="79"/>
      <c r="E100" s="79"/>
      <c r="F100" s="79"/>
      <c r="G100" s="79"/>
      <c r="H100" s="79"/>
      <c r="I100" s="79" t="str">
        <f>'Data - districts in tons'!I86/1000</f>
        <v>1</v>
      </c>
      <c r="J100" s="79" t="str">
        <f>'Data - districts in tons'!J86/1000</f>
        <v>0</v>
      </c>
      <c r="K100" s="79" t="str">
        <f>'Data - districts in tons'!K86/1000</f>
        <v>0</v>
      </c>
      <c r="L100" s="79"/>
      <c r="M100" s="79"/>
      <c r="N100" s="79" t="str">
        <f>'Data - districts in tons'!N86/1000</f>
        <v>1</v>
      </c>
      <c r="O100" s="79" t="str">
        <f>'Data - districts in tons'!O86/1000</f>
        <v>0</v>
      </c>
      <c r="P100" s="79" t="str">
        <f>'Data - districts in tons'!P86/1000</f>
        <v>0</v>
      </c>
      <c r="Q100" s="79"/>
      <c r="R100" s="79"/>
      <c r="S100" s="79" t="str">
        <f>'Data - districts in tons'!S86/1000</f>
        <v>0</v>
      </c>
      <c r="T100" s="79" t="str">
        <f>'Data - districts in tons'!T86/1000</f>
        <v>0</v>
      </c>
      <c r="U100" s="79" t="str">
        <f>'Data - districts in tons'!U86/1000</f>
        <v>0</v>
      </c>
      <c r="V100" s="79"/>
      <c r="W100" s="79"/>
      <c r="X100" s="79" t="str">
        <f>'Data - districts in tons'!X86/1000</f>
        <v>1</v>
      </c>
      <c r="Y100" s="79" t="str">
        <f>'Data - districts in tons'!Y86/1000</f>
        <v>0</v>
      </c>
      <c r="Z100" s="79" t="str">
        <f>'Data - districts in tons'!Z86/1000</f>
        <v>0</v>
      </c>
      <c r="AA100" s="79"/>
      <c r="AB100" s="79"/>
      <c r="AC100" s="79" t="str">
        <f>'Data - districts in tons'!AC86/1000</f>
        <v>1</v>
      </c>
      <c r="AD100" s="79" t="str">
        <f>'Data - districts in tons'!AD86/1000</f>
        <v>0</v>
      </c>
      <c r="AE100" s="79" t="str">
        <f>'Data - districts in tons'!AE86/1000</f>
        <v>0</v>
      </c>
      <c r="AF100" s="79"/>
      <c r="AG100" s="79"/>
      <c r="AH100" s="79" t="str">
        <f>'Data - districts in tons'!AH86/1000</f>
        <v>1</v>
      </c>
      <c r="AI100" s="79" t="str">
        <f>'Data - districts in tons'!AI86/1000</f>
        <v>0</v>
      </c>
      <c r="AJ100" s="79" t="str">
        <f>'Data - districts in tons'!AJ86/1000</f>
        <v>0</v>
      </c>
      <c r="AK100" s="79"/>
      <c r="AL100" s="79"/>
      <c r="AM100" s="79" t="str">
        <f>'Data - districts in tons'!AM86/1000</f>
        <v>1</v>
      </c>
      <c r="AN100" s="79" t="str">
        <f>'Data - districts in tons'!AN86/1000</f>
        <v>0</v>
      </c>
      <c r="AO100" s="79" t="str">
        <f>'Data - districts in tons'!AO86/1000</f>
        <v>0</v>
      </c>
      <c r="AP100" s="79"/>
      <c r="AQ100" s="79"/>
      <c r="AR100" s="79" t="str">
        <f>'Data - districts in tons'!AR86/1000</f>
        <v>1</v>
      </c>
      <c r="AS100" s="79" t="str">
        <f>'Data - districts in tons'!AS86/1000</f>
        <v>0</v>
      </c>
      <c r="AT100" s="79" t="str">
        <f>'Data - districts in tons'!AT86/1000</f>
        <v>0</v>
      </c>
      <c r="AU100" s="79"/>
      <c r="AV100" s="43" t="str">
        <f t="shared" ref="AV100:AX100" si="102">sum(I100,N100,S100,X100,AC100,AH100,AM100,AR100)</f>
        <v>5</v>
      </c>
      <c r="AW100" s="79" t="str">
        <f t="shared" si="102"/>
        <v>0</v>
      </c>
      <c r="AX100" s="79" t="str">
        <f t="shared" si="102"/>
        <v>0</v>
      </c>
      <c r="AY100" s="79"/>
      <c r="AZ100" s="79"/>
      <c r="BA100" s="79"/>
      <c r="BB100" s="79"/>
      <c r="BC100" s="79"/>
    </row>
    <row r="101">
      <c r="A101" s="107" t="s">
        <v>662</v>
      </c>
      <c r="B101" s="79"/>
      <c r="C101" s="79"/>
      <c r="D101" s="79"/>
      <c r="E101" s="79"/>
      <c r="F101" s="79"/>
      <c r="G101" s="79"/>
      <c r="H101" s="79"/>
      <c r="I101" s="79" t="str">
        <f>'Data - districts in tons'!I87/1000</f>
        <v>1</v>
      </c>
      <c r="J101" s="79" t="str">
        <f>'Data - districts in tons'!J87/1000</f>
        <v>0</v>
      </c>
      <c r="K101" s="79" t="str">
        <f>'Data - districts in tons'!K87/1000</f>
        <v>0</v>
      </c>
      <c r="L101" s="79"/>
      <c r="M101" s="79"/>
      <c r="N101" s="79" t="str">
        <f>'Data - districts in tons'!N87/1000</f>
        <v>1</v>
      </c>
      <c r="O101" s="79" t="str">
        <f>'Data - districts in tons'!O87/1000</f>
        <v>0</v>
      </c>
      <c r="P101" s="79" t="str">
        <f>'Data - districts in tons'!P87/1000</f>
        <v>0</v>
      </c>
      <c r="Q101" s="79"/>
      <c r="R101" s="79"/>
      <c r="S101" s="79" t="str">
        <f>'Data - districts in tons'!S87/1000</f>
        <v>0</v>
      </c>
      <c r="T101" s="79" t="str">
        <f>'Data - districts in tons'!T87/1000</f>
        <v>0</v>
      </c>
      <c r="U101" s="79" t="str">
        <f>'Data - districts in tons'!U87/1000</f>
        <v>0</v>
      </c>
      <c r="V101" s="79"/>
      <c r="W101" s="79"/>
      <c r="X101" s="79" t="str">
        <f>'Data - districts in tons'!X87/1000</f>
        <v>1</v>
      </c>
      <c r="Y101" s="79" t="str">
        <f>'Data - districts in tons'!Y87/1000</f>
        <v>0</v>
      </c>
      <c r="Z101" s="79" t="str">
        <f>'Data - districts in tons'!Z87/1000</f>
        <v>0</v>
      </c>
      <c r="AA101" s="79"/>
      <c r="AB101" s="79"/>
      <c r="AC101" s="79" t="str">
        <f>'Data - districts in tons'!AC87/1000</f>
        <v>1</v>
      </c>
      <c r="AD101" s="79" t="str">
        <f>'Data - districts in tons'!AD87/1000</f>
        <v>0</v>
      </c>
      <c r="AE101" s="79" t="str">
        <f>'Data - districts in tons'!AE87/1000</f>
        <v>0</v>
      </c>
      <c r="AF101" s="79"/>
      <c r="AG101" s="79"/>
      <c r="AH101" s="79" t="str">
        <f>'Data - districts in tons'!AH87/1000</f>
        <v>1</v>
      </c>
      <c r="AI101" s="79" t="str">
        <f>'Data - districts in tons'!AI87/1000</f>
        <v>0</v>
      </c>
      <c r="AJ101" s="79" t="str">
        <f>'Data - districts in tons'!AJ87/1000</f>
        <v>0</v>
      </c>
      <c r="AK101" s="79"/>
      <c r="AL101" s="79"/>
      <c r="AM101" s="79" t="str">
        <f>'Data - districts in tons'!AM87/1000</f>
        <v>1</v>
      </c>
      <c r="AN101" s="79" t="str">
        <f>'Data - districts in tons'!AN87/1000</f>
        <v>0</v>
      </c>
      <c r="AO101" s="79" t="str">
        <f>'Data - districts in tons'!AO87/1000</f>
        <v>0</v>
      </c>
      <c r="AP101" s="79"/>
      <c r="AQ101" s="79"/>
      <c r="AR101" s="79" t="str">
        <f>'Data - districts in tons'!AR87/1000</f>
        <v>1</v>
      </c>
      <c r="AS101" s="79" t="str">
        <f>'Data - districts in tons'!AS87/1000</f>
        <v>0</v>
      </c>
      <c r="AT101" s="79" t="str">
        <f>'Data - districts in tons'!AT87/1000</f>
        <v>0</v>
      </c>
      <c r="AU101" s="79"/>
      <c r="AV101" s="43" t="str">
        <f t="shared" ref="AV101:AX101" si="103">sum(I101,N101,S101,X101,AC101,AH101,AM101,AR101)</f>
        <v>8</v>
      </c>
      <c r="AW101" s="79" t="str">
        <f t="shared" si="103"/>
        <v>0</v>
      </c>
      <c r="AX101" s="79" t="str">
        <f t="shared" si="103"/>
        <v>1</v>
      </c>
      <c r="AY101" s="79"/>
      <c r="AZ101" s="79"/>
      <c r="BA101" s="79"/>
      <c r="BB101" s="79"/>
      <c r="BC101" s="79"/>
    </row>
    <row r="102">
      <c r="A102" s="107" t="s">
        <v>663</v>
      </c>
      <c r="B102" s="79"/>
      <c r="C102" s="79"/>
      <c r="D102" s="79"/>
      <c r="E102" s="79"/>
      <c r="F102" s="79"/>
      <c r="G102" s="79"/>
      <c r="H102" s="79"/>
      <c r="I102" s="79" t="str">
        <f>'Data - districts in tons'!I88/1000</f>
        <v>2</v>
      </c>
      <c r="J102" s="79" t="str">
        <f>'Data - districts in tons'!J88/1000</f>
        <v>0</v>
      </c>
      <c r="K102" s="79" t="str">
        <f>'Data - districts in tons'!K88/1000</f>
        <v>0</v>
      </c>
      <c r="L102" s="79"/>
      <c r="M102" s="79"/>
      <c r="N102" s="79" t="str">
        <f>'Data - districts in tons'!N88/1000</f>
        <v>2</v>
      </c>
      <c r="O102" s="79" t="str">
        <f>'Data - districts in tons'!O88/1000</f>
        <v>0</v>
      </c>
      <c r="P102" s="79" t="str">
        <f>'Data - districts in tons'!P88/1000</f>
        <v>0</v>
      </c>
      <c r="Q102" s="79"/>
      <c r="R102" s="79"/>
      <c r="S102" s="79" t="str">
        <f>'Data - districts in tons'!S88/1000</f>
        <v>0</v>
      </c>
      <c r="T102" s="79" t="str">
        <f>'Data - districts in tons'!T88/1000</f>
        <v>0</v>
      </c>
      <c r="U102" s="79" t="str">
        <f>'Data - districts in tons'!U88/1000</f>
        <v>0</v>
      </c>
      <c r="V102" s="79"/>
      <c r="W102" s="79"/>
      <c r="X102" s="79" t="str">
        <f>'Data - districts in tons'!X88/1000</f>
        <v>3</v>
      </c>
      <c r="Y102" s="79" t="str">
        <f>'Data - districts in tons'!Y88/1000</f>
        <v>0</v>
      </c>
      <c r="Z102" s="79" t="str">
        <f>'Data - districts in tons'!Z88/1000</f>
        <v>0</v>
      </c>
      <c r="AA102" s="79"/>
      <c r="AB102" s="79"/>
      <c r="AC102" s="79" t="str">
        <f>'Data - districts in tons'!AC88/1000</f>
        <v>3</v>
      </c>
      <c r="AD102" s="79" t="str">
        <f>'Data - districts in tons'!AD88/1000</f>
        <v>0</v>
      </c>
      <c r="AE102" s="79" t="str">
        <f>'Data - districts in tons'!AE88/1000</f>
        <v>0</v>
      </c>
      <c r="AF102" s="79"/>
      <c r="AG102" s="79"/>
      <c r="AH102" s="79" t="str">
        <f>'Data - districts in tons'!AH88/1000</f>
        <v>3</v>
      </c>
      <c r="AI102" s="79" t="str">
        <f>'Data - districts in tons'!AI88/1000</f>
        <v>0</v>
      </c>
      <c r="AJ102" s="79" t="str">
        <f>'Data - districts in tons'!AJ88/1000</f>
        <v>0</v>
      </c>
      <c r="AK102" s="79"/>
      <c r="AL102" s="79"/>
      <c r="AM102" s="79" t="str">
        <f>'Data - districts in tons'!AM88/1000</f>
        <v>2</v>
      </c>
      <c r="AN102" s="79" t="str">
        <f>'Data - districts in tons'!AN88/1000</f>
        <v>0</v>
      </c>
      <c r="AO102" s="79" t="str">
        <f>'Data - districts in tons'!AO88/1000</f>
        <v>0</v>
      </c>
      <c r="AP102" s="79"/>
      <c r="AQ102" s="79"/>
      <c r="AR102" s="79" t="str">
        <f>'Data - districts in tons'!AR88/1000</f>
        <v>2</v>
      </c>
      <c r="AS102" s="79" t="str">
        <f>'Data - districts in tons'!AS88/1000</f>
        <v>0</v>
      </c>
      <c r="AT102" s="79" t="str">
        <f>'Data - districts in tons'!AT88/1000</f>
        <v>0</v>
      </c>
      <c r="AU102" s="79"/>
      <c r="AV102" s="43" t="str">
        <f t="shared" ref="AV102:AX102" si="104">sum(I102,N102,S102,X102,AC102,AH102,AM102,AR102)</f>
        <v>16</v>
      </c>
      <c r="AW102" s="79" t="str">
        <f t="shared" si="104"/>
        <v>1</v>
      </c>
      <c r="AX102" s="79" t="str">
        <f t="shared" si="104"/>
        <v>1</v>
      </c>
      <c r="AY102" s="79"/>
      <c r="AZ102" s="79"/>
      <c r="BA102" s="79"/>
      <c r="BB102" s="79"/>
      <c r="BC102" s="79"/>
    </row>
    <row r="103">
      <c r="A103" s="107" t="s">
        <v>664</v>
      </c>
      <c r="B103" s="79"/>
      <c r="C103" s="79"/>
      <c r="D103" s="79"/>
      <c r="E103" s="79"/>
      <c r="F103" s="79"/>
      <c r="G103" s="79"/>
      <c r="H103" s="79"/>
      <c r="I103" s="79" t="str">
        <f>'Data - districts in tons'!I89/1000</f>
        <v>0</v>
      </c>
      <c r="J103" s="79" t="str">
        <f>'Data - districts in tons'!J89/1000</f>
        <v>0</v>
      </c>
      <c r="K103" s="79" t="str">
        <f>'Data - districts in tons'!K89/1000</f>
        <v>0</v>
      </c>
      <c r="L103" s="79"/>
      <c r="M103" s="79"/>
      <c r="N103" s="79" t="str">
        <f>'Data - districts in tons'!N89/1000</f>
        <v>0</v>
      </c>
      <c r="O103" s="79" t="str">
        <f>'Data - districts in tons'!O89/1000</f>
        <v>0</v>
      </c>
      <c r="P103" s="79" t="str">
        <f>'Data - districts in tons'!P89/1000</f>
        <v>0</v>
      </c>
      <c r="Q103" s="79"/>
      <c r="R103" s="79"/>
      <c r="S103" s="79" t="str">
        <f>'Data - districts in tons'!S89/1000</f>
        <v>0</v>
      </c>
      <c r="T103" s="79" t="str">
        <f>'Data - districts in tons'!T89/1000</f>
        <v>0</v>
      </c>
      <c r="U103" s="79" t="str">
        <f>'Data - districts in tons'!U89/1000</f>
        <v>0</v>
      </c>
      <c r="V103" s="79"/>
      <c r="W103" s="79"/>
      <c r="X103" s="79" t="str">
        <f>'Data - districts in tons'!X89/1000</f>
        <v>0</v>
      </c>
      <c r="Y103" s="79" t="str">
        <f>'Data - districts in tons'!Y89/1000</f>
        <v>0</v>
      </c>
      <c r="Z103" s="79" t="str">
        <f>'Data - districts in tons'!Z89/1000</f>
        <v>0</v>
      </c>
      <c r="AA103" s="79"/>
      <c r="AB103" s="79"/>
      <c r="AC103" s="79" t="str">
        <f>'Data - districts in tons'!AC89/1000</f>
        <v>0</v>
      </c>
      <c r="AD103" s="79" t="str">
        <f>'Data - districts in tons'!AD89/1000</f>
        <v>0</v>
      </c>
      <c r="AE103" s="79" t="str">
        <f>'Data - districts in tons'!AE89/1000</f>
        <v>0</v>
      </c>
      <c r="AF103" s="79"/>
      <c r="AG103" s="79"/>
      <c r="AH103" s="79" t="str">
        <f>'Data - districts in tons'!AH89/1000</f>
        <v>0</v>
      </c>
      <c r="AI103" s="79" t="str">
        <f>'Data - districts in tons'!AI89/1000</f>
        <v>0</v>
      </c>
      <c r="AJ103" s="79" t="str">
        <f>'Data - districts in tons'!AJ89/1000</f>
        <v>0</v>
      </c>
      <c r="AK103" s="79"/>
      <c r="AL103" s="79"/>
      <c r="AM103" s="79" t="str">
        <f>'Data - districts in tons'!AM89/1000</f>
        <v>0</v>
      </c>
      <c r="AN103" s="79" t="str">
        <f>'Data - districts in tons'!AN89/1000</f>
        <v>0</v>
      </c>
      <c r="AO103" s="79" t="str">
        <f>'Data - districts in tons'!AO89/1000</f>
        <v>0</v>
      </c>
      <c r="AP103" s="79"/>
      <c r="AQ103" s="79"/>
      <c r="AR103" s="79" t="str">
        <f>'Data - districts in tons'!AR89/1000</f>
        <v>0</v>
      </c>
      <c r="AS103" s="79" t="str">
        <f>'Data - districts in tons'!AS89/1000</f>
        <v>0</v>
      </c>
      <c r="AT103" s="79" t="str">
        <f>'Data - districts in tons'!AT89/1000</f>
        <v>0</v>
      </c>
      <c r="AU103" s="79"/>
      <c r="AV103" s="43" t="str">
        <f t="shared" ref="AV103:AX103" si="105">sum(I103,N103,S103,X103,AC103,AH103,AM103,AR103)</f>
        <v>1</v>
      </c>
      <c r="AW103" s="79" t="str">
        <f t="shared" si="105"/>
        <v>0</v>
      </c>
      <c r="AX103" s="79" t="str">
        <f t="shared" si="105"/>
        <v>0</v>
      </c>
      <c r="AY103" s="79"/>
      <c r="AZ103" s="79"/>
      <c r="BA103" s="79"/>
      <c r="BB103" s="79"/>
      <c r="BC103" s="79"/>
    </row>
    <row r="104">
      <c r="A104" s="107" t="s">
        <v>665</v>
      </c>
      <c r="B104" s="79"/>
      <c r="C104" s="79"/>
      <c r="D104" s="79"/>
      <c r="E104" s="79"/>
      <c r="F104" s="79"/>
      <c r="G104" s="79"/>
      <c r="H104" s="79"/>
      <c r="I104" s="79" t="str">
        <f>'Data - districts in tons'!I90/1000</f>
        <v>2</v>
      </c>
      <c r="J104" s="79" t="str">
        <f>'Data - districts in tons'!J90/1000</f>
        <v>0</v>
      </c>
      <c r="K104" s="79" t="str">
        <f>'Data - districts in tons'!K90/1000</f>
        <v>0</v>
      </c>
      <c r="L104" s="79"/>
      <c r="M104" s="79"/>
      <c r="N104" s="79" t="str">
        <f>'Data - districts in tons'!N90/1000</f>
        <v>2</v>
      </c>
      <c r="O104" s="79" t="str">
        <f>'Data - districts in tons'!O90/1000</f>
        <v>0</v>
      </c>
      <c r="P104" s="79" t="str">
        <f>'Data - districts in tons'!P90/1000</f>
        <v>0</v>
      </c>
      <c r="Q104" s="79"/>
      <c r="R104" s="79"/>
      <c r="S104" s="79" t="str">
        <f>'Data - districts in tons'!S90/1000</f>
        <v>0</v>
      </c>
      <c r="T104" s="79" t="str">
        <f>'Data - districts in tons'!T90/1000</f>
        <v>0</v>
      </c>
      <c r="U104" s="79" t="str">
        <f>'Data - districts in tons'!U90/1000</f>
        <v>0</v>
      </c>
      <c r="V104" s="79"/>
      <c r="W104" s="79"/>
      <c r="X104" s="79" t="str">
        <f>'Data - districts in tons'!X90/1000</f>
        <v>3</v>
      </c>
      <c r="Y104" s="79" t="str">
        <f>'Data - districts in tons'!Y90/1000</f>
        <v>0</v>
      </c>
      <c r="Z104" s="79" t="str">
        <f>'Data - districts in tons'!Z90/1000</f>
        <v>0</v>
      </c>
      <c r="AA104" s="79"/>
      <c r="AB104" s="79"/>
      <c r="AC104" s="79" t="str">
        <f>'Data - districts in tons'!AC90/1000</f>
        <v>3</v>
      </c>
      <c r="AD104" s="79" t="str">
        <f>'Data - districts in tons'!AD90/1000</f>
        <v>0</v>
      </c>
      <c r="AE104" s="79" t="str">
        <f>'Data - districts in tons'!AE90/1000</f>
        <v>0</v>
      </c>
      <c r="AF104" s="79"/>
      <c r="AG104" s="79"/>
      <c r="AH104" s="79" t="str">
        <f>'Data - districts in tons'!AH90/1000</f>
        <v>3</v>
      </c>
      <c r="AI104" s="79" t="str">
        <f>'Data - districts in tons'!AI90/1000</f>
        <v>0</v>
      </c>
      <c r="AJ104" s="79" t="str">
        <f>'Data - districts in tons'!AJ90/1000</f>
        <v>0</v>
      </c>
      <c r="AK104" s="79"/>
      <c r="AL104" s="79"/>
      <c r="AM104" s="79" t="str">
        <f>'Data - districts in tons'!AM90/1000</f>
        <v>3</v>
      </c>
      <c r="AN104" s="79" t="str">
        <f>'Data - districts in tons'!AN90/1000</f>
        <v>0</v>
      </c>
      <c r="AO104" s="79" t="str">
        <f>'Data - districts in tons'!AO90/1000</f>
        <v>0</v>
      </c>
      <c r="AP104" s="79"/>
      <c r="AQ104" s="79"/>
      <c r="AR104" s="79" t="str">
        <f>'Data - districts in tons'!AR90/1000</f>
        <v>2</v>
      </c>
      <c r="AS104" s="79" t="str">
        <f>'Data - districts in tons'!AS90/1000</f>
        <v>0</v>
      </c>
      <c r="AT104" s="79" t="str">
        <f>'Data - districts in tons'!AT90/1000</f>
        <v>0</v>
      </c>
      <c r="AU104" s="79"/>
      <c r="AV104" s="43" t="str">
        <f t="shared" ref="AV104:AX104" si="106">sum(I104,N104,S104,X104,AC104,AH104,AM104,AR104)</f>
        <v>19</v>
      </c>
      <c r="AW104" s="79" t="str">
        <f t="shared" si="106"/>
        <v>1</v>
      </c>
      <c r="AX104" s="79" t="str">
        <f t="shared" si="106"/>
        <v>0</v>
      </c>
      <c r="AY104" s="79"/>
      <c r="AZ104" s="79"/>
      <c r="BA104" s="79"/>
      <c r="BB104" s="79"/>
      <c r="BC104" s="79"/>
    </row>
    <row r="105">
      <c r="A105" s="107" t="s">
        <v>434</v>
      </c>
      <c r="B105" s="79"/>
      <c r="C105" s="79"/>
      <c r="D105" s="79"/>
      <c r="E105" s="79"/>
      <c r="F105" s="79"/>
      <c r="G105" s="79"/>
      <c r="H105" s="79"/>
      <c r="I105" s="79" t="str">
        <f>'Data - districts in tons'!I91/1000</f>
        <v>0</v>
      </c>
      <c r="J105" s="79" t="str">
        <f>'Data - districts in tons'!J91/1000</f>
        <v>0</v>
      </c>
      <c r="K105" s="79" t="str">
        <f>'Data - districts in tons'!K91/1000</f>
        <v>0</v>
      </c>
      <c r="L105" s="79"/>
      <c r="M105" s="79"/>
      <c r="N105" s="79" t="str">
        <f>'Data - districts in tons'!N91/1000</f>
        <v>0</v>
      </c>
      <c r="O105" s="79" t="str">
        <f>'Data - districts in tons'!O91/1000</f>
        <v>0</v>
      </c>
      <c r="P105" s="79" t="str">
        <f>'Data - districts in tons'!P91/1000</f>
        <v>0</v>
      </c>
      <c r="Q105" s="79"/>
      <c r="R105" s="79"/>
      <c r="S105" s="79" t="str">
        <f>'Data - districts in tons'!S91/1000</f>
        <v>0</v>
      </c>
      <c r="T105" s="79" t="str">
        <f>'Data - districts in tons'!T91/1000</f>
        <v>0</v>
      </c>
      <c r="U105" s="79" t="str">
        <f>'Data - districts in tons'!U91/1000</f>
        <v>0</v>
      </c>
      <c r="V105" s="79"/>
      <c r="W105" s="79"/>
      <c r="X105" s="79" t="str">
        <f>'Data - districts in tons'!X91/1000</f>
        <v>1</v>
      </c>
      <c r="Y105" s="79" t="str">
        <f>'Data - districts in tons'!Y91/1000</f>
        <v>0</v>
      </c>
      <c r="Z105" s="79" t="str">
        <f>'Data - districts in tons'!Z91/1000</f>
        <v>0</v>
      </c>
      <c r="AA105" s="79"/>
      <c r="AB105" s="79"/>
      <c r="AC105" s="79" t="str">
        <f>'Data - districts in tons'!AC91/1000</f>
        <v>1</v>
      </c>
      <c r="AD105" s="79" t="str">
        <f>'Data - districts in tons'!AD91/1000</f>
        <v>0</v>
      </c>
      <c r="AE105" s="79" t="str">
        <f>'Data - districts in tons'!AE91/1000</f>
        <v>0</v>
      </c>
      <c r="AF105" s="79"/>
      <c r="AG105" s="79"/>
      <c r="AH105" s="79" t="str">
        <f>'Data - districts in tons'!AH91/1000</f>
        <v>1</v>
      </c>
      <c r="AI105" s="79" t="str">
        <f>'Data - districts in tons'!AI91/1000</f>
        <v>0</v>
      </c>
      <c r="AJ105" s="79" t="str">
        <f>'Data - districts in tons'!AJ91/1000</f>
        <v>0</v>
      </c>
      <c r="AK105" s="79"/>
      <c r="AL105" s="79"/>
      <c r="AM105" s="79" t="str">
        <f>'Data - districts in tons'!AM91/1000</f>
        <v>1</v>
      </c>
      <c r="AN105" s="79" t="str">
        <f>'Data - districts in tons'!AN91/1000</f>
        <v>0</v>
      </c>
      <c r="AO105" s="79" t="str">
        <f>'Data - districts in tons'!AO91/1000</f>
        <v>0</v>
      </c>
      <c r="AP105" s="79"/>
      <c r="AQ105" s="79"/>
      <c r="AR105" s="79" t="str">
        <f>'Data - districts in tons'!AR91/1000</f>
        <v>0</v>
      </c>
      <c r="AS105" s="79" t="str">
        <f>'Data - districts in tons'!AS91/1000</f>
        <v>0</v>
      </c>
      <c r="AT105" s="79" t="str">
        <f>'Data - districts in tons'!AT91/1000</f>
        <v>0</v>
      </c>
      <c r="AU105" s="79"/>
      <c r="AV105" s="43" t="str">
        <f t="shared" ref="AV105:AX105" si="107">sum(I105,N105,S105,X105,AC105,AH105,AM105,AR105)</f>
        <v>4</v>
      </c>
      <c r="AW105" s="79" t="str">
        <f t="shared" si="107"/>
        <v>0</v>
      </c>
      <c r="AX105" s="79" t="str">
        <f t="shared" si="107"/>
        <v>0</v>
      </c>
      <c r="AY105" s="79"/>
      <c r="AZ105" s="79"/>
      <c r="BA105" s="79"/>
      <c r="BB105" s="79"/>
      <c r="BC105" s="79"/>
    </row>
    <row r="106">
      <c r="A106" s="107" t="s">
        <v>666</v>
      </c>
      <c r="B106" s="79"/>
      <c r="C106" s="79"/>
      <c r="D106" s="79"/>
      <c r="E106" s="79"/>
      <c r="F106" s="79"/>
      <c r="G106" s="79"/>
      <c r="H106" s="79"/>
      <c r="I106" s="79" t="str">
        <f>'Data - districts in tons'!I92/1000</f>
        <v>2</v>
      </c>
      <c r="J106" s="79" t="str">
        <f>'Data - districts in tons'!J92/1000</f>
        <v>0</v>
      </c>
      <c r="K106" s="79" t="str">
        <f>'Data - districts in tons'!K92/1000</f>
        <v>0</v>
      </c>
      <c r="L106" s="79"/>
      <c r="M106" s="79"/>
      <c r="N106" s="79" t="str">
        <f>'Data - districts in tons'!N92/1000</f>
        <v>2</v>
      </c>
      <c r="O106" s="79" t="str">
        <f>'Data - districts in tons'!O92/1000</f>
        <v>0</v>
      </c>
      <c r="P106" s="79" t="str">
        <f>'Data - districts in tons'!P92/1000</f>
        <v>0</v>
      </c>
      <c r="Q106" s="79"/>
      <c r="R106" s="79"/>
      <c r="S106" s="79" t="str">
        <f>'Data - districts in tons'!S92/1000</f>
        <v>0</v>
      </c>
      <c r="T106" s="79" t="str">
        <f>'Data - districts in tons'!T92/1000</f>
        <v>0</v>
      </c>
      <c r="U106" s="79" t="str">
        <f>'Data - districts in tons'!U92/1000</f>
        <v>0</v>
      </c>
      <c r="V106" s="79"/>
      <c r="W106" s="79"/>
      <c r="X106" s="79" t="str">
        <f>'Data - districts in tons'!X92/1000</f>
        <v>4</v>
      </c>
      <c r="Y106" s="79" t="str">
        <f>'Data - districts in tons'!Y92/1000</f>
        <v>0</v>
      </c>
      <c r="Z106" s="79" t="str">
        <f>'Data - districts in tons'!Z92/1000</f>
        <v>0</v>
      </c>
      <c r="AA106" s="79"/>
      <c r="AB106" s="79"/>
      <c r="AC106" s="79" t="str">
        <f>'Data - districts in tons'!AC92/1000</f>
        <v>4</v>
      </c>
      <c r="AD106" s="79" t="str">
        <f>'Data - districts in tons'!AD92/1000</f>
        <v>0</v>
      </c>
      <c r="AE106" s="79" t="str">
        <f>'Data - districts in tons'!AE92/1000</f>
        <v>0</v>
      </c>
      <c r="AF106" s="79"/>
      <c r="AG106" s="79"/>
      <c r="AH106" s="79" t="str">
        <f>'Data - districts in tons'!AH92/1000</f>
        <v>4</v>
      </c>
      <c r="AI106" s="79" t="str">
        <f>'Data - districts in tons'!AI92/1000</f>
        <v>0</v>
      </c>
      <c r="AJ106" s="79" t="str">
        <f>'Data - districts in tons'!AJ92/1000</f>
        <v>0</v>
      </c>
      <c r="AK106" s="79"/>
      <c r="AL106" s="79"/>
      <c r="AM106" s="79" t="str">
        <f>'Data - districts in tons'!AM92/1000</f>
        <v>3</v>
      </c>
      <c r="AN106" s="79" t="str">
        <f>'Data - districts in tons'!AN92/1000</f>
        <v>0</v>
      </c>
      <c r="AO106" s="79" t="str">
        <f>'Data - districts in tons'!AO92/1000</f>
        <v>0</v>
      </c>
      <c r="AP106" s="79"/>
      <c r="AQ106" s="79"/>
      <c r="AR106" s="79" t="str">
        <f>'Data - districts in tons'!AR92/1000</f>
        <v>2</v>
      </c>
      <c r="AS106" s="79" t="str">
        <f>'Data - districts in tons'!AS92/1000</f>
        <v>0</v>
      </c>
      <c r="AT106" s="79" t="str">
        <f>'Data - districts in tons'!AT92/1000</f>
        <v>0</v>
      </c>
      <c r="AU106" s="79"/>
      <c r="AV106" s="43" t="str">
        <f t="shared" ref="AV106:AX106" si="108">sum(I106,N106,S106,X106,AC106,AH106,AM106,AR106)</f>
        <v>22</v>
      </c>
      <c r="AW106" s="79" t="str">
        <f t="shared" si="108"/>
        <v>1</v>
      </c>
      <c r="AX106" s="79" t="str">
        <f t="shared" si="108"/>
        <v>1</v>
      </c>
      <c r="AY106" s="79"/>
      <c r="AZ106" s="79"/>
      <c r="BA106" s="79"/>
      <c r="BB106" s="79"/>
      <c r="BC106" s="79"/>
    </row>
    <row r="107">
      <c r="A107" s="10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9"/>
      <c r="AK107" s="78"/>
      <c r="AL107" s="78"/>
      <c r="AM107" s="78"/>
      <c r="AN107" s="78"/>
      <c r="AO107" s="78"/>
      <c r="AP107" s="78"/>
      <c r="AQ107" s="78"/>
      <c r="AR107" s="78"/>
      <c r="AS107" s="78"/>
      <c r="AT107" s="78"/>
      <c r="AU107" s="78"/>
      <c r="AV107" s="78"/>
      <c r="AW107" s="78"/>
      <c r="AX107" s="78"/>
      <c r="AY107" s="78"/>
      <c r="AZ107" s="78"/>
      <c r="BA107" s="78"/>
      <c r="BB107" s="78"/>
      <c r="BC107" s="78"/>
    </row>
    <row r="108">
      <c r="A108" s="109" t="s">
        <v>618</v>
      </c>
      <c r="B108" s="86"/>
      <c r="C108" s="86"/>
      <c r="D108" s="86"/>
      <c r="E108" s="86"/>
      <c r="F108" s="86"/>
      <c r="G108" s="86"/>
      <c r="H108" s="86"/>
      <c r="I108" s="86" t="str">
        <f t="shared" ref="I108:K108" si="109">sum(I95:I106)</f>
        <v>9</v>
      </c>
      <c r="J108" s="86" t="str">
        <f t="shared" si="109"/>
        <v>0</v>
      </c>
      <c r="K108" s="86" t="str">
        <f t="shared" si="109"/>
        <v>0</v>
      </c>
      <c r="L108" s="86"/>
      <c r="M108" s="86"/>
      <c r="N108" s="86" t="str">
        <f t="shared" ref="N108:P108" si="110">sum(N95:N106)</f>
        <v>9</v>
      </c>
      <c r="O108" s="86" t="str">
        <f t="shared" si="110"/>
        <v>0</v>
      </c>
      <c r="P108" s="86" t="str">
        <f t="shared" si="110"/>
        <v>0</v>
      </c>
      <c r="Q108" s="86"/>
      <c r="R108" s="86"/>
      <c r="S108" s="86" t="str">
        <f t="shared" ref="S108:U108" si="111">sum(S95:S106)</f>
        <v>0</v>
      </c>
      <c r="T108" s="86" t="str">
        <f t="shared" si="111"/>
        <v>0</v>
      </c>
      <c r="U108" s="86" t="str">
        <f t="shared" si="111"/>
        <v>0</v>
      </c>
      <c r="V108" s="86"/>
      <c r="W108" s="86"/>
      <c r="X108" s="86" t="str">
        <f t="shared" ref="X108:Z108" si="112">sum(X95:X106)</f>
        <v>14</v>
      </c>
      <c r="Y108" s="86" t="str">
        <f t="shared" si="112"/>
        <v>1</v>
      </c>
      <c r="Z108" s="86" t="str">
        <f t="shared" si="112"/>
        <v>1</v>
      </c>
      <c r="AA108" s="86"/>
      <c r="AB108" s="86"/>
      <c r="AC108" s="86" t="str">
        <f t="shared" ref="AC108:AE108" si="113">sum(AC95:AC106)</f>
        <v>14</v>
      </c>
      <c r="AD108" s="86" t="str">
        <f t="shared" si="113"/>
        <v>1</v>
      </c>
      <c r="AE108" s="86" t="str">
        <f t="shared" si="113"/>
        <v>1</v>
      </c>
      <c r="AF108" s="86"/>
      <c r="AG108" s="86"/>
      <c r="AH108" s="86" t="str">
        <f t="shared" ref="AH108:AJ108" si="114">sum(AH95:AH106)</f>
        <v>14</v>
      </c>
      <c r="AI108" s="86" t="str">
        <f t="shared" si="114"/>
        <v>1</v>
      </c>
      <c r="AJ108" s="86" t="str">
        <f t="shared" si="114"/>
        <v>1</v>
      </c>
      <c r="AK108" s="86"/>
      <c r="AL108" s="86"/>
      <c r="AM108" s="86" t="str">
        <f t="shared" ref="AM108:AO108" si="115">sum(AM95:AM106)</f>
        <v>12</v>
      </c>
      <c r="AN108" s="86" t="str">
        <f t="shared" si="115"/>
        <v>1</v>
      </c>
      <c r="AO108" s="86" t="str">
        <f t="shared" si="115"/>
        <v>1</v>
      </c>
      <c r="AP108" s="86"/>
      <c r="AQ108" s="86"/>
      <c r="AR108" s="86" t="str">
        <f t="shared" ref="AR108:AT108" si="116">sum(AR95:AR106)</f>
        <v>8</v>
      </c>
      <c r="AS108" s="86" t="str">
        <f t="shared" si="116"/>
        <v>0</v>
      </c>
      <c r="AT108" s="86" t="str">
        <f t="shared" si="116"/>
        <v>0</v>
      </c>
      <c r="AU108" s="86"/>
      <c r="AV108" s="86" t="str">
        <f t="shared" ref="AV108:AX108" si="117">sum(AV95:AV106)</f>
        <v>80</v>
      </c>
      <c r="AW108" s="86" t="str">
        <f t="shared" si="117"/>
        <v>4</v>
      </c>
      <c r="AX108" s="86" t="str">
        <f t="shared" si="117"/>
        <v>4</v>
      </c>
      <c r="AY108" s="86"/>
      <c r="AZ108" s="86"/>
      <c r="BA108" s="86"/>
      <c r="BB108" s="86"/>
      <c r="BC108" s="86"/>
    </row>
    <row r="109">
      <c r="A109" s="74" t="s">
        <v>2</v>
      </c>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c r="AA109" s="78"/>
      <c r="AB109" s="78"/>
      <c r="AC109" s="78"/>
      <c r="AD109" s="78"/>
      <c r="AE109" s="78"/>
      <c r="AF109" s="78"/>
      <c r="AG109" s="78"/>
      <c r="AH109" s="78"/>
      <c r="AI109" s="78"/>
      <c r="AJ109" s="78"/>
      <c r="AK109" s="78"/>
      <c r="AL109" s="78"/>
      <c r="AM109" s="78"/>
      <c r="AN109" s="78"/>
      <c r="AO109" s="78"/>
      <c r="AP109" s="78"/>
      <c r="AQ109" s="78"/>
      <c r="AR109" s="78"/>
      <c r="AS109" s="78"/>
      <c r="AT109" s="78"/>
      <c r="AU109" s="78"/>
      <c r="AV109" s="78"/>
      <c r="AW109" s="78"/>
      <c r="AX109" s="78"/>
      <c r="AY109" s="78"/>
      <c r="AZ109" s="78"/>
      <c r="BA109" s="78"/>
      <c r="BB109" s="78"/>
      <c r="BC109" s="78"/>
    </row>
    <row r="110">
      <c r="A110" s="110" t="s">
        <v>466</v>
      </c>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c r="AA110" s="78"/>
      <c r="AB110" s="78"/>
      <c r="AC110" s="78"/>
      <c r="AD110" s="78"/>
      <c r="AE110" s="78"/>
      <c r="AF110" s="78"/>
      <c r="AG110" s="78"/>
      <c r="AH110" s="78"/>
      <c r="AI110" s="78"/>
      <c r="AJ110" s="78"/>
      <c r="AK110" s="78"/>
      <c r="AL110" s="78"/>
      <c r="AM110" s="78"/>
      <c r="AN110" s="78"/>
      <c r="AO110" s="78"/>
      <c r="AP110" s="78"/>
      <c r="AQ110" s="78"/>
      <c r="AR110" s="78"/>
      <c r="AS110" s="78"/>
      <c r="AT110" s="78"/>
      <c r="AU110" s="78"/>
      <c r="AV110" s="78"/>
      <c r="AW110" s="78"/>
      <c r="AX110" s="78"/>
      <c r="AY110" s="78"/>
      <c r="AZ110" s="78"/>
      <c r="BA110" s="78"/>
      <c r="BB110" s="78"/>
      <c r="BC110" s="78"/>
    </row>
    <row r="111">
      <c r="A111" s="90" t="s">
        <v>667</v>
      </c>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c r="AA111" s="78"/>
      <c r="AB111" s="78"/>
      <c r="AC111" s="78"/>
      <c r="AD111" s="78"/>
      <c r="AE111" s="78"/>
      <c r="AF111" s="78"/>
      <c r="AG111" s="78"/>
      <c r="AH111" s="78"/>
      <c r="AI111" s="78"/>
      <c r="AJ111" s="78"/>
      <c r="AK111" s="78"/>
      <c r="AL111" s="78"/>
      <c r="AM111" s="78"/>
      <c r="AN111" s="78"/>
      <c r="AO111" s="78"/>
      <c r="AP111" s="78"/>
      <c r="AQ111" s="78"/>
      <c r="AR111" s="78"/>
      <c r="AS111" s="78"/>
      <c r="AT111" s="78"/>
      <c r="AU111" s="78"/>
      <c r="AV111" s="78"/>
      <c r="AW111" s="78"/>
      <c r="AX111" s="78"/>
      <c r="AY111" s="78"/>
      <c r="AZ111" s="78"/>
      <c r="BA111" s="78"/>
      <c r="BB111" s="78"/>
      <c r="BC111" s="78"/>
    </row>
    <row r="112">
      <c r="A112" s="91" t="s">
        <v>467</v>
      </c>
      <c r="B112" s="16">
        <v>84.5</v>
      </c>
      <c r="C112" s="16" t="str">
        <f t="shared" ref="C112:C113" si="127">B112*61%</f>
        <v>51.545</v>
      </c>
      <c r="D112" s="16">
        <v>10.0</v>
      </c>
      <c r="E112" s="16" t="str">
        <f t="shared" ref="E112:E113" si="128">B112*3%</f>
        <v>2.535</v>
      </c>
      <c r="F112" s="16"/>
      <c r="G112" s="16">
        <v>23936.0</v>
      </c>
      <c r="H112" s="71">
        <v>1664.0</v>
      </c>
      <c r="I112" s="96" t="str">
        <f t="shared" ref="I112:K112" si="118">(C112*$H112)/1000</f>
        <v>85.8</v>
      </c>
      <c r="J112" s="96" t="str">
        <f t="shared" si="118"/>
        <v>16.6</v>
      </c>
      <c r="K112" s="96" t="str">
        <f t="shared" si="118"/>
        <v>4.2</v>
      </c>
      <c r="M112" s="71">
        <v>6784.0</v>
      </c>
      <c r="N112" s="96" t="str">
        <f t="shared" ref="N112:P112" si="119">($M112*C112)/1000</f>
        <v>349.7</v>
      </c>
      <c r="O112" s="96" t="str">
        <f t="shared" si="119"/>
        <v>67.8</v>
      </c>
      <c r="P112" s="96" t="str">
        <f t="shared" si="119"/>
        <v>17.2</v>
      </c>
      <c r="R112" s="16">
        <v>56.0</v>
      </c>
      <c r="S112" s="96" t="str">
        <f t="shared" ref="S112:U112" si="120">($R112*C112)/1000</f>
        <v>2.9</v>
      </c>
      <c r="T112" s="96" t="str">
        <f t="shared" si="120"/>
        <v>0.6</v>
      </c>
      <c r="U112" s="96" t="str">
        <f t="shared" si="120"/>
        <v>0.1</v>
      </c>
      <c r="W112" s="16">
        <v>3696.0</v>
      </c>
      <c r="X112" s="96" t="str">
        <f t="shared" ref="X112:Z112" si="121">($W112*C112)/1000</f>
        <v>190.5</v>
      </c>
      <c r="Y112" s="96" t="str">
        <f t="shared" si="121"/>
        <v>37.0</v>
      </c>
      <c r="Z112" s="96" t="str">
        <f t="shared" si="121"/>
        <v>9.4</v>
      </c>
      <c r="AB112" s="16">
        <v>2410.0</v>
      </c>
      <c r="AC112" s="96" t="str">
        <f t="shared" ref="AC112:AE112" si="122">($AB112*C112)/1000</f>
        <v>124.2</v>
      </c>
      <c r="AD112" s="96" t="str">
        <f t="shared" si="122"/>
        <v>24.1</v>
      </c>
      <c r="AE112" s="96" t="str">
        <f t="shared" si="122"/>
        <v>6.1</v>
      </c>
      <c r="AG112" s="16">
        <v>5278.0</v>
      </c>
      <c r="AH112" s="96" t="str">
        <f t="shared" ref="AH112:AJ112" si="123">($AG112*C112)/1000</f>
        <v>272.1</v>
      </c>
      <c r="AI112" s="96" t="str">
        <f t="shared" si="123"/>
        <v>52.8</v>
      </c>
      <c r="AJ112" s="96" t="str">
        <f t="shared" si="123"/>
        <v>13.4</v>
      </c>
      <c r="AL112" s="71">
        <v>2596.0</v>
      </c>
      <c r="AM112" s="111" t="str">
        <f t="shared" ref="AM112:AO112" si="124">($AL112*C112)/1000</f>
        <v>133.8</v>
      </c>
      <c r="AN112" s="111" t="str">
        <f t="shared" si="124"/>
        <v>26.0</v>
      </c>
      <c r="AO112" s="111" t="str">
        <f t="shared" si="124"/>
        <v>6.6</v>
      </c>
      <c r="AQ112" s="71">
        <v>1452.0</v>
      </c>
      <c r="AR112" s="111" t="str">
        <f t="shared" ref="AR112:AT112" si="125">($AQ112*C112)/1000</f>
        <v>74.8</v>
      </c>
      <c r="AS112" s="111" t="str">
        <f t="shared" si="125"/>
        <v>14.5</v>
      </c>
      <c r="AT112" s="111" t="str">
        <f t="shared" si="125"/>
        <v>3.7</v>
      </c>
      <c r="AV112" s="96" t="str">
        <f t="shared" ref="AV112:AX112" si="126">I112+N112+S112+X112+AC112+AH112+AM112+AR112</f>
        <v>1233.8</v>
      </c>
      <c r="AW112" s="96" t="str">
        <f t="shared" si="126"/>
        <v>239.4</v>
      </c>
      <c r="AX112" s="96" t="str">
        <f t="shared" si="126"/>
        <v>60.7</v>
      </c>
      <c r="AY112" s="96"/>
      <c r="AZ112" s="96"/>
      <c r="BA112" s="96"/>
      <c r="BB112" s="96"/>
      <c r="BC112" s="96"/>
    </row>
    <row r="113">
      <c r="A113" s="91" t="s">
        <v>472</v>
      </c>
      <c r="B113" s="71">
        <v>15.0</v>
      </c>
      <c r="C113" s="16" t="str">
        <f t="shared" si="127"/>
        <v>9.15</v>
      </c>
      <c r="D113" s="16" t="str">
        <f>B113*3%</f>
        <v>0.45</v>
      </c>
      <c r="E113" s="16" t="str">
        <f t="shared" si="128"/>
        <v>0.45</v>
      </c>
      <c r="F113" s="71"/>
      <c r="G113" s="71">
        <v>26287.0</v>
      </c>
      <c r="H113" s="112">
        <v>667.0</v>
      </c>
      <c r="I113" s="96" t="str">
        <f t="shared" ref="I113:K113" si="129">(C113*$H113)/1000</f>
        <v>6.1</v>
      </c>
      <c r="J113" s="96" t="str">
        <f t="shared" si="129"/>
        <v>0.3</v>
      </c>
      <c r="K113" s="96" t="str">
        <f t="shared" si="129"/>
        <v>0.3</v>
      </c>
      <c r="M113" s="112">
        <v>11933.0</v>
      </c>
      <c r="N113" s="96" t="str">
        <f t="shared" ref="N113:P113" si="130">($M113*C113)/1000</f>
        <v>109.2</v>
      </c>
      <c r="O113" s="96" t="str">
        <f t="shared" si="130"/>
        <v>5.4</v>
      </c>
      <c r="P113" s="96" t="str">
        <f t="shared" si="130"/>
        <v>5.4</v>
      </c>
      <c r="R113" s="112">
        <v>0.0</v>
      </c>
      <c r="S113" s="96" t="str">
        <f t="shared" ref="S113:U113" si="131">($R113*C113)/1000</f>
        <v>0.0</v>
      </c>
      <c r="T113" s="96" t="str">
        <f t="shared" si="131"/>
        <v>0.0</v>
      </c>
      <c r="U113" s="96" t="str">
        <f t="shared" si="131"/>
        <v>0.0</v>
      </c>
      <c r="W113" s="112">
        <v>2726.0</v>
      </c>
      <c r="X113" s="96" t="str">
        <f t="shared" ref="X113:Z113" si="132">($W113*C113)/1000</f>
        <v>24.9</v>
      </c>
      <c r="Y113" s="96" t="str">
        <f t="shared" si="132"/>
        <v>1.2</v>
      </c>
      <c r="Z113" s="96" t="str">
        <f t="shared" si="132"/>
        <v>1.2</v>
      </c>
      <c r="AB113" s="112">
        <v>2496.0</v>
      </c>
      <c r="AC113" s="96" t="str">
        <f t="shared" ref="AC113:AE113" si="133">($AB113*C113)/1000</f>
        <v>22.8</v>
      </c>
      <c r="AD113" s="96" t="str">
        <f t="shared" si="133"/>
        <v>1.1</v>
      </c>
      <c r="AE113" s="96" t="str">
        <f t="shared" si="133"/>
        <v>1.1</v>
      </c>
      <c r="AG113" s="112">
        <v>5723.0</v>
      </c>
      <c r="AH113" s="96" t="str">
        <f t="shared" ref="AH113:AJ113" si="134">($AG113*C113)/1000</f>
        <v>52.4</v>
      </c>
      <c r="AI113" s="96" t="str">
        <f t="shared" si="134"/>
        <v>2.6</v>
      </c>
      <c r="AJ113" s="96" t="str">
        <f t="shared" si="134"/>
        <v>2.6</v>
      </c>
      <c r="AL113" s="112">
        <v>2074.0</v>
      </c>
      <c r="AM113" s="111" t="str">
        <f t="shared" ref="AM113:AO113" si="135">($AL113*C113)/1000</f>
        <v>19.0</v>
      </c>
      <c r="AN113" s="111" t="str">
        <f t="shared" si="135"/>
        <v>0.9</v>
      </c>
      <c r="AO113" s="111" t="str">
        <f t="shared" si="135"/>
        <v>0.9</v>
      </c>
      <c r="AQ113" s="112">
        <v>668.0</v>
      </c>
      <c r="AR113" s="111" t="str">
        <f t="shared" ref="AR113:AT113" si="136">($AQ113*C113)/1000</f>
        <v>6.1</v>
      </c>
      <c r="AS113" s="111" t="str">
        <f t="shared" si="136"/>
        <v>0.3</v>
      </c>
      <c r="AT113" s="111" t="str">
        <f t="shared" si="136"/>
        <v>0.3</v>
      </c>
      <c r="AV113" s="96" t="str">
        <f t="shared" ref="AV113:AX113" si="137">I113+N113+S113+X113+AC113+AH113+AM113+AR113</f>
        <v>240.5</v>
      </c>
      <c r="AW113" s="96" t="str">
        <f t="shared" si="137"/>
        <v>11.8</v>
      </c>
      <c r="AX113" s="96" t="str">
        <f t="shared" si="137"/>
        <v>11.8</v>
      </c>
      <c r="AY113" s="96"/>
      <c r="AZ113" s="96"/>
      <c r="BA113" s="96"/>
      <c r="BB113" s="96"/>
      <c r="BC113" s="96"/>
    </row>
    <row r="114">
      <c r="A114" s="91" t="s">
        <v>663</v>
      </c>
      <c r="B114" s="71">
        <v>225.0</v>
      </c>
      <c r="C114" s="71" t="str">
        <f t="shared" ref="C114:C115" si="147">B114*50.7%</f>
        <v>114.075</v>
      </c>
      <c r="D114" s="71" t="str">
        <f t="shared" ref="D114:D115" si="148">B114*2.8%</f>
        <v>6.3</v>
      </c>
      <c r="E114" s="71" t="str">
        <f t="shared" ref="E114:E115" si="149">B114*2.4%</f>
        <v>5.4</v>
      </c>
      <c r="F114" s="71"/>
      <c r="G114" s="71">
        <v>1772.0</v>
      </c>
      <c r="H114" s="71">
        <v>42.0</v>
      </c>
      <c r="I114" s="96" t="str">
        <f t="shared" ref="I114:K114" si="138">(C114*$H114)/1000</f>
        <v>4.8</v>
      </c>
      <c r="J114" s="96" t="str">
        <f t="shared" si="138"/>
        <v>0.3</v>
      </c>
      <c r="K114" s="96" t="str">
        <f t="shared" si="138"/>
        <v>0.2</v>
      </c>
      <c r="M114" s="71">
        <v>822.0</v>
      </c>
      <c r="N114" s="96" t="str">
        <f t="shared" ref="N114:P114" si="139">($M114*C114)/1000</f>
        <v>93.8</v>
      </c>
      <c r="O114" s="96" t="str">
        <f t="shared" si="139"/>
        <v>5.2</v>
      </c>
      <c r="P114" s="96" t="str">
        <f t="shared" si="139"/>
        <v>4.4</v>
      </c>
      <c r="R114" s="112">
        <v>0.0</v>
      </c>
      <c r="S114" s="96" t="str">
        <f t="shared" ref="S114:U114" si="140">($R114*C114)/1000</f>
        <v>0.0</v>
      </c>
      <c r="T114" s="96" t="str">
        <f t="shared" si="140"/>
        <v>0.0</v>
      </c>
      <c r="U114" s="96" t="str">
        <f t="shared" si="140"/>
        <v>0.0</v>
      </c>
      <c r="W114" s="71">
        <v>195.0</v>
      </c>
      <c r="X114" s="96" t="str">
        <f t="shared" ref="X114:Z114" si="141">($W114*C114)/1000</f>
        <v>22.2</v>
      </c>
      <c r="Y114" s="96" t="str">
        <f t="shared" si="141"/>
        <v>1.2</v>
      </c>
      <c r="Z114" s="96" t="str">
        <f t="shared" si="141"/>
        <v>1.1</v>
      </c>
      <c r="AB114" s="71">
        <v>171.0</v>
      </c>
      <c r="AC114" s="96" t="str">
        <f t="shared" ref="AC114:AE114" si="142">($AB114*C114)/1000</f>
        <v>19.5</v>
      </c>
      <c r="AD114" s="96" t="str">
        <f t="shared" si="142"/>
        <v>1.1</v>
      </c>
      <c r="AE114" s="96" t="str">
        <f t="shared" si="142"/>
        <v>0.9</v>
      </c>
      <c r="AG114" s="71">
        <v>360.0</v>
      </c>
      <c r="AH114" s="96" t="str">
        <f t="shared" ref="AH114:AJ114" si="143">($AG114*C114)/1000</f>
        <v>41.1</v>
      </c>
      <c r="AI114" s="96" t="str">
        <f t="shared" si="143"/>
        <v>2.3</v>
      </c>
      <c r="AJ114" s="96" t="str">
        <f t="shared" si="143"/>
        <v>1.9</v>
      </c>
      <c r="AL114" s="71">
        <v>140.0</v>
      </c>
      <c r="AM114" s="111" t="str">
        <f t="shared" ref="AM114:AO114" si="144">($AL114*C114)/1000</f>
        <v>16.0</v>
      </c>
      <c r="AN114" s="111" t="str">
        <f t="shared" si="144"/>
        <v>0.9</v>
      </c>
      <c r="AO114" s="111" t="str">
        <f t="shared" si="144"/>
        <v>0.8</v>
      </c>
      <c r="AQ114" s="71">
        <v>44.0</v>
      </c>
      <c r="AR114" s="111" t="str">
        <f t="shared" ref="AR114:AT114" si="145">($AQ114*C114)/1000</f>
        <v>5.0</v>
      </c>
      <c r="AS114" s="111" t="str">
        <f t="shared" si="145"/>
        <v>0.3</v>
      </c>
      <c r="AT114" s="111" t="str">
        <f t="shared" si="145"/>
        <v>0.2</v>
      </c>
      <c r="AV114" s="96" t="str">
        <f t="shared" ref="AV114:AX114" si="146">I114+N114+S114+X114+AC114+AH114+AM114+AR114</f>
        <v>202.4</v>
      </c>
      <c r="AW114" s="96" t="str">
        <f t="shared" si="146"/>
        <v>11.2</v>
      </c>
      <c r="AX114" s="96" t="str">
        <f t="shared" si="146"/>
        <v>9.6</v>
      </c>
      <c r="AY114" s="96"/>
      <c r="AZ114" s="96"/>
      <c r="BA114" s="96"/>
      <c r="BB114" s="96"/>
      <c r="BC114" s="96"/>
    </row>
    <row r="115">
      <c r="A115" s="91" t="s">
        <v>662</v>
      </c>
      <c r="B115" s="71">
        <v>225.0</v>
      </c>
      <c r="C115" s="71" t="str">
        <f t="shared" si="147"/>
        <v>114.075</v>
      </c>
      <c r="D115" s="71" t="str">
        <f t="shared" si="148"/>
        <v>6.3</v>
      </c>
      <c r="E115" s="71" t="str">
        <f t="shared" si="149"/>
        <v>5.4</v>
      </c>
      <c r="F115" s="71"/>
      <c r="G115" s="71">
        <v>1772.0</v>
      </c>
      <c r="H115" s="71">
        <v>42.0</v>
      </c>
      <c r="I115" s="96" t="str">
        <f t="shared" ref="I115:K115" si="150">(C115*$H115)/1000</f>
        <v>4.8</v>
      </c>
      <c r="J115" s="96" t="str">
        <f t="shared" si="150"/>
        <v>0.3</v>
      </c>
      <c r="K115" s="96" t="str">
        <f t="shared" si="150"/>
        <v>0.2</v>
      </c>
      <c r="M115" s="71">
        <v>822.0</v>
      </c>
      <c r="N115" s="96" t="str">
        <f t="shared" ref="N115:P115" si="151">($M115*C115)/1000</f>
        <v>93.8</v>
      </c>
      <c r="O115" s="96" t="str">
        <f t="shared" si="151"/>
        <v>5.2</v>
      </c>
      <c r="P115" s="96" t="str">
        <f t="shared" si="151"/>
        <v>4.4</v>
      </c>
      <c r="R115" s="112">
        <v>0.0</v>
      </c>
      <c r="S115" s="96" t="str">
        <f t="shared" ref="S115:U115" si="152">($R115*C115)/1000</f>
        <v>0.0</v>
      </c>
      <c r="T115" s="96" t="str">
        <f t="shared" si="152"/>
        <v>0.0</v>
      </c>
      <c r="U115" s="96" t="str">
        <f t="shared" si="152"/>
        <v>0.0</v>
      </c>
      <c r="W115" s="71">
        <v>195.0</v>
      </c>
      <c r="X115" s="96" t="str">
        <f t="shared" ref="X115:Z115" si="153">($W115*C115)/1000</f>
        <v>22.2</v>
      </c>
      <c r="Y115" s="96" t="str">
        <f t="shared" si="153"/>
        <v>1.2</v>
      </c>
      <c r="Z115" s="96" t="str">
        <f t="shared" si="153"/>
        <v>1.1</v>
      </c>
      <c r="AB115" s="71">
        <v>171.0</v>
      </c>
      <c r="AC115" s="96" t="str">
        <f t="shared" ref="AC115:AE115" si="154">($AB115*C115)/1000</f>
        <v>19.5</v>
      </c>
      <c r="AD115" s="96" t="str">
        <f t="shared" si="154"/>
        <v>1.1</v>
      </c>
      <c r="AE115" s="96" t="str">
        <f t="shared" si="154"/>
        <v>0.9</v>
      </c>
      <c r="AG115" s="71">
        <v>360.0</v>
      </c>
      <c r="AH115" s="96" t="str">
        <f t="shared" ref="AH115:AJ115" si="155">($AG115*C115)/1000</f>
        <v>41.1</v>
      </c>
      <c r="AI115" s="96" t="str">
        <f t="shared" si="155"/>
        <v>2.3</v>
      </c>
      <c r="AJ115" s="96" t="str">
        <f t="shared" si="155"/>
        <v>1.9</v>
      </c>
      <c r="AL115" s="71">
        <v>140.0</v>
      </c>
      <c r="AM115" s="111" t="str">
        <f t="shared" ref="AM115:AO115" si="156">($AL115*C115)/1000</f>
        <v>16.0</v>
      </c>
      <c r="AN115" s="111" t="str">
        <f t="shared" si="156"/>
        <v>0.9</v>
      </c>
      <c r="AO115" s="111" t="str">
        <f t="shared" si="156"/>
        <v>0.8</v>
      </c>
      <c r="AQ115" s="71">
        <v>44.0</v>
      </c>
      <c r="AR115" s="111" t="str">
        <f t="shared" ref="AR115:AT115" si="157">($AQ115*C115)/1000</f>
        <v>5.0</v>
      </c>
      <c r="AS115" s="111" t="str">
        <f t="shared" si="157"/>
        <v>0.3</v>
      </c>
      <c r="AT115" s="111" t="str">
        <f t="shared" si="157"/>
        <v>0.2</v>
      </c>
      <c r="AV115" s="96" t="str">
        <f t="shared" ref="AV115:AX115" si="158">I115+N115+S115+X115+AC115+AH115+AM115+AR115</f>
        <v>202.4</v>
      </c>
      <c r="AW115" s="96" t="str">
        <f t="shared" si="158"/>
        <v>11.2</v>
      </c>
      <c r="AX115" s="96" t="str">
        <f t="shared" si="158"/>
        <v>9.6</v>
      </c>
      <c r="AY115" s="96"/>
      <c r="AZ115" s="96"/>
      <c r="BA115" s="96"/>
      <c r="BB115" s="96"/>
      <c r="BC115" s="96"/>
    </row>
    <row r="116">
      <c r="A116" s="91" t="s">
        <v>661</v>
      </c>
      <c r="B116" s="71">
        <v>60.0</v>
      </c>
      <c r="C116" s="71" t="str">
        <f>B116*50%</f>
        <v>30</v>
      </c>
      <c r="D116" s="71" t="str">
        <f>B116*3.5%</f>
        <v>2.1</v>
      </c>
      <c r="E116" s="71" t="str">
        <f>B116*2.5%</f>
        <v>1.5</v>
      </c>
      <c r="F116" s="71"/>
      <c r="G116" s="71">
        <v>7528.0</v>
      </c>
      <c r="H116" s="112">
        <v>517.0</v>
      </c>
      <c r="I116" s="96" t="str">
        <f t="shared" ref="I116:K116" si="159">(C116*$H116)/1000</f>
        <v>15.5</v>
      </c>
      <c r="J116" s="96" t="str">
        <f t="shared" si="159"/>
        <v>1.1</v>
      </c>
      <c r="K116" s="96" t="str">
        <f t="shared" si="159"/>
        <v>0.8</v>
      </c>
      <c r="M116" s="112">
        <v>2180.0</v>
      </c>
      <c r="N116" s="96" t="str">
        <f t="shared" ref="N116:P116" si="160">($M116*C116)/1000</f>
        <v>65.4</v>
      </c>
      <c r="O116" s="96" t="str">
        <f t="shared" si="160"/>
        <v>4.6</v>
      </c>
      <c r="P116" s="96" t="str">
        <f t="shared" si="160"/>
        <v>3.3</v>
      </c>
      <c r="R116" s="112">
        <v>22.0</v>
      </c>
      <c r="S116" s="96" t="str">
        <f t="shared" ref="S116:U116" si="161">($R116*C116)/1000</f>
        <v>0.7</v>
      </c>
      <c r="T116" s="96" t="str">
        <f t="shared" si="161"/>
        <v>0.0</v>
      </c>
      <c r="U116" s="96" t="str">
        <f t="shared" si="161"/>
        <v>0.0</v>
      </c>
      <c r="W116" s="112">
        <v>1089.0</v>
      </c>
      <c r="X116" s="96" t="str">
        <f t="shared" ref="X116:Z116" si="162">($W116*C116)/1000</f>
        <v>32.7</v>
      </c>
      <c r="Y116" s="96" t="str">
        <f t="shared" si="162"/>
        <v>2.3</v>
      </c>
      <c r="Z116" s="96" t="str">
        <f t="shared" si="162"/>
        <v>1.6</v>
      </c>
      <c r="AB116" s="112">
        <v>776.0</v>
      </c>
      <c r="AC116" s="96" t="str">
        <f t="shared" ref="AC116:AE116" si="163">($AB116*C116)/1000</f>
        <v>23.3</v>
      </c>
      <c r="AD116" s="96" t="str">
        <f t="shared" si="163"/>
        <v>1.6</v>
      </c>
      <c r="AE116" s="96" t="str">
        <f t="shared" si="163"/>
        <v>1.2</v>
      </c>
      <c r="AG116" s="112">
        <v>1691.0</v>
      </c>
      <c r="AH116" s="96" t="str">
        <f t="shared" ref="AH116:AJ116" si="164">($AG116*C116)/1000</f>
        <v>50.7</v>
      </c>
      <c r="AI116" s="96" t="str">
        <f t="shared" si="164"/>
        <v>3.6</v>
      </c>
      <c r="AJ116" s="96" t="str">
        <f t="shared" si="164"/>
        <v>2.5</v>
      </c>
      <c r="AL116" s="112">
        <v>770.0</v>
      </c>
      <c r="AM116" s="111" t="str">
        <f t="shared" ref="AM116:AO116" si="165">($AL116*C116)/1000</f>
        <v>23.1</v>
      </c>
      <c r="AN116" s="111" t="str">
        <f t="shared" si="165"/>
        <v>1.6</v>
      </c>
      <c r="AO116" s="111" t="str">
        <f t="shared" si="165"/>
        <v>1.2</v>
      </c>
      <c r="AQ116" s="112">
        <v>483.0</v>
      </c>
      <c r="AR116" s="111" t="str">
        <f t="shared" ref="AR116:AT116" si="166">($AQ116*C116)/1000</f>
        <v>14.5</v>
      </c>
      <c r="AS116" s="111" t="str">
        <f t="shared" si="166"/>
        <v>1.0</v>
      </c>
      <c r="AT116" s="111" t="str">
        <f t="shared" si="166"/>
        <v>0.7</v>
      </c>
      <c r="AV116" s="96" t="str">
        <f t="shared" ref="AV116:AX116" si="167">I116+N116+S116+X116+AC116+AH116+AM116+AR116</f>
        <v>225.8</v>
      </c>
      <c r="AW116" s="96" t="str">
        <f t="shared" si="167"/>
        <v>15.8</v>
      </c>
      <c r="AX116" s="96" t="str">
        <f t="shared" si="167"/>
        <v>11.3</v>
      </c>
      <c r="AY116" s="96"/>
      <c r="AZ116" s="96"/>
      <c r="BA116" s="96"/>
      <c r="BB116" s="96"/>
      <c r="BC116" s="96"/>
    </row>
    <row r="117">
      <c r="A117" s="91" t="s">
        <v>479</v>
      </c>
      <c r="B117" s="71">
        <v>80.0</v>
      </c>
      <c r="C117" s="71" t="str">
        <f>B117*72%</f>
        <v>57.6</v>
      </c>
      <c r="D117" s="71" t="str">
        <f>B117*2%</f>
        <v>1.6</v>
      </c>
      <c r="E117" s="71" t="str">
        <f>B117*0.2%</f>
        <v>0.16</v>
      </c>
      <c r="F117" s="71"/>
      <c r="G117" s="71">
        <v>15056.0</v>
      </c>
      <c r="H117" s="71">
        <v>1034.0</v>
      </c>
      <c r="I117" s="96" t="str">
        <f t="shared" ref="I117:K117" si="168">(C117*$H117)/1000</f>
        <v>59.6</v>
      </c>
      <c r="J117" s="96" t="str">
        <f t="shared" si="168"/>
        <v>1.7</v>
      </c>
      <c r="K117" s="96" t="str">
        <f t="shared" si="168"/>
        <v>0.2</v>
      </c>
      <c r="M117" s="71">
        <v>4360.0</v>
      </c>
      <c r="N117" s="96" t="str">
        <f t="shared" ref="N117:P117" si="169">($M117*C117)/1000</f>
        <v>251.1</v>
      </c>
      <c r="O117" s="96" t="str">
        <f t="shared" si="169"/>
        <v>7.0</v>
      </c>
      <c r="P117" s="96" t="str">
        <f t="shared" si="169"/>
        <v>0.7</v>
      </c>
      <c r="R117" s="71">
        <v>44.0</v>
      </c>
      <c r="S117" s="96" t="str">
        <f t="shared" ref="S117:U117" si="170">($R117*C117)/1000</f>
        <v>2.5</v>
      </c>
      <c r="T117" s="96" t="str">
        <f t="shared" si="170"/>
        <v>0.1</v>
      </c>
      <c r="U117" s="96" t="str">
        <f t="shared" si="170"/>
        <v>0.0</v>
      </c>
      <c r="W117" s="71">
        <v>2178.0</v>
      </c>
      <c r="X117" s="96" t="str">
        <f t="shared" ref="X117:Z117" si="171">($W117*C117)/1000</f>
        <v>125.5</v>
      </c>
      <c r="Y117" s="96" t="str">
        <f t="shared" si="171"/>
        <v>3.5</v>
      </c>
      <c r="Z117" s="96" t="str">
        <f t="shared" si="171"/>
        <v>0.3</v>
      </c>
      <c r="AB117" s="71">
        <v>1552.0</v>
      </c>
      <c r="AC117" s="96" t="str">
        <f t="shared" ref="AC117:AE117" si="172">($AB117*C117)/1000</f>
        <v>89.4</v>
      </c>
      <c r="AD117" s="96" t="str">
        <f t="shared" si="172"/>
        <v>2.5</v>
      </c>
      <c r="AE117" s="96" t="str">
        <f t="shared" si="172"/>
        <v>0.2</v>
      </c>
      <c r="AG117" s="71">
        <v>3382.0</v>
      </c>
      <c r="AH117" s="96" t="str">
        <f t="shared" ref="AH117:AJ117" si="173">($AG117*C117)/1000</f>
        <v>194.8</v>
      </c>
      <c r="AI117" s="96" t="str">
        <f t="shared" si="173"/>
        <v>5.4</v>
      </c>
      <c r="AJ117" s="96" t="str">
        <f t="shared" si="173"/>
        <v>0.5</v>
      </c>
      <c r="AL117" s="71">
        <v>1540.0</v>
      </c>
      <c r="AM117" s="111" t="str">
        <f t="shared" ref="AM117:AO117" si="174">($AL117*C117)/1000</f>
        <v>88.7</v>
      </c>
      <c r="AN117" s="111" t="str">
        <f t="shared" si="174"/>
        <v>2.5</v>
      </c>
      <c r="AO117" s="111" t="str">
        <f t="shared" si="174"/>
        <v>0.2</v>
      </c>
      <c r="AQ117" s="71">
        <v>966.0</v>
      </c>
      <c r="AR117" s="111" t="str">
        <f t="shared" ref="AR117:AT117" si="175">($AQ117*C117)/1000</f>
        <v>55.6</v>
      </c>
      <c r="AS117" s="111" t="str">
        <f t="shared" si="175"/>
        <v>1.5</v>
      </c>
      <c r="AT117" s="111" t="str">
        <f t="shared" si="175"/>
        <v>0.2</v>
      </c>
      <c r="AV117" s="96" t="str">
        <f t="shared" ref="AV117:AX117" si="176">I117+N117+S117+X117+AC117+AH117+AM117+AR117</f>
        <v>867.2</v>
      </c>
      <c r="AW117" s="96" t="str">
        <f t="shared" si="176"/>
        <v>24.1</v>
      </c>
      <c r="AX117" s="96" t="str">
        <f t="shared" si="176"/>
        <v>2.4</v>
      </c>
      <c r="AY117" s="96"/>
      <c r="AZ117" s="96"/>
      <c r="BA117" s="96"/>
      <c r="BB117" s="96"/>
      <c r="BC117" s="96"/>
    </row>
    <row r="118">
      <c r="A118" s="91" t="s">
        <v>482</v>
      </c>
      <c r="B118" s="71">
        <v>15.0</v>
      </c>
      <c r="C118" s="71" t="str">
        <f>B118*71.3%</f>
        <v>10.695</v>
      </c>
      <c r="D118" s="71">
        <v>0.5</v>
      </c>
      <c r="E118" s="71" t="str">
        <f>B118*3.9%</f>
        <v>0.585</v>
      </c>
      <c r="F118" s="71"/>
      <c r="G118" s="71">
        <v>18781.0</v>
      </c>
      <c r="H118" s="112">
        <v>1202.0</v>
      </c>
      <c r="I118" s="96" t="str">
        <f t="shared" ref="I118:K118" si="177">(C118*$H118)/1000</f>
        <v>12.9</v>
      </c>
      <c r="J118" s="96" t="str">
        <f t="shared" si="177"/>
        <v>0.6</v>
      </c>
      <c r="K118" s="96" t="str">
        <f t="shared" si="177"/>
        <v>0.7</v>
      </c>
      <c r="M118" s="112">
        <v>4115.0</v>
      </c>
      <c r="N118" s="96" t="str">
        <f t="shared" ref="N118:P118" si="178">($M118*C118)/1000</f>
        <v>44.0</v>
      </c>
      <c r="O118" s="96" t="str">
        <f t="shared" si="178"/>
        <v>2.1</v>
      </c>
      <c r="P118" s="96" t="str">
        <f t="shared" si="178"/>
        <v>2.4</v>
      </c>
      <c r="R118" s="112">
        <v>326.0</v>
      </c>
      <c r="S118" s="96" t="str">
        <f t="shared" ref="S118:U118" si="179">($R118*C118)/1000</f>
        <v>3.5</v>
      </c>
      <c r="T118" s="96" t="str">
        <f t="shared" si="179"/>
        <v>0.2</v>
      </c>
      <c r="U118" s="96" t="str">
        <f t="shared" si="179"/>
        <v>0.2</v>
      </c>
      <c r="W118" s="112">
        <v>2000.0</v>
      </c>
      <c r="X118" s="96" t="str">
        <f t="shared" ref="X118:Z118" si="180">($W118*C118)/1000</f>
        <v>21.4</v>
      </c>
      <c r="Y118" s="96" t="str">
        <f t="shared" si="180"/>
        <v>1.0</v>
      </c>
      <c r="Z118" s="96" t="str">
        <f t="shared" si="180"/>
        <v>1.2</v>
      </c>
      <c r="AB118" s="112">
        <v>2199.0</v>
      </c>
      <c r="AC118" s="96" t="str">
        <f t="shared" ref="AC118:AE118" si="181">($AB118*C118)/1000</f>
        <v>23.5</v>
      </c>
      <c r="AD118" s="96" t="str">
        <f t="shared" si="181"/>
        <v>1.1</v>
      </c>
      <c r="AE118" s="96" t="str">
        <f t="shared" si="181"/>
        <v>1.3</v>
      </c>
      <c r="AG118" s="112">
        <v>4155.0</v>
      </c>
      <c r="AH118" s="96" t="str">
        <f t="shared" ref="AH118:AJ118" si="182">($AG118*C118)/1000</f>
        <v>44.4</v>
      </c>
      <c r="AI118" s="96" t="str">
        <f t="shared" si="182"/>
        <v>2.1</v>
      </c>
      <c r="AJ118" s="96" t="str">
        <f t="shared" si="182"/>
        <v>2.4</v>
      </c>
      <c r="AL118" s="112">
        <v>3050.0</v>
      </c>
      <c r="AM118" s="111" t="str">
        <f t="shared" ref="AM118:AO118" si="183">($AL118*C118)/1000</f>
        <v>32.6</v>
      </c>
      <c r="AN118" s="111" t="str">
        <f t="shared" si="183"/>
        <v>1.5</v>
      </c>
      <c r="AO118" s="111" t="str">
        <f t="shared" si="183"/>
        <v>1.8</v>
      </c>
      <c r="AQ118" s="112">
        <v>1735.0</v>
      </c>
      <c r="AR118" s="111" t="str">
        <f t="shared" ref="AR118:AT118" si="184">($AQ118*C118)/1000</f>
        <v>18.6</v>
      </c>
      <c r="AS118" s="111" t="str">
        <f t="shared" si="184"/>
        <v>0.9</v>
      </c>
      <c r="AT118" s="111" t="str">
        <f t="shared" si="184"/>
        <v>1.0</v>
      </c>
      <c r="AV118" s="96" t="str">
        <f t="shared" ref="AV118:AX118" si="185">I118+N118+S118+X118+AC118+AH118+AM118+AR118</f>
        <v>200.9</v>
      </c>
      <c r="AW118" s="96" t="str">
        <f t="shared" si="185"/>
        <v>9.4</v>
      </c>
      <c r="AX118" s="96" t="str">
        <f t="shared" si="185"/>
        <v>11.0</v>
      </c>
      <c r="AY118" s="96"/>
      <c r="AZ118" s="96"/>
      <c r="BA118" s="96"/>
      <c r="BB118" s="96"/>
      <c r="BC118" s="96"/>
    </row>
    <row r="119">
      <c r="A119" s="91"/>
      <c r="I119" s="96"/>
      <c r="J119" s="96"/>
      <c r="K119" s="96"/>
      <c r="N119" s="96"/>
      <c r="O119" s="96"/>
      <c r="P119" s="96"/>
      <c r="S119" s="96"/>
      <c r="T119" s="96"/>
      <c r="U119" s="96"/>
      <c r="X119" s="96"/>
      <c r="Y119" s="96"/>
      <c r="Z119" s="96"/>
      <c r="AC119" s="96"/>
      <c r="AD119" s="96"/>
      <c r="AE119" s="96"/>
      <c r="AH119" s="96"/>
      <c r="AI119" s="96"/>
      <c r="AJ119" s="96"/>
      <c r="AM119" s="111"/>
      <c r="AN119" s="111"/>
      <c r="AO119" s="111"/>
      <c r="AR119" s="111"/>
      <c r="AS119" s="111"/>
      <c r="AT119" s="111"/>
      <c r="AV119" s="96"/>
      <c r="AW119" s="96"/>
      <c r="AX119" s="96"/>
      <c r="AY119" s="96"/>
      <c r="AZ119" s="96"/>
      <c r="BA119" s="96"/>
      <c r="BB119" s="96"/>
      <c r="BC119" s="96"/>
    </row>
    <row r="120">
      <c r="A120" s="90" t="s">
        <v>668</v>
      </c>
      <c r="I120" s="96"/>
      <c r="J120" s="96"/>
      <c r="K120" s="96"/>
      <c r="N120" s="96"/>
      <c r="O120" s="96"/>
      <c r="P120" s="96"/>
      <c r="S120" s="96"/>
      <c r="T120" s="96"/>
      <c r="U120" s="96"/>
      <c r="X120" s="96"/>
      <c r="Y120" s="96"/>
      <c r="Z120" s="96"/>
      <c r="AC120" s="96"/>
      <c r="AD120" s="96"/>
      <c r="AE120" s="96"/>
      <c r="AH120" s="96"/>
      <c r="AI120" s="96"/>
      <c r="AJ120" s="96"/>
      <c r="AM120" s="111"/>
      <c r="AN120" s="111"/>
      <c r="AO120" s="111"/>
      <c r="AR120" s="111"/>
      <c r="AS120" s="111"/>
      <c r="AT120" s="111"/>
      <c r="AV120" s="96"/>
      <c r="AW120" s="96"/>
      <c r="AX120" s="96"/>
      <c r="AY120" s="96"/>
      <c r="AZ120" s="96"/>
      <c r="BA120" s="96"/>
      <c r="BB120" s="96"/>
      <c r="BC120" s="96"/>
    </row>
    <row r="121">
      <c r="A121" s="91" t="s">
        <v>487</v>
      </c>
      <c r="B121" s="71">
        <v>9.9</v>
      </c>
      <c r="C121" s="71" t="str">
        <f>B121*28.6%</f>
        <v>2.8314</v>
      </c>
      <c r="D121" s="71" t="str">
        <f>B121*9.5%</f>
        <v>0.9405</v>
      </c>
      <c r="E121" s="71" t="str">
        <f>B121*6.6%</f>
        <v>0.6534</v>
      </c>
      <c r="F121" s="71"/>
      <c r="G121" s="71">
        <v>402032.0</v>
      </c>
      <c r="H121" s="71">
        <v>24298.0</v>
      </c>
      <c r="I121" s="96" t="str">
        <f t="shared" ref="I121:K121" si="186">(C121*$H121)/1000</f>
        <v>68.8</v>
      </c>
      <c r="J121" s="96" t="str">
        <f t="shared" si="186"/>
        <v>22.9</v>
      </c>
      <c r="K121" s="96" t="str">
        <f t="shared" si="186"/>
        <v>15.9</v>
      </c>
      <c r="M121" s="71">
        <v>70496.0</v>
      </c>
      <c r="N121" s="96" t="str">
        <f t="shared" ref="N121:P121" si="187">($M121*C121)/1000</f>
        <v>199.6</v>
      </c>
      <c r="O121" s="96" t="str">
        <f t="shared" si="187"/>
        <v>66.3</v>
      </c>
      <c r="P121" s="96" t="str">
        <f t="shared" si="187"/>
        <v>46.1</v>
      </c>
      <c r="R121" s="71">
        <v>14591.0</v>
      </c>
      <c r="S121" s="96" t="str">
        <f t="shared" ref="S121:U121" si="188">($R121*C121)/1000</f>
        <v>41.3</v>
      </c>
      <c r="T121" s="96" t="str">
        <f t="shared" si="188"/>
        <v>13.7</v>
      </c>
      <c r="U121" s="96" t="str">
        <f t="shared" si="188"/>
        <v>9.5</v>
      </c>
      <c r="W121" s="71">
        <v>36753.0</v>
      </c>
      <c r="X121" s="96" t="str">
        <f t="shared" ref="X121:Z121" si="189">($W121*C121)/1000</f>
        <v>104.1</v>
      </c>
      <c r="Y121" s="96" t="str">
        <f t="shared" si="189"/>
        <v>34.6</v>
      </c>
      <c r="Z121" s="96" t="str">
        <f t="shared" si="189"/>
        <v>24.0</v>
      </c>
      <c r="AB121" s="71">
        <v>54391.0</v>
      </c>
      <c r="AC121" s="96" t="str">
        <f t="shared" ref="AC121:AE121" si="190">($AB121*C121)/1000</f>
        <v>154.0</v>
      </c>
      <c r="AD121" s="96" t="str">
        <f t="shared" si="190"/>
        <v>51.2</v>
      </c>
      <c r="AE121" s="96" t="str">
        <f t="shared" si="190"/>
        <v>35.5</v>
      </c>
      <c r="AG121" s="71">
        <v>85785.0</v>
      </c>
      <c r="AH121" s="96" t="str">
        <f t="shared" ref="AH121:AJ121" si="191">($AG121*C121)/1000</f>
        <v>242.9</v>
      </c>
      <c r="AI121" s="96" t="str">
        <f t="shared" si="191"/>
        <v>80.7</v>
      </c>
      <c r="AJ121" s="96" t="str">
        <f t="shared" si="191"/>
        <v>56.1</v>
      </c>
      <c r="AL121" s="71">
        <v>66120.0</v>
      </c>
      <c r="AM121" s="111" t="str">
        <f t="shared" ref="AM121:AO121" si="192">($AL121*C121)/1000</f>
        <v>187.2</v>
      </c>
      <c r="AN121" s="111" t="str">
        <f t="shared" si="192"/>
        <v>62.2</v>
      </c>
      <c r="AO121" s="111" t="str">
        <f t="shared" si="192"/>
        <v>43.2</v>
      </c>
      <c r="AQ121" s="71">
        <v>49598.0</v>
      </c>
      <c r="AR121" s="111" t="str">
        <f t="shared" ref="AR121:AT121" si="193">($AQ121*C121)/1000</f>
        <v>140.4</v>
      </c>
      <c r="AS121" s="111" t="str">
        <f t="shared" si="193"/>
        <v>46.6</v>
      </c>
      <c r="AT121" s="111" t="str">
        <f t="shared" si="193"/>
        <v>32.4</v>
      </c>
      <c r="AV121" s="96" t="str">
        <f t="shared" ref="AV121:AX121" si="194">I121+N121+S121+X121+AC121+AH121+AM121+AR121</f>
        <v>1138.3</v>
      </c>
      <c r="AW121" s="96" t="str">
        <f t="shared" si="194"/>
        <v>378.1</v>
      </c>
      <c r="AX121" s="96" t="str">
        <f t="shared" si="194"/>
        <v>262.7</v>
      </c>
      <c r="AY121" s="96"/>
      <c r="AZ121" s="96"/>
      <c r="BA121" s="96"/>
      <c r="BB121" s="96"/>
      <c r="BC121" s="96"/>
    </row>
    <row r="122">
      <c r="A122" s="91" t="s">
        <v>490</v>
      </c>
      <c r="B122" s="71">
        <v>5.1</v>
      </c>
      <c r="C122" s="71" t="str">
        <f>B122*19%</f>
        <v>0.969</v>
      </c>
      <c r="D122" s="71" t="str">
        <f t="shared" ref="D122:D123" si="204">B122*1%</f>
        <v>0.051</v>
      </c>
      <c r="E122" s="71" t="str">
        <f>B122*5%</f>
        <v>0.255</v>
      </c>
      <c r="F122" s="71"/>
      <c r="G122" s="71">
        <v>44487.0</v>
      </c>
      <c r="H122" s="71">
        <v>1865.0</v>
      </c>
      <c r="I122" s="96" t="str">
        <f t="shared" ref="I122:K122" si="195">(C122*$H122)/1000</f>
        <v>1.8</v>
      </c>
      <c r="J122" s="96" t="str">
        <f t="shared" si="195"/>
        <v>0.1</v>
      </c>
      <c r="K122" s="96" t="str">
        <f t="shared" si="195"/>
        <v>0.5</v>
      </c>
      <c r="M122" s="71">
        <v>16546.0</v>
      </c>
      <c r="N122" s="96" t="str">
        <f t="shared" ref="N122:P122" si="196">($M122*C122)/1000</f>
        <v>16.0</v>
      </c>
      <c r="O122" s="96" t="str">
        <f t="shared" si="196"/>
        <v>0.8</v>
      </c>
      <c r="P122" s="96" t="str">
        <f t="shared" si="196"/>
        <v>4.2</v>
      </c>
      <c r="R122" s="71">
        <v>324.0</v>
      </c>
      <c r="S122" s="96" t="str">
        <f t="shared" ref="S122:U122" si="197">($R122*C122)/1000</f>
        <v>0.3</v>
      </c>
      <c r="T122" s="96" t="str">
        <f t="shared" si="197"/>
        <v>0.0</v>
      </c>
      <c r="U122" s="96" t="str">
        <f t="shared" si="197"/>
        <v>0.1</v>
      </c>
      <c r="W122" s="71">
        <v>5041.0</v>
      </c>
      <c r="X122" s="96" t="str">
        <f t="shared" ref="X122:Z122" si="198">($W122*C122)/1000</f>
        <v>4.9</v>
      </c>
      <c r="Y122" s="96" t="str">
        <f t="shared" si="198"/>
        <v>0.3</v>
      </c>
      <c r="Z122" s="96" t="str">
        <f t="shared" si="198"/>
        <v>1.3</v>
      </c>
      <c r="AB122" s="71">
        <v>4639.0</v>
      </c>
      <c r="AC122" s="96" t="str">
        <f t="shared" ref="AC122:AE122" si="199">($AB122*C122)/1000</f>
        <v>4.5</v>
      </c>
      <c r="AD122" s="96" t="str">
        <f t="shared" si="199"/>
        <v>0.2</v>
      </c>
      <c r="AE122" s="96" t="str">
        <f t="shared" si="199"/>
        <v>1.2</v>
      </c>
      <c r="AG122" s="71">
        <v>9649.0</v>
      </c>
      <c r="AH122" s="96" t="str">
        <f t="shared" ref="AH122:AJ122" si="200">($AG122*C122)/1000</f>
        <v>9.3</v>
      </c>
      <c r="AI122" s="96" t="str">
        <f t="shared" si="200"/>
        <v>0.5</v>
      </c>
      <c r="AJ122" s="96" t="str">
        <f t="shared" si="200"/>
        <v>2.5</v>
      </c>
      <c r="AL122" s="71">
        <v>4049.0</v>
      </c>
      <c r="AM122" s="111" t="str">
        <f t="shared" ref="AM122:AO122" si="201">($AL122*C122)/1000</f>
        <v>3.9</v>
      </c>
      <c r="AN122" s="111" t="str">
        <f t="shared" si="201"/>
        <v>0.2</v>
      </c>
      <c r="AO122" s="111" t="str">
        <f t="shared" si="201"/>
        <v>1.0</v>
      </c>
      <c r="AQ122" s="71">
        <v>2374.0</v>
      </c>
      <c r="AR122" s="111" t="str">
        <f t="shared" ref="AR122:AT122" si="202">($AQ122*C122)/1000</f>
        <v>2.3</v>
      </c>
      <c r="AS122" s="111" t="str">
        <f t="shared" si="202"/>
        <v>0.1</v>
      </c>
      <c r="AT122" s="111" t="str">
        <f t="shared" si="202"/>
        <v>0.6</v>
      </c>
      <c r="AV122" s="96" t="str">
        <f t="shared" ref="AV122:AX122" si="203">I122+N122+S122+X122+AC122+AH122+AM122+AR122</f>
        <v>43.1</v>
      </c>
      <c r="AW122" s="96" t="str">
        <f t="shared" si="203"/>
        <v>2.3</v>
      </c>
      <c r="AX122" s="96" t="str">
        <f t="shared" si="203"/>
        <v>11.3</v>
      </c>
      <c r="AY122" s="96"/>
      <c r="AZ122" s="96"/>
      <c r="BA122" s="96"/>
      <c r="BB122" s="96"/>
      <c r="BC122" s="96"/>
    </row>
    <row r="123">
      <c r="A123" s="91" t="s">
        <v>492</v>
      </c>
      <c r="B123" s="16">
        <v>0.2</v>
      </c>
      <c r="C123" s="16" t="str">
        <f>B123*7%</f>
        <v>0.014</v>
      </c>
      <c r="D123" s="16" t="str">
        <f t="shared" si="204"/>
        <v>0.002</v>
      </c>
      <c r="E123" s="16" t="str">
        <f>B123*8.92%</f>
        <v>0.01784</v>
      </c>
      <c r="F123" s="16"/>
      <c r="G123" s="16">
        <v>294792.0</v>
      </c>
      <c r="H123" s="16">
        <v>14899.0</v>
      </c>
      <c r="I123" s="96" t="str">
        <f t="shared" ref="I123:K123" si="205">(C123*$H123)/1000</f>
        <v>0.2</v>
      </c>
      <c r="J123" s="96" t="str">
        <f t="shared" si="205"/>
        <v>0.0</v>
      </c>
      <c r="K123" s="96" t="str">
        <f t="shared" si="205"/>
        <v>0.3</v>
      </c>
      <c r="M123" s="71">
        <v>66638.0</v>
      </c>
      <c r="N123" s="96" t="str">
        <f t="shared" ref="N123:P123" si="206">($M123*C123)/1000</f>
        <v>0.9</v>
      </c>
      <c r="O123" s="96" t="str">
        <f t="shared" si="206"/>
        <v>0.1</v>
      </c>
      <c r="P123" s="96" t="str">
        <f t="shared" si="206"/>
        <v>1.2</v>
      </c>
      <c r="R123" s="71">
        <v>6028.0</v>
      </c>
      <c r="S123" s="96" t="str">
        <f t="shared" ref="S123:U123" si="207">($R123*C123)/1000</f>
        <v>0.1</v>
      </c>
      <c r="T123" s="96" t="str">
        <f t="shared" si="207"/>
        <v>0.0</v>
      </c>
      <c r="U123" s="96" t="str">
        <f t="shared" si="207"/>
        <v>0.1</v>
      </c>
      <c r="W123" s="71">
        <v>32614.0</v>
      </c>
      <c r="X123" s="96" t="str">
        <f t="shared" ref="X123:Z123" si="208">($W123*C123)/1000</f>
        <v>0.5</v>
      </c>
      <c r="Y123" s="96" t="str">
        <f t="shared" si="208"/>
        <v>0.1</v>
      </c>
      <c r="Z123" s="96" t="str">
        <f t="shared" si="208"/>
        <v>0.6</v>
      </c>
      <c r="AB123" s="71">
        <v>38262.0</v>
      </c>
      <c r="AC123" s="96" t="str">
        <f t="shared" ref="AC123:AE123" si="209">($AB123*C123)/1000</f>
        <v>0.5</v>
      </c>
      <c r="AD123" s="96" t="str">
        <f t="shared" si="209"/>
        <v>0.1</v>
      </c>
      <c r="AE123" s="96" t="str">
        <f t="shared" si="209"/>
        <v>0.7</v>
      </c>
      <c r="AG123" s="71">
        <v>65009.0</v>
      </c>
      <c r="AH123" s="96" t="str">
        <f t="shared" ref="AH123:AJ123" si="210">($AG123*C123)/1000</f>
        <v>0.9</v>
      </c>
      <c r="AI123" s="96" t="str">
        <f t="shared" si="210"/>
        <v>0.1</v>
      </c>
      <c r="AJ123" s="96" t="str">
        <f t="shared" si="210"/>
        <v>1.2</v>
      </c>
      <c r="AL123" s="71">
        <v>33216.0</v>
      </c>
      <c r="AM123" s="111" t="str">
        <f t="shared" ref="AM123:AO123" si="211">($AL123*C123)/1000</f>
        <v>0.5</v>
      </c>
      <c r="AN123" s="111" t="str">
        <f t="shared" si="211"/>
        <v>0.1</v>
      </c>
      <c r="AO123" s="111" t="str">
        <f t="shared" si="211"/>
        <v>0.6</v>
      </c>
      <c r="AQ123" s="71">
        <v>38126.0</v>
      </c>
      <c r="AR123" s="111" t="str">
        <f t="shared" ref="AR123:AT123" si="212">($AQ123*C123)/1000</f>
        <v>0.5</v>
      </c>
      <c r="AS123" s="111" t="str">
        <f t="shared" si="212"/>
        <v>0.1</v>
      </c>
      <c r="AT123" s="111" t="str">
        <f t="shared" si="212"/>
        <v>0.7</v>
      </c>
      <c r="AV123" s="96" t="str">
        <f t="shared" ref="AV123:AX123" si="213">I123+N123+S123+X123+AC123+AH123+AM123+AR123</f>
        <v>4.1</v>
      </c>
      <c r="AW123" s="96" t="str">
        <f t="shared" si="213"/>
        <v>0.6</v>
      </c>
      <c r="AX123" s="96" t="str">
        <f t="shared" si="213"/>
        <v>5.3</v>
      </c>
      <c r="AY123" s="96"/>
      <c r="AZ123" s="96"/>
      <c r="BA123" s="96"/>
      <c r="BB123" s="96"/>
      <c r="BC123" s="96"/>
    </row>
    <row r="124">
      <c r="A124" s="96" t="s">
        <v>494</v>
      </c>
      <c r="B124" s="16">
        <v>3.0</v>
      </c>
      <c r="C124" s="16" t="str">
        <f>B124*10%</f>
        <v>0.3</v>
      </c>
      <c r="D124" s="16" t="str">
        <f>B124*2%</f>
        <v>0.06</v>
      </c>
      <c r="E124" s="16" t="str">
        <f>B124*3%</f>
        <v>0.09</v>
      </c>
      <c r="F124" s="16"/>
      <c r="G124" s="16">
        <v>15316.0</v>
      </c>
      <c r="H124" s="71">
        <v>954.0</v>
      </c>
      <c r="I124" s="96" t="str">
        <f t="shared" ref="I124:K124" si="214">(C124*$H124)/1000</f>
        <v>0.3</v>
      </c>
      <c r="J124" s="96" t="str">
        <f t="shared" si="214"/>
        <v>0.1</v>
      </c>
      <c r="K124" s="96" t="str">
        <f t="shared" si="214"/>
        <v>0.1</v>
      </c>
      <c r="M124" s="71">
        <v>4623.0</v>
      </c>
      <c r="N124" s="96" t="str">
        <f t="shared" ref="N124:P124" si="215">($M124*C124)/1000</f>
        <v>1.4</v>
      </c>
      <c r="O124" s="96" t="str">
        <f t="shared" si="215"/>
        <v>0.3</v>
      </c>
      <c r="P124" s="96" t="str">
        <f t="shared" si="215"/>
        <v>0.4</v>
      </c>
      <c r="R124" s="71">
        <v>183.0</v>
      </c>
      <c r="S124" s="96" t="str">
        <f t="shared" ref="S124:U124" si="216">($R124*C124)/1000</f>
        <v>0.1</v>
      </c>
      <c r="T124" s="96" t="str">
        <f t="shared" si="216"/>
        <v>0.0</v>
      </c>
      <c r="U124" s="96" t="str">
        <f t="shared" si="216"/>
        <v>0.0</v>
      </c>
      <c r="W124" s="71">
        <v>2151.0</v>
      </c>
      <c r="X124" s="96" t="str">
        <f t="shared" ref="X124:Z124" si="217">($W124*C124)/1000</f>
        <v>0.6</v>
      </c>
      <c r="Y124" s="96" t="str">
        <f t="shared" si="217"/>
        <v>0.1</v>
      </c>
      <c r="Z124" s="96" t="str">
        <f t="shared" si="217"/>
        <v>0.2</v>
      </c>
      <c r="AB124" s="71">
        <v>1551.0</v>
      </c>
      <c r="AC124" s="96" t="str">
        <f t="shared" ref="AC124:AE124" si="218">($AB124*C124)/1000</f>
        <v>0.5</v>
      </c>
      <c r="AD124" s="96" t="str">
        <f t="shared" si="218"/>
        <v>0.1</v>
      </c>
      <c r="AE124" s="96" t="str">
        <f t="shared" si="218"/>
        <v>0.1</v>
      </c>
      <c r="AG124" s="71">
        <v>3142.0</v>
      </c>
      <c r="AH124" s="96" t="str">
        <f t="shared" ref="AH124:AJ124" si="219">($AG124*C124)/1000</f>
        <v>0.9</v>
      </c>
      <c r="AI124" s="96" t="str">
        <f t="shared" si="219"/>
        <v>0.2</v>
      </c>
      <c r="AJ124" s="96" t="str">
        <f t="shared" si="219"/>
        <v>0.3</v>
      </c>
      <c r="AL124" s="71">
        <v>1603.0</v>
      </c>
      <c r="AM124" s="111" t="str">
        <f t="shared" ref="AM124:AO124" si="220">($AL124*C124)/1000</f>
        <v>0.5</v>
      </c>
      <c r="AN124" s="111" t="str">
        <f t="shared" si="220"/>
        <v>0.1</v>
      </c>
      <c r="AO124" s="111" t="str">
        <f t="shared" si="220"/>
        <v>0.1</v>
      </c>
      <c r="AQ124" s="71">
        <v>1110.0</v>
      </c>
      <c r="AR124" s="111" t="str">
        <f t="shared" ref="AR124:AT124" si="221">($AQ124*C124)/1000</f>
        <v>0.3</v>
      </c>
      <c r="AS124" s="111" t="str">
        <f t="shared" si="221"/>
        <v>0.1</v>
      </c>
      <c r="AT124" s="111" t="str">
        <f t="shared" si="221"/>
        <v>0.1</v>
      </c>
      <c r="AV124" s="96" t="str">
        <f t="shared" ref="AV124:AX124" si="222">I124+N124+S124+X124+AC124+AH124+AM124+AR124</f>
        <v>4.6</v>
      </c>
      <c r="AW124" s="96" t="str">
        <f t="shared" si="222"/>
        <v>0.9</v>
      </c>
      <c r="AX124" s="96" t="str">
        <f t="shared" si="222"/>
        <v>1.4</v>
      </c>
      <c r="AY124" s="96"/>
      <c r="AZ124" s="96"/>
      <c r="BA124" s="96"/>
      <c r="BB124" s="96"/>
      <c r="BC124" s="96"/>
    </row>
    <row r="125">
      <c r="A125" s="91" t="s">
        <v>495</v>
      </c>
      <c r="B125" s="16">
        <v>80.0</v>
      </c>
      <c r="C125" s="16" t="str">
        <f>B125*42.13%</f>
        <v>33.704</v>
      </c>
      <c r="D125" s="16">
        <v>5.0</v>
      </c>
      <c r="E125" s="16">
        <v>0.0</v>
      </c>
      <c r="F125" s="16"/>
      <c r="G125" s="16">
        <v>3376.0</v>
      </c>
      <c r="H125" s="71">
        <v>205.0</v>
      </c>
      <c r="I125" s="96" t="str">
        <f t="shared" ref="I125:K125" si="223">(C125*$H125)/1000</f>
        <v>6.9</v>
      </c>
      <c r="J125" s="96" t="str">
        <f t="shared" si="223"/>
        <v>1.0</v>
      </c>
      <c r="K125" s="96" t="str">
        <f t="shared" si="223"/>
        <v>0.0</v>
      </c>
      <c r="M125" s="71">
        <v>580.0</v>
      </c>
      <c r="N125" s="96" t="str">
        <f t="shared" ref="N125:P125" si="224">($M125*C125)/1000</f>
        <v>19.5</v>
      </c>
      <c r="O125" s="96" t="str">
        <f t="shared" si="224"/>
        <v>2.9</v>
      </c>
      <c r="P125" s="96" t="str">
        <f t="shared" si="224"/>
        <v>0.0</v>
      </c>
      <c r="R125" s="71">
        <v>91.0</v>
      </c>
      <c r="S125" s="96" t="str">
        <f t="shared" ref="S125:U125" si="225">($R125*C125)/1000</f>
        <v>3.1</v>
      </c>
      <c r="T125" s="96" t="str">
        <f t="shared" si="225"/>
        <v>0.5</v>
      </c>
      <c r="U125" s="96" t="str">
        <f t="shared" si="225"/>
        <v>0.0</v>
      </c>
      <c r="W125" s="71">
        <v>273.0</v>
      </c>
      <c r="X125" s="96" t="str">
        <f t="shared" ref="X125:Z125" si="226">($W125*C125)/1000</f>
        <v>9.2</v>
      </c>
      <c r="Y125" s="96" t="str">
        <f t="shared" si="226"/>
        <v>1.4</v>
      </c>
      <c r="Z125" s="96" t="str">
        <f t="shared" si="226"/>
        <v>0.0</v>
      </c>
      <c r="AB125" s="71">
        <v>427.0</v>
      </c>
      <c r="AC125" s="96" t="str">
        <f t="shared" ref="AC125:AE125" si="227">($AB125*C125)/1000</f>
        <v>14.4</v>
      </c>
      <c r="AD125" s="96" t="str">
        <f t="shared" si="227"/>
        <v>2.1</v>
      </c>
      <c r="AE125" s="96" t="str">
        <f t="shared" si="227"/>
        <v>0.0</v>
      </c>
      <c r="AG125" s="71">
        <v>739.0</v>
      </c>
      <c r="AH125" s="96" t="str">
        <f t="shared" ref="AH125:AJ125" si="228">($AG125*C125)/1000</f>
        <v>24.9</v>
      </c>
      <c r="AI125" s="96" t="str">
        <f t="shared" si="228"/>
        <v>3.7</v>
      </c>
      <c r="AJ125" s="96" t="str">
        <f t="shared" si="228"/>
        <v>0.0</v>
      </c>
      <c r="AL125" s="71">
        <v>684.0</v>
      </c>
      <c r="AM125" s="111" t="str">
        <f t="shared" ref="AM125:AO125" si="229">($AL125*C125)/1000</f>
        <v>23.1</v>
      </c>
      <c r="AN125" s="111" t="str">
        <f t="shared" si="229"/>
        <v>3.4</v>
      </c>
      <c r="AO125" s="111" t="str">
        <f t="shared" si="229"/>
        <v>0.0</v>
      </c>
      <c r="AQ125" s="71">
        <v>376.0</v>
      </c>
      <c r="AR125" s="111" t="str">
        <f t="shared" ref="AR125:AT125" si="230">($AQ125*C125)/1000</f>
        <v>12.7</v>
      </c>
      <c r="AS125" s="111" t="str">
        <f t="shared" si="230"/>
        <v>1.9</v>
      </c>
      <c r="AT125" s="111" t="str">
        <f t="shared" si="230"/>
        <v>0.0</v>
      </c>
      <c r="AV125" s="96" t="str">
        <f t="shared" ref="AV125:AX125" si="231">I125+N125+S125+X125+AC125+AH125+AM125+AR125</f>
        <v>113.8</v>
      </c>
      <c r="AW125" s="96" t="str">
        <f t="shared" si="231"/>
        <v>16.9</v>
      </c>
      <c r="AX125" s="96" t="str">
        <f t="shared" si="231"/>
        <v>0.0</v>
      </c>
      <c r="AY125" s="96"/>
      <c r="AZ125" s="96"/>
      <c r="BA125" s="96"/>
      <c r="BB125" s="96"/>
      <c r="BC125" s="96"/>
    </row>
    <row r="126">
      <c r="A126" s="91"/>
      <c r="I126" s="96"/>
      <c r="J126" s="96"/>
      <c r="K126" s="96"/>
      <c r="N126" s="96"/>
      <c r="O126" s="96"/>
      <c r="P126" s="96"/>
      <c r="S126" s="96"/>
      <c r="T126" s="96"/>
      <c r="U126" s="96"/>
      <c r="X126" s="96"/>
      <c r="Y126" s="96"/>
      <c r="Z126" s="96"/>
      <c r="AC126" s="96"/>
      <c r="AD126" s="96"/>
      <c r="AE126" s="96"/>
      <c r="AH126" s="96"/>
      <c r="AI126" s="96"/>
      <c r="AJ126" s="96"/>
      <c r="AM126" s="111"/>
      <c r="AN126" s="111"/>
      <c r="AO126" s="111"/>
      <c r="AR126" s="111"/>
      <c r="AS126" s="111"/>
      <c r="AT126" s="111"/>
      <c r="AV126" s="96"/>
      <c r="AW126" s="96"/>
      <c r="AX126" s="96"/>
      <c r="AY126" s="96"/>
      <c r="AZ126" s="96"/>
      <c r="BA126" s="96"/>
      <c r="BB126" s="96"/>
      <c r="BC126" s="96"/>
    </row>
    <row r="127">
      <c r="A127" s="90" t="s">
        <v>669</v>
      </c>
      <c r="I127" s="96"/>
      <c r="J127" s="96"/>
      <c r="K127" s="96"/>
      <c r="N127" s="96"/>
      <c r="O127" s="96"/>
      <c r="P127" s="96"/>
      <c r="S127" s="96"/>
      <c r="T127" s="96"/>
      <c r="U127" s="96"/>
      <c r="X127" s="96"/>
      <c r="Y127" s="96"/>
      <c r="Z127" s="96"/>
      <c r="AC127" s="96"/>
      <c r="AD127" s="96"/>
      <c r="AE127" s="96"/>
      <c r="AH127" s="96"/>
      <c r="AI127" s="96"/>
      <c r="AJ127" s="96"/>
      <c r="AM127" s="111"/>
      <c r="AN127" s="111"/>
      <c r="AO127" s="111"/>
      <c r="AR127" s="111"/>
      <c r="AS127" s="111"/>
      <c r="AT127" s="111"/>
      <c r="AV127" s="96"/>
      <c r="AW127" s="96"/>
      <c r="AX127" s="96"/>
      <c r="AY127" s="96"/>
      <c r="AZ127" s="96"/>
      <c r="BA127" s="96"/>
      <c r="BB127" s="96"/>
      <c r="BC127" s="96"/>
    </row>
    <row r="128">
      <c r="A128" s="91" t="s">
        <v>498</v>
      </c>
      <c r="B128" s="16">
        <v>8.0</v>
      </c>
      <c r="C128" s="16" t="str">
        <f t="shared" ref="C128:C133" si="241">B128*100%</f>
        <v>8</v>
      </c>
      <c r="D128" s="16">
        <v>0.0</v>
      </c>
      <c r="E128" s="16">
        <v>0.0</v>
      </c>
      <c r="F128" s="16"/>
      <c r="G128" s="43">
        <v>60339.0</v>
      </c>
      <c r="H128" s="113">
        <v>1643.0</v>
      </c>
      <c r="I128" s="96" t="str">
        <f t="shared" ref="I128:K128" si="232">(C128*$H128)/1000</f>
        <v>13.1</v>
      </c>
      <c r="J128" s="96" t="str">
        <f t="shared" si="232"/>
        <v>0.0</v>
      </c>
      <c r="K128" s="96" t="str">
        <f t="shared" si="232"/>
        <v>0.0</v>
      </c>
      <c r="L128" s="79"/>
      <c r="M128" s="113">
        <v>26290.0</v>
      </c>
      <c r="N128" s="96" t="str">
        <f t="shared" ref="N128:P128" si="233">($M128*C128)/1000</f>
        <v>210.3</v>
      </c>
      <c r="O128" s="96" t="str">
        <f t="shared" si="233"/>
        <v>0.0</v>
      </c>
      <c r="P128" s="96" t="str">
        <f t="shared" si="233"/>
        <v>0.0</v>
      </c>
      <c r="Q128" s="79"/>
      <c r="R128" s="113">
        <v>0.0</v>
      </c>
      <c r="S128" s="96" t="str">
        <f t="shared" ref="S128:U128" si="234">($R128*C128)/1000</f>
        <v>0.0</v>
      </c>
      <c r="T128" s="96" t="str">
        <f t="shared" si="234"/>
        <v>0.0</v>
      </c>
      <c r="U128" s="96" t="str">
        <f t="shared" si="234"/>
        <v>0.0</v>
      </c>
      <c r="V128" s="79"/>
      <c r="W128" s="113">
        <v>6233.0</v>
      </c>
      <c r="X128" s="96" t="str">
        <f t="shared" ref="X128:Z128" si="235">($W128*C128)/1000</f>
        <v>49.9</v>
      </c>
      <c r="Y128" s="96" t="str">
        <f t="shared" si="235"/>
        <v>0.0</v>
      </c>
      <c r="Z128" s="96" t="str">
        <f t="shared" si="235"/>
        <v>0.0</v>
      </c>
      <c r="AA128" s="79"/>
      <c r="AB128" s="113">
        <v>6496.0</v>
      </c>
      <c r="AC128" s="96" t="str">
        <f t="shared" ref="AC128:AE128" si="236">($AB128*C128)/1000</f>
        <v>52.0</v>
      </c>
      <c r="AD128" s="96" t="str">
        <f t="shared" si="236"/>
        <v>0.0</v>
      </c>
      <c r="AE128" s="96" t="str">
        <f t="shared" si="236"/>
        <v>0.0</v>
      </c>
      <c r="AF128" s="79"/>
      <c r="AG128" s="113">
        <v>12240.0</v>
      </c>
      <c r="AH128" s="96" t="str">
        <f t="shared" ref="AH128:AJ128" si="237">($AG128*C128)/1000</f>
        <v>97.9</v>
      </c>
      <c r="AI128" s="96" t="str">
        <f t="shared" si="237"/>
        <v>0.0</v>
      </c>
      <c r="AJ128" s="96" t="str">
        <f t="shared" si="237"/>
        <v>0.0</v>
      </c>
      <c r="AK128" s="79"/>
      <c r="AL128" s="113">
        <v>5033.0</v>
      </c>
      <c r="AM128" s="111" t="str">
        <f t="shared" ref="AM128:AO128" si="238">($AL128*C128)/1000</f>
        <v>40.3</v>
      </c>
      <c r="AN128" s="111" t="str">
        <f t="shared" si="238"/>
        <v>0.0</v>
      </c>
      <c r="AO128" s="111" t="str">
        <f t="shared" si="238"/>
        <v>0.0</v>
      </c>
      <c r="AP128" s="79"/>
      <c r="AQ128" s="113">
        <v>2404.0</v>
      </c>
      <c r="AR128" s="111" t="str">
        <f t="shared" ref="AR128:AT128" si="239">($AQ128*C128)/1000</f>
        <v>19.2</v>
      </c>
      <c r="AS128" s="111" t="str">
        <f t="shared" si="239"/>
        <v>0.0</v>
      </c>
      <c r="AT128" s="111" t="str">
        <f t="shared" si="239"/>
        <v>0.0</v>
      </c>
      <c r="AU128" s="79"/>
      <c r="AV128" s="96" t="str">
        <f t="shared" ref="AV128:AX128" si="240">I128+N128+S128+X128+AC128+AH128+AM128+AR128</f>
        <v>482.7</v>
      </c>
      <c r="AW128" s="96" t="str">
        <f t="shared" si="240"/>
        <v>0.0</v>
      </c>
      <c r="AX128" s="96" t="str">
        <f t="shared" si="240"/>
        <v>0.0</v>
      </c>
      <c r="AY128" s="96"/>
      <c r="AZ128" s="96"/>
      <c r="BA128" s="96"/>
      <c r="BB128" s="96"/>
      <c r="BC128" s="96"/>
    </row>
    <row r="129">
      <c r="A129" s="91" t="s">
        <v>502</v>
      </c>
      <c r="B129" s="16">
        <v>90.0</v>
      </c>
      <c r="C129" s="16" t="str">
        <f t="shared" si="241"/>
        <v>90</v>
      </c>
      <c r="D129" s="16">
        <v>0.0</v>
      </c>
      <c r="E129" s="16">
        <v>0.0</v>
      </c>
      <c r="F129" s="16"/>
      <c r="G129" s="43">
        <v>51714.0</v>
      </c>
      <c r="H129" s="72">
        <v>2221.0</v>
      </c>
      <c r="I129" s="96" t="str">
        <f t="shared" ref="I129:K129" si="242">(C129*$H129)/1000</f>
        <v>199.9</v>
      </c>
      <c r="J129" s="96" t="str">
        <f t="shared" si="242"/>
        <v>0.0</v>
      </c>
      <c r="K129" s="96" t="str">
        <f t="shared" si="242"/>
        <v>0.0</v>
      </c>
      <c r="L129" s="79"/>
      <c r="M129" s="72">
        <v>10566.0</v>
      </c>
      <c r="N129" s="96" t="str">
        <f t="shared" ref="N129:P129" si="243">($M129*C129)/1000</f>
        <v>950.9</v>
      </c>
      <c r="O129" s="96" t="str">
        <f t="shared" si="243"/>
        <v>0.0</v>
      </c>
      <c r="P129" s="96" t="str">
        <f t="shared" si="243"/>
        <v>0.0</v>
      </c>
      <c r="Q129" s="79"/>
      <c r="R129" s="72">
        <v>1305.0</v>
      </c>
      <c r="S129" s="96" t="str">
        <f t="shared" ref="S129:U129" si="244">($R129*C129)/1000</f>
        <v>117.5</v>
      </c>
      <c r="T129" s="96" t="str">
        <f t="shared" si="244"/>
        <v>0.0</v>
      </c>
      <c r="U129" s="96" t="str">
        <f t="shared" si="244"/>
        <v>0.0</v>
      </c>
      <c r="V129" s="79"/>
      <c r="W129" s="72">
        <v>4629.0</v>
      </c>
      <c r="X129" s="96" t="str">
        <f t="shared" ref="X129:Z129" si="245">($W129*C129)/1000</f>
        <v>416.6</v>
      </c>
      <c r="Y129" s="96" t="str">
        <f t="shared" si="245"/>
        <v>0.0</v>
      </c>
      <c r="Z129" s="96" t="str">
        <f t="shared" si="245"/>
        <v>0.0</v>
      </c>
      <c r="AA129" s="79"/>
      <c r="AB129" s="72">
        <v>6976.0</v>
      </c>
      <c r="AC129" s="96" t="str">
        <f t="shared" ref="AC129:AE129" si="246">($AB129*C129)/1000</f>
        <v>627.8</v>
      </c>
      <c r="AD129" s="96" t="str">
        <f t="shared" si="246"/>
        <v>0.0</v>
      </c>
      <c r="AE129" s="96" t="str">
        <f t="shared" si="246"/>
        <v>0.0</v>
      </c>
      <c r="AF129" s="79"/>
      <c r="AG129" s="72">
        <v>12004.0</v>
      </c>
      <c r="AH129" s="96" t="str">
        <f t="shared" ref="AH129:AJ129" si="247">($AG129*C129)/1000</f>
        <v>1080.4</v>
      </c>
      <c r="AI129" s="96" t="str">
        <f t="shared" si="247"/>
        <v>0.0</v>
      </c>
      <c r="AJ129" s="96" t="str">
        <f t="shared" si="247"/>
        <v>0.0</v>
      </c>
      <c r="AK129" s="79"/>
      <c r="AL129" s="72">
        <v>5628.0</v>
      </c>
      <c r="AM129" s="111" t="str">
        <f t="shared" ref="AM129:AO129" si="248">($AL129*C129)/1000</f>
        <v>506.5</v>
      </c>
      <c r="AN129" s="111" t="str">
        <f t="shared" si="248"/>
        <v>0.0</v>
      </c>
      <c r="AO129" s="111" t="str">
        <f t="shared" si="248"/>
        <v>0.0</v>
      </c>
      <c r="AP129" s="79"/>
      <c r="AQ129" s="72">
        <v>8387.0</v>
      </c>
      <c r="AR129" s="111" t="str">
        <f t="shared" ref="AR129:AT129" si="249">($AQ129*C129)/1000</f>
        <v>754.8</v>
      </c>
      <c r="AS129" s="111" t="str">
        <f t="shared" si="249"/>
        <v>0.0</v>
      </c>
      <c r="AT129" s="111" t="str">
        <f t="shared" si="249"/>
        <v>0.0</v>
      </c>
      <c r="AU129" s="79"/>
      <c r="AV129" s="96" t="str">
        <f t="shared" ref="AV129:AX129" si="250">I129+N129+S129+X129+AC129+AH129+AM129+AR129</f>
        <v>4654.4</v>
      </c>
      <c r="AW129" s="96" t="str">
        <f t="shared" si="250"/>
        <v>0.0</v>
      </c>
      <c r="AX129" s="96" t="str">
        <f t="shared" si="250"/>
        <v>0.0</v>
      </c>
      <c r="AY129" s="96"/>
      <c r="AZ129" s="96"/>
      <c r="BA129" s="96"/>
      <c r="BB129" s="96"/>
      <c r="BC129" s="96"/>
    </row>
    <row r="130">
      <c r="A130" s="91" t="s">
        <v>506</v>
      </c>
      <c r="B130" s="16">
        <v>61.3</v>
      </c>
      <c r="C130" s="16" t="str">
        <f t="shared" si="241"/>
        <v>61.3</v>
      </c>
      <c r="D130" s="16">
        <v>0.0</v>
      </c>
      <c r="E130" s="16">
        <v>0.0</v>
      </c>
      <c r="F130" s="16"/>
      <c r="G130" s="43">
        <v>217832.0</v>
      </c>
      <c r="H130" s="72">
        <v>14934.0</v>
      </c>
      <c r="I130" s="96" t="str">
        <f t="shared" ref="I130:K130" si="251">(C130*$H130)/1000</f>
        <v>915.5</v>
      </c>
      <c r="J130" s="96" t="str">
        <f t="shared" si="251"/>
        <v>0.0</v>
      </c>
      <c r="K130" s="96" t="str">
        <f t="shared" si="251"/>
        <v>0.0</v>
      </c>
      <c r="L130" s="79"/>
      <c r="M130" s="72">
        <v>63270.0</v>
      </c>
      <c r="N130" s="96" t="str">
        <f t="shared" ref="N130:P130" si="252">($M130*C130)/1000</f>
        <v>3878.5</v>
      </c>
      <c r="O130" s="96" t="str">
        <f t="shared" si="252"/>
        <v>0.0</v>
      </c>
      <c r="P130" s="96" t="str">
        <f t="shared" si="252"/>
        <v>0.0</v>
      </c>
      <c r="Q130" s="79"/>
      <c r="R130" s="72">
        <v>654.0</v>
      </c>
      <c r="S130" s="96" t="str">
        <f t="shared" ref="S130:U130" si="253">($R130*C130)/1000</f>
        <v>40.1</v>
      </c>
      <c r="T130" s="96" t="str">
        <f t="shared" si="253"/>
        <v>0.0</v>
      </c>
      <c r="U130" s="96" t="str">
        <f t="shared" si="253"/>
        <v>0.0</v>
      </c>
      <c r="V130" s="79"/>
      <c r="W130" s="72">
        <v>31212.0</v>
      </c>
      <c r="X130" s="96" t="str">
        <f t="shared" ref="X130:Z130" si="254">($W130*C130)/1000</f>
        <v>1913.3</v>
      </c>
      <c r="Y130" s="96" t="str">
        <f t="shared" si="254"/>
        <v>0.0</v>
      </c>
      <c r="Z130" s="96" t="str">
        <f t="shared" si="254"/>
        <v>0.0</v>
      </c>
      <c r="AA130" s="79"/>
      <c r="AB130" s="72">
        <v>22528.0</v>
      </c>
      <c r="AC130" s="96" t="str">
        <f t="shared" ref="AC130:AE130" si="255">($AB130*C130)/1000</f>
        <v>1381.0</v>
      </c>
      <c r="AD130" s="96" t="str">
        <f t="shared" si="255"/>
        <v>0.0</v>
      </c>
      <c r="AE130" s="96" t="str">
        <f t="shared" si="255"/>
        <v>0.0</v>
      </c>
      <c r="AF130" s="79"/>
      <c r="AG130" s="72">
        <v>49058.0</v>
      </c>
      <c r="AH130" s="96" t="str">
        <f t="shared" ref="AH130:AJ130" si="256">($AG130*C130)/1000</f>
        <v>3007.3</v>
      </c>
      <c r="AI130" s="96" t="str">
        <f t="shared" si="256"/>
        <v>0.0</v>
      </c>
      <c r="AJ130" s="96" t="str">
        <f t="shared" si="256"/>
        <v>0.0</v>
      </c>
      <c r="AK130" s="79"/>
      <c r="AL130" s="72">
        <v>22091.0</v>
      </c>
      <c r="AM130" s="111" t="str">
        <f t="shared" ref="AM130:AO130" si="257">($AL130*C130)/1000</f>
        <v>1354.2</v>
      </c>
      <c r="AN130" s="111" t="str">
        <f t="shared" si="257"/>
        <v>0.0</v>
      </c>
      <c r="AO130" s="111" t="str">
        <f t="shared" si="257"/>
        <v>0.0</v>
      </c>
      <c r="AP130" s="79"/>
      <c r="AQ130" s="72">
        <v>14084.0</v>
      </c>
      <c r="AR130" s="111" t="str">
        <f t="shared" ref="AR130:AT130" si="258">($AQ130*C130)/1000</f>
        <v>863.3</v>
      </c>
      <c r="AS130" s="111" t="str">
        <f t="shared" si="258"/>
        <v>0.0</v>
      </c>
      <c r="AT130" s="111" t="str">
        <f t="shared" si="258"/>
        <v>0.0</v>
      </c>
      <c r="AU130" s="79"/>
      <c r="AV130" s="96" t="str">
        <f t="shared" ref="AV130:AX130" si="259">I130+N130+S130+X130+AC130+AH130+AM130+AR130</f>
        <v>13353.0</v>
      </c>
      <c r="AW130" s="96" t="str">
        <f t="shared" si="259"/>
        <v>0.0</v>
      </c>
      <c r="AX130" s="96" t="str">
        <f t="shared" si="259"/>
        <v>0.0</v>
      </c>
      <c r="AY130" s="96"/>
      <c r="AZ130" s="96"/>
      <c r="BA130" s="96"/>
      <c r="BB130" s="96"/>
      <c r="BC130" s="96"/>
    </row>
    <row r="131">
      <c r="A131" s="91" t="s">
        <v>511</v>
      </c>
      <c r="B131" s="16">
        <v>21.07</v>
      </c>
      <c r="C131" s="16" t="str">
        <f t="shared" si="241"/>
        <v>21.07</v>
      </c>
      <c r="D131" s="16">
        <v>0.0</v>
      </c>
      <c r="E131" s="16">
        <v>0.0</v>
      </c>
      <c r="F131" s="16"/>
      <c r="G131" s="43">
        <v>562634.0</v>
      </c>
      <c r="H131" s="113">
        <v>34232.0</v>
      </c>
      <c r="I131" s="96" t="str">
        <f t="shared" ref="I131:K131" si="260">(C131*$H131)/1000</f>
        <v>721.3</v>
      </c>
      <c r="J131" s="96" t="str">
        <f t="shared" si="260"/>
        <v>0.0</v>
      </c>
      <c r="K131" s="96" t="str">
        <f t="shared" si="260"/>
        <v>0.0</v>
      </c>
      <c r="L131" s="79"/>
      <c r="M131" s="113">
        <v>96731.0</v>
      </c>
      <c r="N131" s="96" t="str">
        <f t="shared" ref="N131:P131" si="261">($M131*C131)/1000</f>
        <v>2038.1</v>
      </c>
      <c r="O131" s="96" t="str">
        <f t="shared" si="261"/>
        <v>0.0</v>
      </c>
      <c r="P131" s="96" t="str">
        <f t="shared" si="261"/>
        <v>0.0</v>
      </c>
      <c r="Q131" s="79"/>
      <c r="R131" s="113">
        <v>15205.0</v>
      </c>
      <c r="S131" s="96" t="str">
        <f t="shared" ref="S131:U131" si="262">($R131*C131)/1000</f>
        <v>320.4</v>
      </c>
      <c r="T131" s="96" t="str">
        <f t="shared" si="262"/>
        <v>0.0</v>
      </c>
      <c r="U131" s="96" t="str">
        <f t="shared" si="262"/>
        <v>0.0</v>
      </c>
      <c r="V131" s="79"/>
      <c r="W131" s="113">
        <v>45558.0</v>
      </c>
      <c r="X131" s="96" t="str">
        <f t="shared" ref="X131:Z131" si="263">($W131*C131)/1000</f>
        <v>959.9</v>
      </c>
      <c r="Y131" s="96" t="str">
        <f t="shared" si="263"/>
        <v>0.0</v>
      </c>
      <c r="Z131" s="96" t="str">
        <f t="shared" si="263"/>
        <v>0.0</v>
      </c>
      <c r="AA131" s="79"/>
      <c r="AB131" s="113">
        <v>71127.0</v>
      </c>
      <c r="AC131" s="96" t="str">
        <f t="shared" ref="AC131:AE131" si="264">($AB131*C131)/1000</f>
        <v>1498.6</v>
      </c>
      <c r="AD131" s="96" t="str">
        <f t="shared" si="264"/>
        <v>0.0</v>
      </c>
      <c r="AE131" s="96" t="str">
        <f t="shared" si="264"/>
        <v>0.0</v>
      </c>
      <c r="AF131" s="79"/>
      <c r="AG131" s="113">
        <v>123196.0</v>
      </c>
      <c r="AH131" s="96" t="str">
        <f t="shared" ref="AH131:AJ131" si="265">($AG131*C131)/1000</f>
        <v>2595.7</v>
      </c>
      <c r="AI131" s="96" t="str">
        <f t="shared" si="265"/>
        <v>0.0</v>
      </c>
      <c r="AJ131" s="96" t="str">
        <f t="shared" si="265"/>
        <v>0.0</v>
      </c>
      <c r="AK131" s="79"/>
      <c r="AL131" s="113">
        <v>113994.0</v>
      </c>
      <c r="AM131" s="111" t="str">
        <f t="shared" ref="AM131:AO131" si="266">($AL131*C131)/1000</f>
        <v>2401.9</v>
      </c>
      <c r="AN131" s="111" t="str">
        <f t="shared" si="266"/>
        <v>0.0</v>
      </c>
      <c r="AO131" s="111" t="str">
        <f t="shared" si="266"/>
        <v>0.0</v>
      </c>
      <c r="AP131" s="79"/>
      <c r="AQ131" s="113">
        <v>62592.0</v>
      </c>
      <c r="AR131" s="111" t="str">
        <f t="shared" ref="AR131:AT131" si="267">($AQ131*C131)/1000</f>
        <v>1318.8</v>
      </c>
      <c r="AS131" s="111" t="str">
        <f t="shared" si="267"/>
        <v>0.0</v>
      </c>
      <c r="AT131" s="111" t="str">
        <f t="shared" si="267"/>
        <v>0.0</v>
      </c>
      <c r="AU131" s="79"/>
      <c r="AV131" s="96" t="str">
        <f t="shared" ref="AV131:AX131" si="268">I131+N131+S131+X131+AC131+AH131+AM131+AR131</f>
        <v>11854.7</v>
      </c>
      <c r="AW131" s="96" t="str">
        <f t="shared" si="268"/>
        <v>0.0</v>
      </c>
      <c r="AX131" s="96" t="str">
        <f t="shared" si="268"/>
        <v>0.0</v>
      </c>
      <c r="AY131" s="96"/>
      <c r="AZ131" s="96"/>
      <c r="BA131" s="96"/>
      <c r="BB131" s="96"/>
      <c r="BC131" s="96"/>
    </row>
    <row r="132">
      <c r="A132" s="91" t="s">
        <v>515</v>
      </c>
      <c r="B132" s="16">
        <v>10.0</v>
      </c>
      <c r="C132" s="16" t="str">
        <f t="shared" si="241"/>
        <v>10</v>
      </c>
      <c r="D132" s="16">
        <v>0.0</v>
      </c>
      <c r="E132" s="16">
        <v>0.0</v>
      </c>
      <c r="F132" s="16"/>
      <c r="G132" s="43">
        <v>562634.0</v>
      </c>
      <c r="H132" s="72">
        <v>34232.0</v>
      </c>
      <c r="I132" s="96" t="str">
        <f t="shared" ref="I132:K132" si="269">(C132*$H132)/1000</f>
        <v>342.3</v>
      </c>
      <c r="J132" s="96" t="str">
        <f t="shared" si="269"/>
        <v>0.0</v>
      </c>
      <c r="K132" s="96" t="str">
        <f t="shared" si="269"/>
        <v>0.0</v>
      </c>
      <c r="L132" s="79"/>
      <c r="M132" s="72">
        <v>96731.0</v>
      </c>
      <c r="N132" s="96" t="str">
        <f t="shared" ref="N132:P132" si="270">($M132*C132)/1000</f>
        <v>967.3</v>
      </c>
      <c r="O132" s="96" t="str">
        <f t="shared" si="270"/>
        <v>0.0</v>
      </c>
      <c r="P132" s="96" t="str">
        <f t="shared" si="270"/>
        <v>0.0</v>
      </c>
      <c r="Q132" s="79"/>
      <c r="R132" s="72">
        <v>15205.0</v>
      </c>
      <c r="S132" s="96" t="str">
        <f t="shared" ref="S132:U132" si="271">($R132*C132)/1000</f>
        <v>152.1</v>
      </c>
      <c r="T132" s="96" t="str">
        <f t="shared" si="271"/>
        <v>0.0</v>
      </c>
      <c r="U132" s="96" t="str">
        <f t="shared" si="271"/>
        <v>0.0</v>
      </c>
      <c r="V132" s="79"/>
      <c r="W132" s="72">
        <v>45558.0</v>
      </c>
      <c r="X132" s="96" t="str">
        <f t="shared" ref="X132:Z132" si="272">($W132*C132)/1000</f>
        <v>455.6</v>
      </c>
      <c r="Y132" s="96" t="str">
        <f t="shared" si="272"/>
        <v>0.0</v>
      </c>
      <c r="Z132" s="96" t="str">
        <f t="shared" si="272"/>
        <v>0.0</v>
      </c>
      <c r="AA132" s="79"/>
      <c r="AB132" s="72">
        <v>71127.0</v>
      </c>
      <c r="AC132" s="96" t="str">
        <f t="shared" ref="AC132:AE132" si="273">($AB132*C132)/1000</f>
        <v>711.3</v>
      </c>
      <c r="AD132" s="96" t="str">
        <f t="shared" si="273"/>
        <v>0.0</v>
      </c>
      <c r="AE132" s="96" t="str">
        <f t="shared" si="273"/>
        <v>0.0</v>
      </c>
      <c r="AF132" s="79"/>
      <c r="AG132" s="72">
        <v>123196.0</v>
      </c>
      <c r="AH132" s="96" t="str">
        <f t="shared" ref="AH132:AJ132" si="274">($AG132*C132)/1000</f>
        <v>1232.0</v>
      </c>
      <c r="AI132" s="96" t="str">
        <f t="shared" si="274"/>
        <v>0.0</v>
      </c>
      <c r="AJ132" s="96" t="str">
        <f t="shared" si="274"/>
        <v>0.0</v>
      </c>
      <c r="AK132" s="79"/>
      <c r="AL132" s="72">
        <v>113994.0</v>
      </c>
      <c r="AM132" s="111" t="str">
        <f t="shared" ref="AM132:AO132" si="275">($AL132*C132)/1000</f>
        <v>1139.9</v>
      </c>
      <c r="AN132" s="111" t="str">
        <f t="shared" si="275"/>
        <v>0.0</v>
      </c>
      <c r="AO132" s="111" t="str">
        <f t="shared" si="275"/>
        <v>0.0</v>
      </c>
      <c r="AP132" s="79"/>
      <c r="AQ132" s="72">
        <v>62592.0</v>
      </c>
      <c r="AR132" s="111" t="str">
        <f t="shared" ref="AR132:AT132" si="276">($AQ132*C132)/1000</f>
        <v>625.9</v>
      </c>
      <c r="AS132" s="111" t="str">
        <f t="shared" si="276"/>
        <v>0.0</v>
      </c>
      <c r="AT132" s="111" t="str">
        <f t="shared" si="276"/>
        <v>0.0</v>
      </c>
      <c r="AU132" s="79"/>
      <c r="AV132" s="96" t="str">
        <f t="shared" ref="AV132:AX132" si="277">I132+N132+S132+X132+AC132+AH132+AM132+AR132</f>
        <v>5626.4</v>
      </c>
      <c r="AW132" s="96" t="str">
        <f t="shared" si="277"/>
        <v>0.0</v>
      </c>
      <c r="AX132" s="96" t="str">
        <f t="shared" si="277"/>
        <v>0.0</v>
      </c>
      <c r="AY132" s="96"/>
      <c r="AZ132" s="96"/>
      <c r="BA132" s="96"/>
      <c r="BB132" s="96"/>
      <c r="BC132" s="96"/>
    </row>
    <row r="133">
      <c r="A133" s="91" t="s">
        <v>670</v>
      </c>
      <c r="B133" s="16">
        <v>2000.0</v>
      </c>
      <c r="C133" s="16" t="str">
        <f t="shared" si="241"/>
        <v>2000</v>
      </c>
      <c r="D133" s="16">
        <v>0.0</v>
      </c>
      <c r="E133" s="16">
        <v>0.0</v>
      </c>
      <c r="F133" s="16"/>
      <c r="G133" s="43">
        <v>2450.0</v>
      </c>
      <c r="H133" s="113">
        <v>120.0</v>
      </c>
      <c r="I133" s="96" t="str">
        <f t="shared" ref="I133:K133" si="278">(C133*$H133)/1000</f>
        <v>240.0</v>
      </c>
      <c r="J133" s="96" t="str">
        <f t="shared" si="278"/>
        <v>0.0</v>
      </c>
      <c r="K133" s="96" t="str">
        <f t="shared" si="278"/>
        <v>0.0</v>
      </c>
      <c r="L133" s="79"/>
      <c r="M133" s="113">
        <v>983.0</v>
      </c>
      <c r="N133" s="96" t="str">
        <f t="shared" ref="N133:P133" si="279">($M133*C133)/1000</f>
        <v>1966.0</v>
      </c>
      <c r="O133" s="96" t="str">
        <f t="shared" si="279"/>
        <v>0.0</v>
      </c>
      <c r="P133" s="96" t="str">
        <f t="shared" si="279"/>
        <v>0.0</v>
      </c>
      <c r="Q133" s="79"/>
      <c r="R133" s="113">
        <v>7.0</v>
      </c>
      <c r="S133" s="96" t="str">
        <f t="shared" ref="S133:U133" si="280">($R133*C133)/1000</f>
        <v>14.0</v>
      </c>
      <c r="T133" s="96" t="str">
        <f t="shared" si="280"/>
        <v>0.0</v>
      </c>
      <c r="U133" s="96" t="str">
        <f t="shared" si="280"/>
        <v>0.0</v>
      </c>
      <c r="V133" s="79"/>
      <c r="W133" s="113">
        <v>382.0</v>
      </c>
      <c r="X133" s="96" t="str">
        <f t="shared" ref="X133:Z133" si="281">($W133*C133)/1000</f>
        <v>764.0</v>
      </c>
      <c r="Y133" s="96" t="str">
        <f t="shared" si="281"/>
        <v>0.0</v>
      </c>
      <c r="Z133" s="96" t="str">
        <f t="shared" si="281"/>
        <v>0.0</v>
      </c>
      <c r="AA133" s="79"/>
      <c r="AB133" s="113">
        <v>177.0</v>
      </c>
      <c r="AC133" s="96" t="str">
        <f t="shared" ref="AC133:AE133" si="282">($AB133*C133)/1000</f>
        <v>354.0</v>
      </c>
      <c r="AD133" s="96" t="str">
        <f t="shared" si="282"/>
        <v>0.0</v>
      </c>
      <c r="AE133" s="96" t="str">
        <f t="shared" si="282"/>
        <v>0.0</v>
      </c>
      <c r="AF133" s="79"/>
      <c r="AG133" s="113">
        <v>455.0</v>
      </c>
      <c r="AH133" s="96" t="str">
        <f t="shared" ref="AH133:AJ133" si="283">($AG133*C133)/1000</f>
        <v>910.0</v>
      </c>
      <c r="AI133" s="96" t="str">
        <f t="shared" si="283"/>
        <v>0.0</v>
      </c>
      <c r="AJ133" s="96" t="str">
        <f t="shared" si="283"/>
        <v>0.0</v>
      </c>
      <c r="AK133" s="79"/>
      <c r="AL133" s="113">
        <v>234.0</v>
      </c>
      <c r="AM133" s="111" t="str">
        <f t="shared" ref="AM133:AO133" si="284">($AL133*C133)/1000</f>
        <v>468.0</v>
      </c>
      <c r="AN133" s="111" t="str">
        <f t="shared" si="284"/>
        <v>0.0</v>
      </c>
      <c r="AO133" s="111" t="str">
        <f t="shared" si="284"/>
        <v>0.0</v>
      </c>
      <c r="AP133" s="79"/>
      <c r="AQ133" s="113">
        <v>92.0</v>
      </c>
      <c r="AR133" s="111" t="str">
        <f t="shared" ref="AR133:AT133" si="285">($AQ133*C133)/1000</f>
        <v>184.0</v>
      </c>
      <c r="AS133" s="111" t="str">
        <f t="shared" si="285"/>
        <v>0.0</v>
      </c>
      <c r="AT133" s="111" t="str">
        <f t="shared" si="285"/>
        <v>0.0</v>
      </c>
      <c r="AU133" s="79"/>
      <c r="AV133" s="96" t="str">
        <f t="shared" ref="AV133:AX133" si="286">I133+N133+S133+X133+AC133+AH133+AM133+AR133</f>
        <v>4900.0</v>
      </c>
      <c r="AW133" s="96" t="str">
        <f t="shared" si="286"/>
        <v>0.0</v>
      </c>
      <c r="AX133" s="96" t="str">
        <f t="shared" si="286"/>
        <v>0.0</v>
      </c>
      <c r="AY133" s="96"/>
      <c r="AZ133" s="96"/>
      <c r="BA133" s="96"/>
      <c r="BB133" s="96"/>
      <c r="BC133" s="96"/>
    </row>
    <row r="134">
      <c r="A134" s="91" t="s">
        <v>671</v>
      </c>
      <c r="B134" s="16">
        <v>453.5</v>
      </c>
      <c r="C134" s="16" t="str">
        <f>B134*85%</f>
        <v>385.475</v>
      </c>
      <c r="D134" s="16" t="str">
        <f>B134*5%</f>
        <v>22.675</v>
      </c>
      <c r="E134" s="16">
        <v>10.0</v>
      </c>
      <c r="F134" s="16"/>
      <c r="G134" s="43">
        <v>1692.0</v>
      </c>
      <c r="H134" s="72">
        <v>204.0</v>
      </c>
      <c r="I134" s="96" t="str">
        <f t="shared" ref="I134:K134" si="287">(C134*$H134)/1000</f>
        <v>78.6</v>
      </c>
      <c r="J134" s="96" t="str">
        <f t="shared" si="287"/>
        <v>4.6</v>
      </c>
      <c r="K134" s="96" t="str">
        <f t="shared" si="287"/>
        <v>2.0</v>
      </c>
      <c r="L134" s="79"/>
      <c r="M134" s="72">
        <v>154.0</v>
      </c>
      <c r="N134" s="96" t="str">
        <f t="shared" ref="N134:P134" si="288">($M134*C134)/1000</f>
        <v>59.4</v>
      </c>
      <c r="O134" s="96" t="str">
        <f t="shared" si="288"/>
        <v>3.5</v>
      </c>
      <c r="P134" s="96" t="str">
        <f t="shared" si="288"/>
        <v>1.5</v>
      </c>
      <c r="Q134" s="79"/>
      <c r="R134" s="72">
        <v>27.0</v>
      </c>
      <c r="S134" s="96" t="str">
        <f t="shared" ref="S134:U134" si="289">($R134*C134)/1000</f>
        <v>10.4</v>
      </c>
      <c r="T134" s="96" t="str">
        <f t="shared" si="289"/>
        <v>0.6</v>
      </c>
      <c r="U134" s="96" t="str">
        <f t="shared" si="289"/>
        <v>0.3</v>
      </c>
      <c r="V134" s="79"/>
      <c r="W134" s="72">
        <v>302.0</v>
      </c>
      <c r="X134" s="96" t="str">
        <f t="shared" ref="X134:Z134" si="290">($W134*C134)/1000</f>
        <v>116.4</v>
      </c>
      <c r="Y134" s="96" t="str">
        <f t="shared" si="290"/>
        <v>6.8</v>
      </c>
      <c r="Z134" s="96" t="str">
        <f t="shared" si="290"/>
        <v>3.0</v>
      </c>
      <c r="AA134" s="79"/>
      <c r="AB134" s="72">
        <v>403.0</v>
      </c>
      <c r="AC134" s="96" t="str">
        <f t="shared" ref="AC134:AE134" si="291">($AB134*C134)/1000</f>
        <v>155.3</v>
      </c>
      <c r="AD134" s="96" t="str">
        <f t="shared" si="291"/>
        <v>9.1</v>
      </c>
      <c r="AE134" s="96" t="str">
        <f t="shared" si="291"/>
        <v>4.0</v>
      </c>
      <c r="AF134" s="79"/>
      <c r="AG134" s="72">
        <v>230.0</v>
      </c>
      <c r="AH134" s="96" t="str">
        <f t="shared" ref="AH134:AJ134" si="292">($AG134*C134)/1000</f>
        <v>88.7</v>
      </c>
      <c r="AI134" s="96" t="str">
        <f t="shared" si="292"/>
        <v>5.2</v>
      </c>
      <c r="AJ134" s="96" t="str">
        <f t="shared" si="292"/>
        <v>2.3</v>
      </c>
      <c r="AK134" s="79"/>
      <c r="AL134" s="72">
        <v>185.0</v>
      </c>
      <c r="AM134" s="111" t="str">
        <f t="shared" ref="AM134:AO134" si="293">($AL134*C134)/1000</f>
        <v>71.3</v>
      </c>
      <c r="AN134" s="111" t="str">
        <f t="shared" si="293"/>
        <v>4.2</v>
      </c>
      <c r="AO134" s="111" t="str">
        <f t="shared" si="293"/>
        <v>1.9</v>
      </c>
      <c r="AP134" s="79"/>
      <c r="AQ134" s="72">
        <v>187.0</v>
      </c>
      <c r="AR134" s="111" t="str">
        <f t="shared" ref="AR134:AT134" si="294">($AQ134*C134)/1000</f>
        <v>72.1</v>
      </c>
      <c r="AS134" s="111" t="str">
        <f t="shared" si="294"/>
        <v>4.2</v>
      </c>
      <c r="AT134" s="111" t="str">
        <f t="shared" si="294"/>
        <v>1.9</v>
      </c>
      <c r="AU134" s="79"/>
      <c r="AV134" s="96" t="str">
        <f t="shared" ref="AV134:AX134" si="295">I134+N134+S134+X134+AC134+AH134+AM134+AR134</f>
        <v>652.2</v>
      </c>
      <c r="AW134" s="96" t="str">
        <f t="shared" si="295"/>
        <v>38.4</v>
      </c>
      <c r="AX134" s="96" t="str">
        <f t="shared" si="295"/>
        <v>16.9</v>
      </c>
      <c r="AY134" s="96"/>
      <c r="AZ134" s="96"/>
      <c r="BA134" s="96"/>
      <c r="BB134" s="96"/>
      <c r="BC134" s="96"/>
    </row>
    <row r="135">
      <c r="A135" s="91" t="s">
        <v>672</v>
      </c>
      <c r="B135" s="16">
        <v>317.5</v>
      </c>
      <c r="C135" s="16" t="str">
        <f>B135*100%</f>
        <v>317.5</v>
      </c>
      <c r="D135" s="16">
        <v>0.0</v>
      </c>
      <c r="E135" s="16">
        <v>0.0</v>
      </c>
      <c r="F135" s="16"/>
      <c r="G135" s="43">
        <v>21116.0</v>
      </c>
      <c r="H135" s="72">
        <v>3052.0</v>
      </c>
      <c r="I135" s="96" t="str">
        <f t="shared" ref="I135:K135" si="296">(C135*$H135)/1000</f>
        <v>969.0</v>
      </c>
      <c r="J135" s="96" t="str">
        <f t="shared" si="296"/>
        <v>0.0</v>
      </c>
      <c r="K135" s="96" t="str">
        <f t="shared" si="296"/>
        <v>0.0</v>
      </c>
      <c r="L135" s="79"/>
      <c r="M135" s="72">
        <v>2629.0</v>
      </c>
      <c r="N135" s="96" t="str">
        <f t="shared" ref="N135:P135" si="297">($M135*C135)/1000</f>
        <v>834.7</v>
      </c>
      <c r="O135" s="96" t="str">
        <f t="shared" si="297"/>
        <v>0.0</v>
      </c>
      <c r="P135" s="96" t="str">
        <f t="shared" si="297"/>
        <v>0.0</v>
      </c>
      <c r="Q135" s="79"/>
      <c r="R135" s="72">
        <v>551.0</v>
      </c>
      <c r="S135" s="96" t="str">
        <f t="shared" ref="S135:U135" si="298">($R135*C135)/1000</f>
        <v>174.9</v>
      </c>
      <c r="T135" s="96" t="str">
        <f t="shared" si="298"/>
        <v>0.0</v>
      </c>
      <c r="U135" s="96" t="str">
        <f t="shared" si="298"/>
        <v>0.0</v>
      </c>
      <c r="V135" s="79"/>
      <c r="W135" s="72">
        <v>3653.0</v>
      </c>
      <c r="X135" s="96" t="str">
        <f t="shared" ref="X135:Z135" si="299">($W135*C135)/1000</f>
        <v>1159.8</v>
      </c>
      <c r="Y135" s="96" t="str">
        <f t="shared" si="299"/>
        <v>0.0</v>
      </c>
      <c r="Z135" s="96" t="str">
        <f t="shared" si="299"/>
        <v>0.0</v>
      </c>
      <c r="AA135" s="79"/>
      <c r="AB135" s="72">
        <v>4528.0</v>
      </c>
      <c r="AC135" s="96" t="str">
        <f t="shared" ref="AC135:AE135" si="300">($AB135*C135)/1000</f>
        <v>1437.6</v>
      </c>
      <c r="AD135" s="96" t="str">
        <f t="shared" si="300"/>
        <v>0.0</v>
      </c>
      <c r="AE135" s="96" t="str">
        <f t="shared" si="300"/>
        <v>0.0</v>
      </c>
      <c r="AF135" s="79"/>
      <c r="AG135" s="72">
        <v>2760.0</v>
      </c>
      <c r="AH135" s="96" t="str">
        <f t="shared" ref="AH135:AJ135" si="301">($AG135*C135)/1000</f>
        <v>876.3</v>
      </c>
      <c r="AI135" s="96" t="str">
        <f t="shared" si="301"/>
        <v>0.0</v>
      </c>
      <c r="AJ135" s="96" t="str">
        <f t="shared" si="301"/>
        <v>0.0</v>
      </c>
      <c r="AK135" s="79"/>
      <c r="AL135" s="72">
        <v>2473.0</v>
      </c>
      <c r="AM135" s="111" t="str">
        <f t="shared" ref="AM135:AO135" si="302">($AL135*C135)/1000</f>
        <v>785.2</v>
      </c>
      <c r="AN135" s="111" t="str">
        <f t="shared" si="302"/>
        <v>0.0</v>
      </c>
      <c r="AO135" s="111" t="str">
        <f t="shared" si="302"/>
        <v>0.0</v>
      </c>
      <c r="AP135" s="79"/>
      <c r="AQ135" s="72">
        <v>1470.0</v>
      </c>
      <c r="AR135" s="111" t="str">
        <f t="shared" ref="AR135:AT135" si="303">($AQ135*C135)/1000</f>
        <v>466.7</v>
      </c>
      <c r="AS135" s="111" t="str">
        <f t="shared" si="303"/>
        <v>0.0</v>
      </c>
      <c r="AT135" s="111" t="str">
        <f t="shared" si="303"/>
        <v>0.0</v>
      </c>
      <c r="AU135" s="79"/>
      <c r="AV135" s="96" t="str">
        <f t="shared" ref="AV135:AX135" si="304">I135+N135+S135+X135+AC135+AH135+AM135+AR135</f>
        <v>6704.3</v>
      </c>
      <c r="AW135" s="96" t="str">
        <f t="shared" si="304"/>
        <v>0.0</v>
      </c>
      <c r="AX135" s="96" t="str">
        <f t="shared" si="304"/>
        <v>0.0</v>
      </c>
      <c r="AY135" s="96"/>
      <c r="AZ135" s="96"/>
      <c r="BA135" s="96"/>
      <c r="BB135" s="96"/>
      <c r="BC135" s="96"/>
    </row>
    <row r="136">
      <c r="A136" s="91" t="s">
        <v>673</v>
      </c>
      <c r="B136" s="16" t="s">
        <v>49</v>
      </c>
      <c r="C136" s="16">
        <v>4149166.0</v>
      </c>
      <c r="D136" s="16">
        <v>81356.0</v>
      </c>
      <c r="E136" s="16">
        <v>0.0</v>
      </c>
      <c r="F136" s="114"/>
      <c r="G136" s="114">
        <v>1.0</v>
      </c>
      <c r="H136" s="70">
        <v>0.09</v>
      </c>
      <c r="I136" s="96" t="str">
        <f t="shared" ref="I136:K136" si="305">(C136*$H136)/1000</f>
        <v>373.4</v>
      </c>
      <c r="J136" s="96" t="str">
        <f t="shared" si="305"/>
        <v>7.3</v>
      </c>
      <c r="K136" s="96" t="str">
        <f t="shared" si="305"/>
        <v>0.0</v>
      </c>
      <c r="M136" s="70">
        <v>0.0</v>
      </c>
      <c r="N136" s="96" t="str">
        <f t="shared" ref="N136:P136" si="306">($M136*C136)/1000</f>
        <v>0.0</v>
      </c>
      <c r="O136" s="96" t="str">
        <f t="shared" si="306"/>
        <v>0.0</v>
      </c>
      <c r="P136" s="96" t="str">
        <f t="shared" si="306"/>
        <v>0.0</v>
      </c>
      <c r="R136" s="70">
        <v>0.0</v>
      </c>
      <c r="S136" s="96" t="str">
        <f t="shared" ref="S136:U136" si="307">($R136*C136)/1000</f>
        <v>0.0</v>
      </c>
      <c r="T136" s="96" t="str">
        <f t="shared" si="307"/>
        <v>0.0</v>
      </c>
      <c r="U136" s="96" t="str">
        <f t="shared" si="307"/>
        <v>0.0</v>
      </c>
      <c r="W136" s="70">
        <v>0.0</v>
      </c>
      <c r="X136" s="96" t="str">
        <f t="shared" ref="X136:Z136" si="308">($W136*C136)/1000</f>
        <v>0.0</v>
      </c>
      <c r="Y136" s="96" t="str">
        <f t="shared" si="308"/>
        <v>0.0</v>
      </c>
      <c r="Z136" s="96" t="str">
        <f t="shared" si="308"/>
        <v>0.0</v>
      </c>
      <c r="AB136" s="70">
        <v>0.28</v>
      </c>
      <c r="AC136" s="96" t="str">
        <f t="shared" ref="AC136:AE136" si="309">($AB136*C136)/1000</f>
        <v>1161.8</v>
      </c>
      <c r="AD136" s="96" t="str">
        <f t="shared" si="309"/>
        <v>22.8</v>
      </c>
      <c r="AE136" s="96" t="str">
        <f t="shared" si="309"/>
        <v>0.0</v>
      </c>
      <c r="AG136" s="70">
        <v>0.2</v>
      </c>
      <c r="AH136" s="96" t="str">
        <f t="shared" ref="AH136:AJ136" si="310">($AG136*C136)/1000</f>
        <v>829.8</v>
      </c>
      <c r="AI136" s="96" t="str">
        <f t="shared" si="310"/>
        <v>16.3</v>
      </c>
      <c r="AJ136" s="96" t="str">
        <f t="shared" si="310"/>
        <v>0.0</v>
      </c>
      <c r="AL136" s="70">
        <v>0.15</v>
      </c>
      <c r="AM136" s="111" t="str">
        <f t="shared" ref="AM136:AO136" si="311">($AL136*C136)/1000</f>
        <v>622.4</v>
      </c>
      <c r="AN136" s="111" t="str">
        <f t="shared" si="311"/>
        <v>12.2</v>
      </c>
      <c r="AO136" s="111" t="str">
        <f t="shared" si="311"/>
        <v>0.0</v>
      </c>
      <c r="AQ136" s="70">
        <v>0.28</v>
      </c>
      <c r="AR136" s="111" t="str">
        <f t="shared" ref="AR136:AT136" si="312">($AQ136*C136)/1000</f>
        <v>1161.8</v>
      </c>
      <c r="AS136" s="111" t="str">
        <f t="shared" si="312"/>
        <v>22.8</v>
      </c>
      <c r="AT136" s="111" t="str">
        <f t="shared" si="312"/>
        <v>0.0</v>
      </c>
      <c r="AV136" s="96" t="str">
        <f t="shared" ref="AV136:AX136" si="313">I136+N136+S136+X136+AC136+AH136+AM136+AR136</f>
        <v>4149.2</v>
      </c>
      <c r="AW136" s="96" t="str">
        <f t="shared" si="313"/>
        <v>81.4</v>
      </c>
      <c r="AX136" s="96" t="str">
        <f t="shared" si="313"/>
        <v>0.0</v>
      </c>
      <c r="AY136" s="96"/>
      <c r="AZ136" s="96"/>
      <c r="BA136" s="96"/>
      <c r="BB136" s="96"/>
      <c r="BC136" s="96"/>
    </row>
    <row r="137">
      <c r="A137" s="91"/>
      <c r="I137" s="78"/>
      <c r="J137" s="78"/>
      <c r="K137" s="78"/>
      <c r="N137" s="78"/>
      <c r="O137" s="78"/>
      <c r="P137" s="78"/>
      <c r="S137" s="78"/>
      <c r="T137" s="78"/>
      <c r="U137" s="78"/>
      <c r="X137" s="78"/>
      <c r="Y137" s="78"/>
      <c r="Z137" s="78"/>
      <c r="AC137" s="78"/>
      <c r="AD137" s="78"/>
      <c r="AE137" s="78"/>
      <c r="AH137" s="78"/>
      <c r="AI137" s="78"/>
      <c r="AJ137" s="78"/>
      <c r="AM137" s="78"/>
      <c r="AN137" s="78"/>
      <c r="AO137" s="78"/>
    </row>
    <row r="138">
      <c r="A138" s="92" t="s">
        <v>618</v>
      </c>
      <c r="B138" s="85"/>
      <c r="C138" s="85"/>
      <c r="D138" s="85"/>
      <c r="E138" s="85"/>
      <c r="F138" s="85"/>
      <c r="G138" s="85"/>
      <c r="H138" s="85"/>
      <c r="I138" s="93" t="str">
        <f t="shared" ref="I138:K138" si="314">sum(I112:I136)</f>
        <v>4120.5</v>
      </c>
      <c r="J138" s="93" t="str">
        <f t="shared" si="314"/>
        <v>56.8</v>
      </c>
      <c r="K138" s="93" t="str">
        <f t="shared" si="314"/>
        <v>25.4</v>
      </c>
      <c r="L138" s="86"/>
      <c r="M138" s="86"/>
      <c r="N138" s="93" t="str">
        <f t="shared" ref="N138:P138" si="315">sum(N112:N136)</f>
        <v>12149.7</v>
      </c>
      <c r="O138" s="93" t="str">
        <f t="shared" si="315"/>
        <v>171.1</v>
      </c>
      <c r="P138" s="93" t="str">
        <f t="shared" si="315"/>
        <v>91.2</v>
      </c>
      <c r="Q138" s="86"/>
      <c r="R138" s="86"/>
      <c r="S138" s="93" t="str">
        <f t="shared" ref="S138:U138" si="316">sum(S112:S136)</f>
        <v>883.7</v>
      </c>
      <c r="T138" s="93" t="str">
        <f t="shared" si="316"/>
        <v>15.7</v>
      </c>
      <c r="U138" s="93" t="str">
        <f t="shared" si="316"/>
        <v>10.4</v>
      </c>
      <c r="V138" s="86"/>
      <c r="W138" s="86"/>
      <c r="X138" s="93" t="str">
        <f t="shared" ref="X138:Z138" si="317">sum(X112:X136)</f>
        <v>6394.2</v>
      </c>
      <c r="Y138" s="93" t="str">
        <f t="shared" si="317"/>
        <v>90.6</v>
      </c>
      <c r="Z138" s="93" t="str">
        <f t="shared" si="317"/>
        <v>44.9</v>
      </c>
      <c r="AA138" s="86"/>
      <c r="AB138" s="86"/>
      <c r="AC138" s="93" t="str">
        <f t="shared" ref="AC138:AE138" si="318">sum(AC112:AC136)</f>
        <v>7875.6</v>
      </c>
      <c r="AD138" s="93" t="str">
        <f t="shared" si="318"/>
        <v>118.2</v>
      </c>
      <c r="AE138" s="93" t="str">
        <f t="shared" si="318"/>
        <v>53.4</v>
      </c>
      <c r="AF138" s="86"/>
      <c r="AG138" s="86"/>
      <c r="AH138" s="93" t="str">
        <f t="shared" ref="AH138:AJ138" si="319">sum(AH112:AH136)</f>
        <v>11693.6</v>
      </c>
      <c r="AI138" s="93" t="str">
        <f t="shared" si="319"/>
        <v>177.6</v>
      </c>
      <c r="AJ138" s="93" t="str">
        <f t="shared" si="319"/>
        <v>87.6</v>
      </c>
      <c r="AK138" s="86"/>
      <c r="AL138" s="86"/>
      <c r="AM138" s="93" t="str">
        <f t="shared" ref="AM138:AO138" si="320">sum(AM112:AM136)</f>
        <v>7933.9</v>
      </c>
      <c r="AN138" s="93" t="str">
        <f t="shared" si="320"/>
        <v>116.6</v>
      </c>
      <c r="AO138" s="93" t="str">
        <f t="shared" si="320"/>
        <v>59.0</v>
      </c>
      <c r="AP138" s="86"/>
      <c r="AQ138" s="86"/>
      <c r="AR138" s="93" t="str">
        <f t="shared" ref="AR138:AT138" si="321">sum(AR112:AR136)</f>
        <v>5802.7</v>
      </c>
      <c r="AS138" s="93" t="str">
        <f t="shared" si="321"/>
        <v>94.6</v>
      </c>
      <c r="AT138" s="93" t="str">
        <f t="shared" si="321"/>
        <v>42.0</v>
      </c>
      <c r="AU138" s="86"/>
      <c r="AV138" s="86" t="str">
        <f t="shared" ref="AV138:AX138" si="322">sum(AV112:AV136)</f>
        <v>56854</v>
      </c>
      <c r="AW138" s="86" t="str">
        <f t="shared" si="322"/>
        <v>841</v>
      </c>
      <c r="AX138" s="86" t="str">
        <f t="shared" si="322"/>
        <v>414</v>
      </c>
      <c r="AY138" s="86"/>
      <c r="AZ138" s="86"/>
      <c r="BA138" s="86"/>
      <c r="BB138" s="86"/>
      <c r="BC138" s="86"/>
    </row>
    <row r="139">
      <c r="A139" s="74" t="s">
        <v>2</v>
      </c>
      <c r="AV139" s="115"/>
      <c r="AW139" s="115"/>
      <c r="AX139" s="115"/>
      <c r="AY139" s="115"/>
      <c r="AZ139" s="115"/>
      <c r="BA139" s="115"/>
      <c r="BB139" s="115"/>
      <c r="BC139" s="115"/>
    </row>
    <row r="140">
      <c r="A140" s="110" t="s">
        <v>528</v>
      </c>
      <c r="AV140" s="115"/>
      <c r="AW140" s="115"/>
      <c r="AX140" s="115"/>
      <c r="AY140" s="115"/>
      <c r="AZ140" s="115"/>
      <c r="BA140" s="115"/>
      <c r="BB140" s="115"/>
      <c r="BC140" s="115"/>
    </row>
    <row r="141">
      <c r="A141" s="116" t="s">
        <v>529</v>
      </c>
      <c r="B141" s="43">
        <v>7000.0</v>
      </c>
      <c r="C141" s="43" t="str">
        <f>B141*90%</f>
        <v>6300</v>
      </c>
      <c r="D141" s="43" t="str">
        <f>B141*0.5%</f>
        <v>35</v>
      </c>
      <c r="E141" s="43">
        <v>29.0</v>
      </c>
      <c r="F141" s="117"/>
      <c r="G141" s="43">
        <v>82.0</v>
      </c>
      <c r="H141" s="113">
        <v>38.0</v>
      </c>
      <c r="I141" s="72" t="str">
        <f t="shared" ref="I141:K141" si="323">($H141*C141)/1000</f>
        <v>239</v>
      </c>
      <c r="J141" s="72" t="str">
        <f t="shared" si="323"/>
        <v>1</v>
      </c>
      <c r="K141" s="72" t="str">
        <f t="shared" si="323"/>
        <v>1</v>
      </c>
      <c r="L141" s="79"/>
      <c r="M141" s="113">
        <v>6.0</v>
      </c>
      <c r="N141" s="72" t="str">
        <f t="shared" ref="N141:P141" si="324">($M141*C141)/1000</f>
        <v>38</v>
      </c>
      <c r="O141" s="72" t="str">
        <f t="shared" si="324"/>
        <v>0</v>
      </c>
      <c r="P141" s="72" t="str">
        <f t="shared" si="324"/>
        <v>0</v>
      </c>
      <c r="Q141" s="79"/>
      <c r="R141" s="113">
        <v>0.0</v>
      </c>
      <c r="S141" s="72" t="str">
        <f t="shared" ref="S141:U141" si="325">($R141*C141)/1000</f>
        <v>0</v>
      </c>
      <c r="T141" s="72" t="str">
        <f t="shared" si="325"/>
        <v>0</v>
      </c>
      <c r="U141" s="72" t="str">
        <f t="shared" si="325"/>
        <v>0</v>
      </c>
      <c r="V141" s="79"/>
      <c r="W141" s="113">
        <v>4.0</v>
      </c>
      <c r="X141" s="72" t="str">
        <f t="shared" ref="X141:Z141" si="326">($W141*C141)/1000</f>
        <v>25</v>
      </c>
      <c r="Y141" s="72" t="str">
        <f t="shared" si="326"/>
        <v>0</v>
      </c>
      <c r="Z141" s="72" t="str">
        <f t="shared" si="326"/>
        <v>0</v>
      </c>
      <c r="AA141" s="79"/>
      <c r="AB141" s="113">
        <v>22.0</v>
      </c>
      <c r="AC141" s="72" t="str">
        <f t="shared" ref="AC141:AE141" si="327">($AB141*C141)/1000</f>
        <v>139</v>
      </c>
      <c r="AD141" s="72" t="str">
        <f t="shared" si="327"/>
        <v>1</v>
      </c>
      <c r="AE141" s="72" t="str">
        <f t="shared" si="327"/>
        <v>1</v>
      </c>
      <c r="AF141" s="79"/>
      <c r="AG141" s="113">
        <v>3.0</v>
      </c>
      <c r="AH141" s="72" t="str">
        <f t="shared" ref="AH141:AJ141" si="328">($AG141*C141)/1000</f>
        <v>19</v>
      </c>
      <c r="AI141" s="72" t="str">
        <f t="shared" si="328"/>
        <v>0</v>
      </c>
      <c r="AJ141" s="72" t="str">
        <f t="shared" si="328"/>
        <v>0</v>
      </c>
      <c r="AK141" s="79"/>
      <c r="AL141" s="113">
        <v>3.0</v>
      </c>
      <c r="AM141" s="72" t="str">
        <f t="shared" ref="AM141:AO141" si="329">($AL141*C141)/1000</f>
        <v>19</v>
      </c>
      <c r="AN141" s="72" t="str">
        <f t="shared" si="329"/>
        <v>0</v>
      </c>
      <c r="AO141" s="72" t="str">
        <f t="shared" si="329"/>
        <v>0</v>
      </c>
      <c r="AP141" s="79"/>
      <c r="AQ141" s="113">
        <v>6.0</v>
      </c>
      <c r="AR141" s="72" t="str">
        <f t="shared" ref="AR141:AT141" si="330">($AQ141*C141)/1000</f>
        <v>38</v>
      </c>
      <c r="AS141" s="72" t="str">
        <f t="shared" si="330"/>
        <v>0</v>
      </c>
      <c r="AT141" s="72" t="str">
        <f t="shared" si="330"/>
        <v>0</v>
      </c>
      <c r="AU141" s="79"/>
      <c r="AV141" s="118" t="str">
        <f t="shared" ref="AV141:AX141" si="331">I141+N141+S141+X141+AC141+AH141+AM141+AR141</f>
        <v>516.60</v>
      </c>
      <c r="AW141" s="118" t="str">
        <f t="shared" si="331"/>
        <v>2.87</v>
      </c>
      <c r="AX141" s="118" t="str">
        <f t="shared" si="331"/>
        <v>2.38</v>
      </c>
      <c r="AY141" s="118"/>
      <c r="AZ141" s="118"/>
      <c r="BA141" s="118"/>
      <c r="BB141" s="118"/>
      <c r="BC141" s="118"/>
    </row>
    <row r="142">
      <c r="A142" s="116" t="s">
        <v>531</v>
      </c>
      <c r="B142" s="43">
        <v>1250.0</v>
      </c>
      <c r="C142" s="96" t="str">
        <f>B142*85%</f>
        <v>1062.5</v>
      </c>
      <c r="D142" s="96" t="str">
        <f>B142*1%</f>
        <v>12.5</v>
      </c>
      <c r="E142" s="43">
        <v>29.0</v>
      </c>
      <c r="F142" s="117"/>
      <c r="G142" s="43">
        <v>246.0</v>
      </c>
      <c r="H142" s="72">
        <v>114.0</v>
      </c>
      <c r="I142" s="72" t="str">
        <f t="shared" ref="I142:K142" si="332">($H142*C142)/1000</f>
        <v>121</v>
      </c>
      <c r="J142" s="72" t="str">
        <f t="shared" si="332"/>
        <v>1</v>
      </c>
      <c r="K142" s="72" t="str">
        <f t="shared" si="332"/>
        <v>3</v>
      </c>
      <c r="L142" s="79"/>
      <c r="M142" s="72">
        <v>18.0</v>
      </c>
      <c r="N142" s="72" t="str">
        <f t="shared" ref="N142:P142" si="333">($M142*C142)/1000</f>
        <v>19</v>
      </c>
      <c r="O142" s="72" t="str">
        <f t="shared" si="333"/>
        <v>0</v>
      </c>
      <c r="P142" s="72" t="str">
        <f t="shared" si="333"/>
        <v>1</v>
      </c>
      <c r="Q142" s="79"/>
      <c r="R142" s="72">
        <v>0.0</v>
      </c>
      <c r="S142" s="72" t="str">
        <f t="shared" ref="S142:U142" si="334">($R142*C142)/1000</f>
        <v>0</v>
      </c>
      <c r="T142" s="72" t="str">
        <f t="shared" si="334"/>
        <v>0</v>
      </c>
      <c r="U142" s="72" t="str">
        <f t="shared" si="334"/>
        <v>0</v>
      </c>
      <c r="V142" s="79"/>
      <c r="W142" s="72">
        <v>12.0</v>
      </c>
      <c r="X142" s="72" t="str">
        <f t="shared" ref="X142:Z142" si="335">($W142*C142)/1000</f>
        <v>13</v>
      </c>
      <c r="Y142" s="72" t="str">
        <f t="shared" si="335"/>
        <v>0</v>
      </c>
      <c r="Z142" s="72" t="str">
        <f t="shared" si="335"/>
        <v>0</v>
      </c>
      <c r="AA142" s="79"/>
      <c r="AB142" s="72">
        <v>66.0</v>
      </c>
      <c r="AC142" s="72" t="str">
        <f t="shared" ref="AC142:AE142" si="336">($AB142*C142)/1000</f>
        <v>70</v>
      </c>
      <c r="AD142" s="72" t="str">
        <f t="shared" si="336"/>
        <v>1</v>
      </c>
      <c r="AE142" s="72" t="str">
        <f t="shared" si="336"/>
        <v>2</v>
      </c>
      <c r="AF142" s="79"/>
      <c r="AG142" s="72">
        <v>9.0</v>
      </c>
      <c r="AH142" s="72" t="str">
        <f t="shared" ref="AH142:AJ142" si="337">($AG142*C142)/1000</f>
        <v>10</v>
      </c>
      <c r="AI142" s="72" t="str">
        <f t="shared" si="337"/>
        <v>0</v>
      </c>
      <c r="AJ142" s="72" t="str">
        <f t="shared" si="337"/>
        <v>0</v>
      </c>
      <c r="AK142" s="79"/>
      <c r="AL142" s="72">
        <v>9.0</v>
      </c>
      <c r="AM142" s="72" t="str">
        <f t="shared" ref="AM142:AO142" si="338">($AL142*C142)/1000</f>
        <v>10</v>
      </c>
      <c r="AN142" s="72" t="str">
        <f t="shared" si="338"/>
        <v>0</v>
      </c>
      <c r="AO142" s="72" t="str">
        <f t="shared" si="338"/>
        <v>0</v>
      </c>
      <c r="AP142" s="79"/>
      <c r="AQ142" s="72">
        <v>18.0</v>
      </c>
      <c r="AR142" s="72" t="str">
        <f t="shared" ref="AR142:AT142" si="339">($AQ142*C142)/1000</f>
        <v>19</v>
      </c>
      <c r="AS142" s="72" t="str">
        <f t="shared" si="339"/>
        <v>0</v>
      </c>
      <c r="AT142" s="72" t="str">
        <f t="shared" si="339"/>
        <v>1</v>
      </c>
      <c r="AU142" s="79"/>
      <c r="AV142" s="118" t="str">
        <f t="shared" ref="AV142:AX142" si="340">I142+N142+S142+X142+AC142+AH142+AM142+AR142</f>
        <v>261.38</v>
      </c>
      <c r="AW142" s="118" t="str">
        <f t="shared" si="340"/>
        <v>3.08</v>
      </c>
      <c r="AX142" s="118" t="str">
        <f t="shared" si="340"/>
        <v>7.13</v>
      </c>
      <c r="AY142" s="118"/>
      <c r="AZ142" s="118"/>
      <c r="BA142" s="118"/>
      <c r="BB142" s="118"/>
      <c r="BC142" s="118"/>
    </row>
    <row r="143">
      <c r="A143" s="91"/>
      <c r="B143" s="79"/>
      <c r="C143" s="119"/>
      <c r="D143" s="119"/>
      <c r="E143" s="79"/>
      <c r="F143" s="120"/>
      <c r="G143" s="79"/>
      <c r="H143" s="79"/>
      <c r="I143" s="72"/>
      <c r="J143" s="72"/>
      <c r="K143" s="72"/>
      <c r="L143" s="79"/>
      <c r="M143" s="79"/>
      <c r="N143" s="72"/>
      <c r="O143" s="72"/>
      <c r="P143" s="72"/>
      <c r="Q143" s="79"/>
      <c r="R143" s="79"/>
      <c r="S143" s="72"/>
      <c r="T143" s="72"/>
      <c r="U143" s="72"/>
      <c r="V143" s="79"/>
      <c r="W143" s="79"/>
      <c r="X143" s="72"/>
      <c r="Y143" s="72"/>
      <c r="Z143" s="72"/>
      <c r="AA143" s="79"/>
      <c r="AB143" s="79"/>
      <c r="AC143" s="72"/>
      <c r="AD143" s="72"/>
      <c r="AE143" s="72"/>
      <c r="AF143" s="79"/>
      <c r="AG143" s="79"/>
      <c r="AH143" s="72"/>
      <c r="AI143" s="72"/>
      <c r="AJ143" s="72"/>
      <c r="AK143" s="79"/>
      <c r="AL143" s="79"/>
      <c r="AM143" s="72"/>
      <c r="AN143" s="72"/>
      <c r="AO143" s="72"/>
      <c r="AP143" s="79"/>
      <c r="AQ143" s="79"/>
      <c r="AR143" s="72"/>
      <c r="AS143" s="72"/>
      <c r="AT143" s="72"/>
      <c r="AU143" s="79"/>
      <c r="AV143" s="72"/>
      <c r="AW143" s="72"/>
      <c r="AX143" s="72"/>
      <c r="AY143" s="72"/>
      <c r="AZ143" s="72"/>
      <c r="BA143" s="72"/>
      <c r="BB143" s="72"/>
      <c r="BC143" s="72"/>
    </row>
    <row r="144">
      <c r="A144" s="90" t="s">
        <v>674</v>
      </c>
      <c r="B144" s="79"/>
      <c r="C144" s="119"/>
      <c r="D144" s="119"/>
      <c r="E144" s="79"/>
      <c r="F144" s="120"/>
      <c r="G144" s="79"/>
      <c r="H144" s="79"/>
      <c r="I144" s="72"/>
      <c r="J144" s="72"/>
      <c r="K144" s="72"/>
      <c r="L144" s="79"/>
      <c r="M144" s="79"/>
      <c r="N144" s="72"/>
      <c r="O144" s="72"/>
      <c r="P144" s="72"/>
      <c r="Q144" s="79"/>
      <c r="R144" s="79"/>
      <c r="S144" s="72"/>
      <c r="T144" s="72"/>
      <c r="U144" s="72"/>
      <c r="V144" s="79"/>
      <c r="W144" s="79"/>
      <c r="X144" s="72"/>
      <c r="Y144" s="72"/>
      <c r="Z144" s="72"/>
      <c r="AA144" s="79"/>
      <c r="AB144" s="79"/>
      <c r="AC144" s="72"/>
      <c r="AD144" s="72"/>
      <c r="AE144" s="72"/>
      <c r="AF144" s="79"/>
      <c r="AG144" s="79"/>
      <c r="AH144" s="72"/>
      <c r="AI144" s="72"/>
      <c r="AJ144" s="72"/>
      <c r="AK144" s="79"/>
      <c r="AL144" s="79"/>
      <c r="AM144" s="72"/>
      <c r="AN144" s="72"/>
      <c r="AO144" s="72"/>
      <c r="AP144" s="79"/>
      <c r="AQ144" s="79"/>
      <c r="AR144" s="72"/>
      <c r="AS144" s="72"/>
      <c r="AT144" s="72"/>
      <c r="AU144" s="79"/>
      <c r="AV144" s="72"/>
      <c r="AW144" s="72"/>
      <c r="AX144" s="72"/>
      <c r="AY144" s="72"/>
      <c r="AZ144" s="72"/>
      <c r="BA144" s="72"/>
      <c r="BB144" s="72"/>
      <c r="BC144" s="72"/>
    </row>
    <row r="145">
      <c r="A145" s="91" t="s">
        <v>532</v>
      </c>
      <c r="B145" s="43">
        <v>23000.0</v>
      </c>
      <c r="C145" s="43" t="str">
        <f>B145*90%</f>
        <v>20700</v>
      </c>
      <c r="D145" s="43" t="str">
        <f t="shared" ref="D145:D148" si="350">B145*0.5%</f>
        <v>115</v>
      </c>
      <c r="E145" s="43" t="str">
        <f>B145*0.5%</f>
        <v>115</v>
      </c>
      <c r="F145" s="117"/>
      <c r="G145" s="43">
        <v>105.0</v>
      </c>
      <c r="H145" s="72">
        <v>14.0</v>
      </c>
      <c r="I145" s="72" t="str">
        <f t="shared" ref="I145:K145" si="341">($H145*C145)/1000</f>
        <v>290</v>
      </c>
      <c r="J145" s="72" t="str">
        <f t="shared" si="341"/>
        <v>2</v>
      </c>
      <c r="K145" s="72" t="str">
        <f t="shared" si="341"/>
        <v>2</v>
      </c>
      <c r="L145" s="79"/>
      <c r="M145" s="72">
        <v>1.0</v>
      </c>
      <c r="N145" s="72" t="str">
        <f t="shared" ref="N145:P145" si="342">($M145*C145)/1000</f>
        <v>21</v>
      </c>
      <c r="O145" s="72" t="str">
        <f t="shared" si="342"/>
        <v>0</v>
      </c>
      <c r="P145" s="72" t="str">
        <f t="shared" si="342"/>
        <v>0</v>
      </c>
      <c r="Q145" s="79"/>
      <c r="R145" s="72">
        <v>50.0</v>
      </c>
      <c r="S145" s="72" t="str">
        <f t="shared" ref="S145:U145" si="343">($R145*C145)/1000</f>
        <v>1035</v>
      </c>
      <c r="T145" s="72" t="str">
        <f t="shared" si="343"/>
        <v>6</v>
      </c>
      <c r="U145" s="72" t="str">
        <f t="shared" si="343"/>
        <v>6</v>
      </c>
      <c r="V145" s="79"/>
      <c r="W145" s="72">
        <v>2.0</v>
      </c>
      <c r="X145" s="72" t="str">
        <f t="shared" ref="X145:Z145" si="344">($W145*C145)/1000</f>
        <v>41</v>
      </c>
      <c r="Y145" s="72" t="str">
        <f t="shared" si="344"/>
        <v>0</v>
      </c>
      <c r="Z145" s="72" t="str">
        <f t="shared" si="344"/>
        <v>0</v>
      </c>
      <c r="AA145" s="79"/>
      <c r="AB145" s="72">
        <v>15.0</v>
      </c>
      <c r="AC145" s="72" t="str">
        <f t="shared" ref="AC145:AE145" si="345">($AB145*C145)/1000</f>
        <v>311</v>
      </c>
      <c r="AD145" s="72" t="str">
        <f t="shared" si="345"/>
        <v>2</v>
      </c>
      <c r="AE145" s="72" t="str">
        <f t="shared" si="345"/>
        <v>2</v>
      </c>
      <c r="AF145" s="79"/>
      <c r="AG145" s="72">
        <v>2.0</v>
      </c>
      <c r="AH145" s="72" t="str">
        <f t="shared" ref="AH145:AJ145" si="346">($AG145*C145)/1000</f>
        <v>41</v>
      </c>
      <c r="AI145" s="72" t="str">
        <f t="shared" si="346"/>
        <v>0</v>
      </c>
      <c r="AJ145" s="72" t="str">
        <f t="shared" si="346"/>
        <v>0</v>
      </c>
      <c r="AK145" s="79"/>
      <c r="AL145" s="72">
        <v>16.0</v>
      </c>
      <c r="AM145" s="72" t="str">
        <f t="shared" ref="AM145:AO145" si="347">($AL145*C145)/1000</f>
        <v>331</v>
      </c>
      <c r="AN145" s="72" t="str">
        <f t="shared" si="347"/>
        <v>2</v>
      </c>
      <c r="AO145" s="72" t="str">
        <f t="shared" si="347"/>
        <v>2</v>
      </c>
      <c r="AP145" s="79"/>
      <c r="AQ145" s="72">
        <v>5.0</v>
      </c>
      <c r="AR145" s="72" t="str">
        <f t="shared" ref="AR145:AT145" si="348">($AQ145*C145)/1000</f>
        <v>104</v>
      </c>
      <c r="AS145" s="72" t="str">
        <f t="shared" si="348"/>
        <v>1</v>
      </c>
      <c r="AT145" s="72" t="str">
        <f t="shared" si="348"/>
        <v>1</v>
      </c>
      <c r="AU145" s="79"/>
      <c r="AV145" s="72" t="str">
        <f t="shared" ref="AV145:AX145" si="349">I145+N145+S145+X145+AC145+AH145+AM145+AR145</f>
        <v>2174</v>
      </c>
      <c r="AW145" s="72" t="str">
        <f t="shared" si="349"/>
        <v>12</v>
      </c>
      <c r="AX145" s="72" t="str">
        <f t="shared" si="349"/>
        <v>12</v>
      </c>
      <c r="AY145" s="72"/>
      <c r="AZ145" s="72"/>
      <c r="BA145" s="72"/>
      <c r="BB145" s="72"/>
      <c r="BC145" s="72"/>
    </row>
    <row r="146">
      <c r="A146" s="91" t="s">
        <v>533</v>
      </c>
      <c r="B146" s="43">
        <v>272155.0</v>
      </c>
      <c r="C146" s="43" t="str">
        <f t="shared" ref="C146:C147" si="360">B146*85%</f>
        <v>231332</v>
      </c>
      <c r="D146" s="43" t="str">
        <f t="shared" si="350"/>
        <v>1361</v>
      </c>
      <c r="E146" s="43">
        <v>10500.0</v>
      </c>
      <c r="F146" s="117"/>
      <c r="G146" s="43">
        <v>42.0</v>
      </c>
      <c r="H146" s="72">
        <v>6.0</v>
      </c>
      <c r="I146" s="72" t="str">
        <f t="shared" ref="I146:K146" si="351">($H146*C146)/1000</f>
        <v>1388</v>
      </c>
      <c r="J146" s="72" t="str">
        <f t="shared" si="351"/>
        <v>8</v>
      </c>
      <c r="K146" s="72" t="str">
        <f t="shared" si="351"/>
        <v>63</v>
      </c>
      <c r="L146" s="79"/>
      <c r="M146" s="72">
        <v>0.0</v>
      </c>
      <c r="N146" s="72" t="str">
        <f t="shared" ref="N146:P146" si="352">($M146*C146)/1000</f>
        <v>0</v>
      </c>
      <c r="O146" s="72" t="str">
        <f t="shared" si="352"/>
        <v>0</v>
      </c>
      <c r="P146" s="72" t="str">
        <f t="shared" si="352"/>
        <v>0</v>
      </c>
      <c r="Q146" s="79"/>
      <c r="R146" s="72">
        <v>20.0</v>
      </c>
      <c r="S146" s="72" t="str">
        <f t="shared" ref="S146:U146" si="353">($R146*C146)/1000</f>
        <v>4627</v>
      </c>
      <c r="T146" s="72" t="str">
        <f t="shared" si="353"/>
        <v>27</v>
      </c>
      <c r="U146" s="72" t="str">
        <f t="shared" si="353"/>
        <v>210</v>
      </c>
      <c r="V146" s="79"/>
      <c r="W146" s="72">
        <v>1.0</v>
      </c>
      <c r="X146" s="72" t="str">
        <f t="shared" ref="X146:Z146" si="354">($W146*C146)/1000</f>
        <v>231</v>
      </c>
      <c r="Y146" s="72" t="str">
        <f t="shared" si="354"/>
        <v>1</v>
      </c>
      <c r="Z146" s="72" t="str">
        <f t="shared" si="354"/>
        <v>11</v>
      </c>
      <c r="AA146" s="79"/>
      <c r="AB146" s="72">
        <v>6.0</v>
      </c>
      <c r="AC146" s="72" t="str">
        <f t="shared" ref="AC146:AE146" si="355">($AB146*C146)/1000</f>
        <v>1388</v>
      </c>
      <c r="AD146" s="72" t="str">
        <f t="shared" si="355"/>
        <v>8</v>
      </c>
      <c r="AE146" s="72" t="str">
        <f t="shared" si="355"/>
        <v>63</v>
      </c>
      <c r="AF146" s="79"/>
      <c r="AG146" s="72">
        <v>1.0</v>
      </c>
      <c r="AH146" s="72" t="str">
        <f t="shared" ref="AH146:AJ146" si="356">($AG146*C146)/1000</f>
        <v>231</v>
      </c>
      <c r="AI146" s="72" t="str">
        <f t="shared" si="356"/>
        <v>1</v>
      </c>
      <c r="AJ146" s="72" t="str">
        <f t="shared" si="356"/>
        <v>11</v>
      </c>
      <c r="AK146" s="79"/>
      <c r="AL146" s="72">
        <v>6.0</v>
      </c>
      <c r="AM146" s="72" t="str">
        <f t="shared" ref="AM146:AO146" si="357">($AL146*C146)/1000</f>
        <v>1388</v>
      </c>
      <c r="AN146" s="72" t="str">
        <f t="shared" si="357"/>
        <v>8</v>
      </c>
      <c r="AO146" s="72" t="str">
        <f t="shared" si="357"/>
        <v>63</v>
      </c>
      <c r="AP146" s="79"/>
      <c r="AQ146" s="72">
        <v>2.0</v>
      </c>
      <c r="AR146" s="72" t="str">
        <f t="shared" ref="AR146:AT146" si="358">($AQ146*C146)/1000</f>
        <v>463</v>
      </c>
      <c r="AS146" s="72" t="str">
        <f t="shared" si="358"/>
        <v>3</v>
      </c>
      <c r="AT146" s="72" t="str">
        <f t="shared" si="358"/>
        <v>21</v>
      </c>
      <c r="AU146" s="79"/>
      <c r="AV146" s="72" t="str">
        <f t="shared" ref="AV146:AX146" si="359">I146+N146+S146+X146+AC146+AH146+AM146+AR146</f>
        <v>9716</v>
      </c>
      <c r="AW146" s="72" t="str">
        <f t="shared" si="359"/>
        <v>57</v>
      </c>
      <c r="AX146" s="72" t="str">
        <f t="shared" si="359"/>
        <v>441</v>
      </c>
      <c r="AY146" s="72"/>
      <c r="AZ146" s="72"/>
      <c r="BA146" s="72"/>
      <c r="BB146" s="72"/>
      <c r="BC146" s="72"/>
    </row>
    <row r="147">
      <c r="A147" s="91" t="s">
        <v>535</v>
      </c>
      <c r="B147" s="43">
        <v>90718.0</v>
      </c>
      <c r="C147" s="96" t="str">
        <f t="shared" si="360"/>
        <v>77110.3</v>
      </c>
      <c r="D147" s="121" t="str">
        <f t="shared" si="350"/>
        <v>453.59</v>
      </c>
      <c r="E147" s="43">
        <v>3500.0</v>
      </c>
      <c r="F147" s="117"/>
      <c r="G147" s="43">
        <v>31.0</v>
      </c>
      <c r="H147" s="72">
        <v>5.0</v>
      </c>
      <c r="I147" s="72" t="str">
        <f t="shared" ref="I147:K147" si="361">($H147*C147)/1000</f>
        <v>386</v>
      </c>
      <c r="J147" s="72" t="str">
        <f t="shared" si="361"/>
        <v>2</v>
      </c>
      <c r="K147" s="72" t="str">
        <f t="shared" si="361"/>
        <v>18</v>
      </c>
      <c r="L147" s="79"/>
      <c r="M147" s="43">
        <v>0.0</v>
      </c>
      <c r="N147" s="72" t="str">
        <f t="shared" ref="N147:P147" si="362">($M147*C147)/1000</f>
        <v>0</v>
      </c>
      <c r="O147" s="72" t="str">
        <f t="shared" si="362"/>
        <v>0</v>
      </c>
      <c r="P147" s="72" t="str">
        <f t="shared" si="362"/>
        <v>0</v>
      </c>
      <c r="Q147" s="79"/>
      <c r="R147" s="72">
        <v>26.0</v>
      </c>
      <c r="S147" s="72" t="str">
        <f t="shared" ref="S147:U147" si="363">($R147*C147)/1000</f>
        <v>2005</v>
      </c>
      <c r="T147" s="72" t="str">
        <f t="shared" si="363"/>
        <v>12</v>
      </c>
      <c r="U147" s="72" t="str">
        <f t="shared" si="363"/>
        <v>91</v>
      </c>
      <c r="V147" s="79"/>
      <c r="W147" s="43">
        <v>0.0</v>
      </c>
      <c r="X147" s="72" t="str">
        <f t="shared" ref="X147:Z147" si="364">($W147*C147)/1000</f>
        <v>0</v>
      </c>
      <c r="Y147" s="72" t="str">
        <f t="shared" si="364"/>
        <v>0</v>
      </c>
      <c r="Z147" s="72" t="str">
        <f t="shared" si="364"/>
        <v>0</v>
      </c>
      <c r="AA147" s="79"/>
      <c r="AB147" s="43">
        <v>0.0</v>
      </c>
      <c r="AC147" s="72" t="str">
        <f t="shared" ref="AC147:AE147" si="365">($AB147*C147)/1000</f>
        <v>0</v>
      </c>
      <c r="AD147" s="72" t="str">
        <f t="shared" si="365"/>
        <v>0</v>
      </c>
      <c r="AE147" s="72" t="str">
        <f t="shared" si="365"/>
        <v>0</v>
      </c>
      <c r="AF147" s="79"/>
      <c r="AG147" s="43">
        <v>0.0</v>
      </c>
      <c r="AH147" s="72" t="str">
        <f t="shared" ref="AH147:AJ147" si="366">($AG147*C147)/1000</f>
        <v>0</v>
      </c>
      <c r="AI147" s="72" t="str">
        <f t="shared" si="366"/>
        <v>0</v>
      </c>
      <c r="AJ147" s="72" t="str">
        <f t="shared" si="366"/>
        <v>0</v>
      </c>
      <c r="AK147" s="79"/>
      <c r="AL147" s="43">
        <v>0.0</v>
      </c>
      <c r="AM147" s="72" t="str">
        <f t="shared" ref="AM147:AO147" si="367">($AL147*C147)/1000</f>
        <v>0</v>
      </c>
      <c r="AN147" s="72" t="str">
        <f t="shared" si="367"/>
        <v>0</v>
      </c>
      <c r="AO147" s="72" t="str">
        <f t="shared" si="367"/>
        <v>0</v>
      </c>
      <c r="AP147" s="79"/>
      <c r="AQ147" s="43">
        <v>0.0</v>
      </c>
      <c r="AR147" s="72" t="str">
        <f t="shared" ref="AR147:AT147" si="368">($AQ147*C147)/1000</f>
        <v>0</v>
      </c>
      <c r="AS147" s="72" t="str">
        <f t="shared" si="368"/>
        <v>0</v>
      </c>
      <c r="AT147" s="72" t="str">
        <f t="shared" si="368"/>
        <v>0</v>
      </c>
      <c r="AU147" s="79"/>
      <c r="AV147" s="72" t="str">
        <f t="shared" ref="AV147:AX147" si="369">I147+N147+S147+X147+AC147+AH147+AM147+AR147</f>
        <v>2390</v>
      </c>
      <c r="AW147" s="72" t="str">
        <f t="shared" si="369"/>
        <v>14</v>
      </c>
      <c r="AX147" s="72" t="str">
        <f t="shared" si="369"/>
        <v>109</v>
      </c>
      <c r="AY147" s="72"/>
      <c r="AZ147" s="72"/>
      <c r="BA147" s="72"/>
      <c r="BB147" s="72"/>
      <c r="BC147" s="72"/>
    </row>
    <row r="148">
      <c r="A148" s="91" t="s">
        <v>675</v>
      </c>
      <c r="B148" s="96">
        <v>22.6</v>
      </c>
      <c r="C148" s="121" t="str">
        <f>B148*90%</f>
        <v>20.34</v>
      </c>
      <c r="D148" s="121" t="str">
        <f t="shared" si="350"/>
        <v>0.11</v>
      </c>
      <c r="E148" s="43">
        <v>0.0</v>
      </c>
      <c r="F148" s="117"/>
      <c r="G148" s="43">
        <v>21854.0</v>
      </c>
      <c r="H148" s="72">
        <v>1938.0</v>
      </c>
      <c r="I148" s="72" t="str">
        <f t="shared" ref="I148:K148" si="370">($H148*C148)/1000</f>
        <v>39</v>
      </c>
      <c r="J148" s="72" t="str">
        <f t="shared" si="370"/>
        <v>0</v>
      </c>
      <c r="K148" s="72" t="str">
        <f t="shared" si="370"/>
        <v>0</v>
      </c>
      <c r="L148" s="79"/>
      <c r="M148" s="72">
        <v>720.0</v>
      </c>
      <c r="N148" s="72" t="str">
        <f t="shared" ref="N148:P148" si="371">($M148*C148)/1000</f>
        <v>15</v>
      </c>
      <c r="O148" s="72" t="str">
        <f t="shared" si="371"/>
        <v>0</v>
      </c>
      <c r="P148" s="72" t="str">
        <f t="shared" si="371"/>
        <v>0</v>
      </c>
      <c r="Q148" s="79"/>
      <c r="R148" s="72">
        <v>1586.0</v>
      </c>
      <c r="S148" s="72" t="str">
        <f t="shared" ref="S148:U148" si="372">($R148*C148)/1000</f>
        <v>32</v>
      </c>
      <c r="T148" s="72" t="str">
        <f t="shared" si="372"/>
        <v>0</v>
      </c>
      <c r="U148" s="72" t="str">
        <f t="shared" si="372"/>
        <v>0</v>
      </c>
      <c r="V148" s="79"/>
      <c r="W148" s="72">
        <v>1448.0</v>
      </c>
      <c r="X148" s="72" t="str">
        <f t="shared" ref="X148:Z148" si="373">($W148*C148)/1000</f>
        <v>29</v>
      </c>
      <c r="Y148" s="72" t="str">
        <f t="shared" si="373"/>
        <v>0</v>
      </c>
      <c r="Z148" s="72" t="str">
        <f t="shared" si="373"/>
        <v>0</v>
      </c>
      <c r="AA148" s="79"/>
      <c r="AB148" s="72">
        <v>2557.0</v>
      </c>
      <c r="AC148" s="72" t="str">
        <f t="shared" ref="AC148:AE148" si="374">($AB148*C148)/1000</f>
        <v>52</v>
      </c>
      <c r="AD148" s="72" t="str">
        <f t="shared" si="374"/>
        <v>0</v>
      </c>
      <c r="AE148" s="72" t="str">
        <f t="shared" si="374"/>
        <v>0</v>
      </c>
      <c r="AF148" s="79"/>
      <c r="AG148" s="72">
        <v>1070.0</v>
      </c>
      <c r="AH148" s="72" t="str">
        <f t="shared" ref="AH148:AJ148" si="375">($AG148*C148)/1000</f>
        <v>22</v>
      </c>
      <c r="AI148" s="72" t="str">
        <f t="shared" si="375"/>
        <v>0</v>
      </c>
      <c r="AJ148" s="72" t="str">
        <f t="shared" si="375"/>
        <v>0</v>
      </c>
      <c r="AK148" s="79"/>
      <c r="AL148" s="72">
        <v>1662.0</v>
      </c>
      <c r="AM148" s="72" t="str">
        <f t="shared" ref="AM148:AO148" si="376">($AL148*C148)/1000</f>
        <v>34</v>
      </c>
      <c r="AN148" s="72" t="str">
        <f t="shared" si="376"/>
        <v>0</v>
      </c>
      <c r="AO148" s="72" t="str">
        <f t="shared" si="376"/>
        <v>0</v>
      </c>
      <c r="AP148" s="79"/>
      <c r="AQ148" s="72">
        <v>1873.0</v>
      </c>
      <c r="AR148" s="72" t="str">
        <f t="shared" ref="AR148:AT148" si="377">($AQ148*C148)/1000</f>
        <v>38</v>
      </c>
      <c r="AS148" s="72" t="str">
        <f t="shared" si="377"/>
        <v>0</v>
      </c>
      <c r="AT148" s="72" t="str">
        <f t="shared" si="377"/>
        <v>0</v>
      </c>
      <c r="AU148" s="79"/>
      <c r="AV148" s="72" t="str">
        <f t="shared" ref="AV148:AX148" si="378">I148+N148+S148+X148+AC148+AH148+AM148+AR148</f>
        <v>261</v>
      </c>
      <c r="AW148" s="72" t="str">
        <f t="shared" si="378"/>
        <v>1</v>
      </c>
      <c r="AX148" s="72" t="str">
        <f t="shared" si="378"/>
        <v>0</v>
      </c>
      <c r="AY148" s="72"/>
      <c r="AZ148" s="72"/>
      <c r="BA148" s="72"/>
      <c r="BB148" s="72"/>
      <c r="BC148" s="72"/>
    </row>
    <row r="149">
      <c r="A149" s="91"/>
      <c r="B149" s="119"/>
      <c r="C149" s="119"/>
      <c r="D149" s="119"/>
      <c r="E149" s="79"/>
      <c r="F149" s="120"/>
      <c r="G149" s="79"/>
      <c r="H149" s="79"/>
      <c r="I149" s="72" t="str">
        <f t="shared" ref="I149:K149" si="379">($H149*C149)/1000</f>
        <v>0</v>
      </c>
      <c r="J149" s="72" t="str">
        <f t="shared" si="379"/>
        <v>0</v>
      </c>
      <c r="K149" s="72" t="str">
        <f t="shared" si="379"/>
        <v>0</v>
      </c>
      <c r="L149" s="79"/>
      <c r="M149" s="79"/>
      <c r="N149" s="72" t="str">
        <f t="shared" ref="N149:P149" si="380">($M149*C149)/1000</f>
        <v>0</v>
      </c>
      <c r="O149" s="72" t="str">
        <f t="shared" si="380"/>
        <v>0</v>
      </c>
      <c r="P149" s="72" t="str">
        <f t="shared" si="380"/>
        <v>0</v>
      </c>
      <c r="Q149" s="79"/>
      <c r="R149" s="79"/>
      <c r="S149" s="72" t="str">
        <f t="shared" ref="S149:U149" si="381">($R149*C149)/1000</f>
        <v>0</v>
      </c>
      <c r="T149" s="72" t="str">
        <f t="shared" si="381"/>
        <v>0</v>
      </c>
      <c r="U149" s="72" t="str">
        <f t="shared" si="381"/>
        <v>0</v>
      </c>
      <c r="V149" s="79"/>
      <c r="W149" s="79"/>
      <c r="X149" s="72" t="str">
        <f t="shared" ref="X149:Z149" si="382">($W149*C149)/1000</f>
        <v>0</v>
      </c>
      <c r="Y149" s="72" t="str">
        <f t="shared" si="382"/>
        <v>0</v>
      </c>
      <c r="Z149" s="72" t="str">
        <f t="shared" si="382"/>
        <v>0</v>
      </c>
      <c r="AA149" s="79"/>
      <c r="AB149" s="79"/>
      <c r="AC149" s="72" t="str">
        <f t="shared" ref="AC149:AE149" si="383">($AB149*C149)/1000</f>
        <v>0</v>
      </c>
      <c r="AD149" s="72" t="str">
        <f t="shared" si="383"/>
        <v>0</v>
      </c>
      <c r="AE149" s="72" t="str">
        <f t="shared" si="383"/>
        <v>0</v>
      </c>
      <c r="AF149" s="79"/>
      <c r="AG149" s="79"/>
      <c r="AH149" s="72" t="str">
        <f t="shared" ref="AH149:AJ149" si="384">($AG149*C149)/1000</f>
        <v>0</v>
      </c>
      <c r="AI149" s="72" t="str">
        <f t="shared" si="384"/>
        <v>0</v>
      </c>
      <c r="AJ149" s="72" t="str">
        <f t="shared" si="384"/>
        <v>0</v>
      </c>
      <c r="AK149" s="79"/>
      <c r="AL149" s="79"/>
      <c r="AM149" s="72" t="str">
        <f t="shared" ref="AM149:AO149" si="385">($AL149*C149)/1000</f>
        <v>0</v>
      </c>
      <c r="AN149" s="72" t="str">
        <f t="shared" si="385"/>
        <v>0</v>
      </c>
      <c r="AO149" s="72" t="str">
        <f t="shared" si="385"/>
        <v>0</v>
      </c>
      <c r="AP149" s="79"/>
      <c r="AQ149" s="79"/>
      <c r="AR149" s="72" t="str">
        <f t="shared" ref="AR149:AT149" si="386">($AQ149*C149)/1000</f>
        <v>0</v>
      </c>
      <c r="AS149" s="72" t="str">
        <f t="shared" si="386"/>
        <v>0</v>
      </c>
      <c r="AT149" s="72" t="str">
        <f t="shared" si="386"/>
        <v>0</v>
      </c>
      <c r="AU149" s="79"/>
      <c r="AV149" s="72"/>
      <c r="AW149" s="72"/>
      <c r="AX149" s="72"/>
      <c r="AY149" s="72"/>
      <c r="AZ149" s="72"/>
      <c r="BA149" s="72"/>
      <c r="BB149" s="72"/>
      <c r="BC149" s="72"/>
    </row>
    <row r="150">
      <c r="A150" s="90" t="s">
        <v>676</v>
      </c>
      <c r="B150" s="119"/>
      <c r="C150" s="119"/>
      <c r="D150" s="119"/>
      <c r="E150" s="79"/>
      <c r="F150" s="120"/>
      <c r="G150" s="79"/>
      <c r="H150" s="43"/>
      <c r="I150" s="72" t="str">
        <f t="shared" ref="I150:K150" si="387">($H150*C150)/1000</f>
        <v>0</v>
      </c>
      <c r="J150" s="72" t="str">
        <f t="shared" si="387"/>
        <v>0</v>
      </c>
      <c r="K150" s="72" t="str">
        <f t="shared" si="387"/>
        <v>0</v>
      </c>
      <c r="L150" s="79"/>
      <c r="M150" s="79"/>
      <c r="N150" s="72" t="str">
        <f t="shared" ref="N150:P150" si="388">($M150*C150)/1000</f>
        <v>0</v>
      </c>
      <c r="O150" s="72" t="str">
        <f t="shared" si="388"/>
        <v>0</v>
      </c>
      <c r="P150" s="72" t="str">
        <f t="shared" si="388"/>
        <v>0</v>
      </c>
      <c r="Q150" s="79"/>
      <c r="R150" s="79"/>
      <c r="S150" s="72" t="str">
        <f t="shared" ref="S150:U150" si="389">($R150*C150)/1000</f>
        <v>0</v>
      </c>
      <c r="T150" s="72" t="str">
        <f t="shared" si="389"/>
        <v>0</v>
      </c>
      <c r="U150" s="72" t="str">
        <f t="shared" si="389"/>
        <v>0</v>
      </c>
      <c r="V150" s="79"/>
      <c r="W150" s="79"/>
      <c r="X150" s="72" t="str">
        <f t="shared" ref="X150:Z150" si="390">($W150*C150)/1000</f>
        <v>0</v>
      </c>
      <c r="Y150" s="72" t="str">
        <f t="shared" si="390"/>
        <v>0</v>
      </c>
      <c r="Z150" s="72" t="str">
        <f t="shared" si="390"/>
        <v>0</v>
      </c>
      <c r="AA150" s="79"/>
      <c r="AB150" s="79"/>
      <c r="AC150" s="72" t="str">
        <f t="shared" ref="AC150:AE150" si="391">($AB150*C150)/1000</f>
        <v>0</v>
      </c>
      <c r="AD150" s="72" t="str">
        <f t="shared" si="391"/>
        <v>0</v>
      </c>
      <c r="AE150" s="72" t="str">
        <f t="shared" si="391"/>
        <v>0</v>
      </c>
      <c r="AF150" s="79"/>
      <c r="AG150" s="79"/>
      <c r="AH150" s="72" t="str">
        <f t="shared" ref="AH150:AJ150" si="392">($AG150*C150)/1000</f>
        <v>0</v>
      </c>
      <c r="AI150" s="72" t="str">
        <f t="shared" si="392"/>
        <v>0</v>
      </c>
      <c r="AJ150" s="72" t="str">
        <f t="shared" si="392"/>
        <v>0</v>
      </c>
      <c r="AK150" s="79"/>
      <c r="AL150" s="79"/>
      <c r="AM150" s="72" t="str">
        <f t="shared" ref="AM150:AO150" si="393">($AL150*C150)/1000</f>
        <v>0</v>
      </c>
      <c r="AN150" s="72" t="str">
        <f t="shared" si="393"/>
        <v>0</v>
      </c>
      <c r="AO150" s="72" t="str">
        <f t="shared" si="393"/>
        <v>0</v>
      </c>
      <c r="AP150" s="79"/>
      <c r="AQ150" s="79"/>
      <c r="AR150" s="72" t="str">
        <f t="shared" ref="AR150:AT150" si="394">($AQ150*C150)/1000</f>
        <v>0</v>
      </c>
      <c r="AS150" s="72" t="str">
        <f t="shared" si="394"/>
        <v>0</v>
      </c>
      <c r="AT150" s="72" t="str">
        <f t="shared" si="394"/>
        <v>0</v>
      </c>
      <c r="AU150" s="79"/>
      <c r="AV150" s="72"/>
      <c r="AW150" s="72"/>
      <c r="AX150" s="72"/>
      <c r="AY150" s="72"/>
      <c r="AZ150" s="72"/>
      <c r="BA150" s="72"/>
      <c r="BB150" s="72"/>
      <c r="BC150" s="72"/>
    </row>
    <row r="151">
      <c r="A151" s="91" t="s">
        <v>539</v>
      </c>
      <c r="B151" s="43">
        <v>4000.0</v>
      </c>
      <c r="C151" s="43" t="str">
        <f>B151*70%</f>
        <v>2800</v>
      </c>
      <c r="D151" s="43">
        <v>30.0</v>
      </c>
      <c r="E151" s="43">
        <v>63.0</v>
      </c>
      <c r="F151" s="117"/>
      <c r="G151" s="43">
        <v>203.0</v>
      </c>
      <c r="H151" s="72">
        <v>0.0</v>
      </c>
      <c r="I151" s="72" t="str">
        <f t="shared" ref="I151:K151" si="395">($H151*C151)/1000</f>
        <v>0</v>
      </c>
      <c r="J151" s="72" t="str">
        <f t="shared" si="395"/>
        <v>0</v>
      </c>
      <c r="K151" s="72" t="str">
        <f t="shared" si="395"/>
        <v>0</v>
      </c>
      <c r="L151" s="79"/>
      <c r="M151" s="72">
        <v>0.0</v>
      </c>
      <c r="N151" s="72" t="str">
        <f t="shared" ref="N151:P151" si="396">($M151*C151)/1000</f>
        <v>0</v>
      </c>
      <c r="O151" s="72" t="str">
        <f t="shared" si="396"/>
        <v>0</v>
      </c>
      <c r="P151" s="72" t="str">
        <f t="shared" si="396"/>
        <v>0</v>
      </c>
      <c r="Q151" s="79"/>
      <c r="R151" s="72">
        <v>203.0</v>
      </c>
      <c r="S151" s="72" t="str">
        <f t="shared" ref="S151:U151" si="397">($R151*C151)/1000</f>
        <v>568</v>
      </c>
      <c r="T151" s="72" t="str">
        <f t="shared" si="397"/>
        <v>6</v>
      </c>
      <c r="U151" s="72" t="str">
        <f t="shared" si="397"/>
        <v>13</v>
      </c>
      <c r="V151" s="79"/>
      <c r="W151" s="72">
        <v>0.0</v>
      </c>
      <c r="X151" s="72" t="str">
        <f t="shared" ref="X151:Z151" si="398">($W151*C151)/1000</f>
        <v>0</v>
      </c>
      <c r="Y151" s="72" t="str">
        <f t="shared" si="398"/>
        <v>0</v>
      </c>
      <c r="Z151" s="72" t="str">
        <f t="shared" si="398"/>
        <v>0</v>
      </c>
      <c r="AA151" s="79"/>
      <c r="AB151" s="72">
        <v>0.0</v>
      </c>
      <c r="AC151" s="72" t="str">
        <f t="shared" ref="AC151:AE151" si="399">($AB151*C151)/1000</f>
        <v>0</v>
      </c>
      <c r="AD151" s="72" t="str">
        <f t="shared" si="399"/>
        <v>0</v>
      </c>
      <c r="AE151" s="72" t="str">
        <f t="shared" si="399"/>
        <v>0</v>
      </c>
      <c r="AF151" s="79"/>
      <c r="AG151" s="72">
        <v>0.0</v>
      </c>
      <c r="AH151" s="72" t="str">
        <f t="shared" ref="AH151:AJ151" si="400">($AG151*C151)/1000</f>
        <v>0</v>
      </c>
      <c r="AI151" s="72" t="str">
        <f t="shared" si="400"/>
        <v>0</v>
      </c>
      <c r="AJ151" s="72" t="str">
        <f t="shared" si="400"/>
        <v>0</v>
      </c>
      <c r="AK151" s="79"/>
      <c r="AL151" s="72">
        <v>0.0</v>
      </c>
      <c r="AM151" s="72" t="str">
        <f t="shared" ref="AM151:AO151" si="401">($AL151*C151)/1000</f>
        <v>0</v>
      </c>
      <c r="AN151" s="72" t="str">
        <f t="shared" si="401"/>
        <v>0</v>
      </c>
      <c r="AO151" s="72" t="str">
        <f t="shared" si="401"/>
        <v>0</v>
      </c>
      <c r="AP151" s="79"/>
      <c r="AQ151" s="72">
        <v>0.0</v>
      </c>
      <c r="AR151" s="72" t="str">
        <f t="shared" ref="AR151:AT151" si="402">($AQ151*C151)/1000</f>
        <v>0</v>
      </c>
      <c r="AS151" s="72" t="str">
        <f t="shared" si="402"/>
        <v>0</v>
      </c>
      <c r="AT151" s="72" t="str">
        <f t="shared" si="402"/>
        <v>0</v>
      </c>
      <c r="AU151" s="79"/>
      <c r="AV151" s="72" t="str">
        <f t="shared" ref="AV151:AX151" si="403">I151+N151+S151+X151+AC151+AH151+AM151+AR151</f>
        <v>568</v>
      </c>
      <c r="AW151" s="72" t="str">
        <f t="shared" si="403"/>
        <v>6</v>
      </c>
      <c r="AX151" s="72" t="str">
        <f t="shared" si="403"/>
        <v>13</v>
      </c>
      <c r="AY151" s="72"/>
      <c r="AZ151" s="72"/>
      <c r="BA151" s="72"/>
      <c r="BB151" s="72"/>
      <c r="BC151" s="72"/>
    </row>
    <row r="152">
      <c r="A152" s="91" t="s">
        <v>506</v>
      </c>
      <c r="B152" s="96">
        <v>61.3</v>
      </c>
      <c r="C152" s="96" t="str">
        <f t="shared" ref="C152:C153" si="413">B152*100%</f>
        <v>61.3</v>
      </c>
      <c r="D152" s="43">
        <v>0.0</v>
      </c>
      <c r="E152" s="43">
        <v>0.0</v>
      </c>
      <c r="F152" s="117"/>
      <c r="G152" s="43">
        <v>67713.0</v>
      </c>
      <c r="H152" s="72">
        <v>0.0</v>
      </c>
      <c r="I152" s="72" t="str">
        <f t="shared" ref="I152:K152" si="404">($H152*C152)/1000</f>
        <v>0</v>
      </c>
      <c r="J152" s="72" t="str">
        <f t="shared" si="404"/>
        <v>0</v>
      </c>
      <c r="K152" s="72" t="str">
        <f t="shared" si="404"/>
        <v>0</v>
      </c>
      <c r="L152" s="79"/>
      <c r="M152" s="72">
        <v>0.0</v>
      </c>
      <c r="N152" s="72" t="str">
        <f t="shared" ref="N152:P152" si="405">($M152*C152)/1000</f>
        <v>0</v>
      </c>
      <c r="O152" s="72" t="str">
        <f t="shared" si="405"/>
        <v>0</v>
      </c>
      <c r="P152" s="72" t="str">
        <f t="shared" si="405"/>
        <v>0</v>
      </c>
      <c r="Q152" s="79"/>
      <c r="R152" s="72">
        <v>67713.0</v>
      </c>
      <c r="S152" s="72" t="str">
        <f t="shared" ref="S152:U152" si="406">($R152*C152)/1000</f>
        <v>4151</v>
      </c>
      <c r="T152" s="72" t="str">
        <f t="shared" si="406"/>
        <v>0</v>
      </c>
      <c r="U152" s="72" t="str">
        <f t="shared" si="406"/>
        <v>0</v>
      </c>
      <c r="V152" s="79"/>
      <c r="W152" s="72">
        <v>0.0</v>
      </c>
      <c r="X152" s="72" t="str">
        <f t="shared" ref="X152:Z152" si="407">($W152*C152)/1000</f>
        <v>0</v>
      </c>
      <c r="Y152" s="72" t="str">
        <f t="shared" si="407"/>
        <v>0</v>
      </c>
      <c r="Z152" s="72" t="str">
        <f t="shared" si="407"/>
        <v>0</v>
      </c>
      <c r="AA152" s="79"/>
      <c r="AB152" s="72">
        <v>0.0</v>
      </c>
      <c r="AC152" s="72" t="str">
        <f t="shared" ref="AC152:AE152" si="408">($AB152*C152)/1000</f>
        <v>0</v>
      </c>
      <c r="AD152" s="72" t="str">
        <f t="shared" si="408"/>
        <v>0</v>
      </c>
      <c r="AE152" s="72" t="str">
        <f t="shared" si="408"/>
        <v>0</v>
      </c>
      <c r="AF152" s="79"/>
      <c r="AG152" s="72">
        <v>0.0</v>
      </c>
      <c r="AH152" s="72" t="str">
        <f t="shared" ref="AH152:AJ152" si="409">($AG152*C152)/1000</f>
        <v>0</v>
      </c>
      <c r="AI152" s="72" t="str">
        <f t="shared" si="409"/>
        <v>0</v>
      </c>
      <c r="AJ152" s="72" t="str">
        <f t="shared" si="409"/>
        <v>0</v>
      </c>
      <c r="AK152" s="79"/>
      <c r="AL152" s="72">
        <v>0.0</v>
      </c>
      <c r="AM152" s="72" t="str">
        <f t="shared" ref="AM152:AO152" si="410">($AL152*C152)/1000</f>
        <v>0</v>
      </c>
      <c r="AN152" s="72" t="str">
        <f t="shared" si="410"/>
        <v>0</v>
      </c>
      <c r="AO152" s="72" t="str">
        <f t="shared" si="410"/>
        <v>0</v>
      </c>
      <c r="AP152" s="79"/>
      <c r="AQ152" s="72">
        <v>0.0</v>
      </c>
      <c r="AR152" s="72" t="str">
        <f t="shared" ref="AR152:AT152" si="411">($AQ152*C152)/1000</f>
        <v>0</v>
      </c>
      <c r="AS152" s="72" t="str">
        <f t="shared" si="411"/>
        <v>0</v>
      </c>
      <c r="AT152" s="72" t="str">
        <f t="shared" si="411"/>
        <v>0</v>
      </c>
      <c r="AU152" s="79"/>
      <c r="AV152" s="72" t="str">
        <f t="shared" ref="AV152:AX152" si="412">I152+N152+S152+X152+AC152+AH152+AM152+AR152</f>
        <v>4151</v>
      </c>
      <c r="AW152" s="72" t="str">
        <f t="shared" si="412"/>
        <v>0</v>
      </c>
      <c r="AX152" s="72" t="str">
        <f t="shared" si="412"/>
        <v>0</v>
      </c>
      <c r="AY152" s="72"/>
      <c r="AZ152" s="72"/>
      <c r="BA152" s="72"/>
      <c r="BB152" s="72"/>
      <c r="BC152" s="72"/>
    </row>
    <row r="153">
      <c r="A153" s="91" t="s">
        <v>545</v>
      </c>
      <c r="B153" s="43">
        <v>537059.0</v>
      </c>
      <c r="C153" s="43" t="str">
        <f t="shared" si="413"/>
        <v>537059</v>
      </c>
      <c r="D153" s="43">
        <v>0.0</v>
      </c>
      <c r="E153" s="43">
        <v>0.0</v>
      </c>
      <c r="F153" s="117"/>
      <c r="G153" s="43">
        <v>640.0</v>
      </c>
      <c r="H153" s="72">
        <v>0.0</v>
      </c>
      <c r="I153" s="72" t="str">
        <f t="shared" ref="I153:K153" si="414">($H153*C153)/1000</f>
        <v>0</v>
      </c>
      <c r="J153" s="72" t="str">
        <f t="shared" si="414"/>
        <v>0</v>
      </c>
      <c r="K153" s="72" t="str">
        <f t="shared" si="414"/>
        <v>0</v>
      </c>
      <c r="L153" s="79"/>
      <c r="M153" s="72">
        <v>0.0</v>
      </c>
      <c r="N153" s="72" t="str">
        <f t="shared" ref="N153:P153" si="415">($M153*C153)/1000</f>
        <v>0</v>
      </c>
      <c r="O153" s="72" t="str">
        <f t="shared" si="415"/>
        <v>0</v>
      </c>
      <c r="P153" s="72" t="str">
        <f t="shared" si="415"/>
        <v>0</v>
      </c>
      <c r="Q153" s="79"/>
      <c r="R153" s="43">
        <v>640.0</v>
      </c>
      <c r="S153" s="72" t="str">
        <f t="shared" ref="S153:U153" si="416">($R153*C153)/1000</f>
        <v>343718</v>
      </c>
      <c r="T153" s="72" t="str">
        <f t="shared" si="416"/>
        <v>0</v>
      </c>
      <c r="U153" s="72" t="str">
        <f t="shared" si="416"/>
        <v>0</v>
      </c>
      <c r="V153" s="79"/>
      <c r="W153" s="72">
        <v>0.0</v>
      </c>
      <c r="X153" s="72" t="str">
        <f t="shared" ref="X153:Z153" si="417">($W153*C153)/1000</f>
        <v>0</v>
      </c>
      <c r="Y153" s="72" t="str">
        <f t="shared" si="417"/>
        <v>0</v>
      </c>
      <c r="Z153" s="72" t="str">
        <f t="shared" si="417"/>
        <v>0</v>
      </c>
      <c r="AA153" s="79"/>
      <c r="AB153" s="72">
        <v>0.0</v>
      </c>
      <c r="AC153" s="72" t="str">
        <f t="shared" ref="AC153:AE153" si="418">($AB153*C153)/1000</f>
        <v>0</v>
      </c>
      <c r="AD153" s="72" t="str">
        <f t="shared" si="418"/>
        <v>0</v>
      </c>
      <c r="AE153" s="72" t="str">
        <f t="shared" si="418"/>
        <v>0</v>
      </c>
      <c r="AF153" s="79"/>
      <c r="AG153" s="72">
        <v>0.0</v>
      </c>
      <c r="AH153" s="72" t="str">
        <f t="shared" ref="AH153:AJ153" si="419">($AG153*C153)/1000</f>
        <v>0</v>
      </c>
      <c r="AI153" s="72" t="str">
        <f t="shared" si="419"/>
        <v>0</v>
      </c>
      <c r="AJ153" s="72" t="str">
        <f t="shared" si="419"/>
        <v>0</v>
      </c>
      <c r="AK153" s="79"/>
      <c r="AL153" s="72">
        <v>0.0</v>
      </c>
      <c r="AM153" s="72" t="str">
        <f t="shared" ref="AM153:AO153" si="420">($AL153*C153)/1000</f>
        <v>0</v>
      </c>
      <c r="AN153" s="72" t="str">
        <f t="shared" si="420"/>
        <v>0</v>
      </c>
      <c r="AO153" s="72" t="str">
        <f t="shared" si="420"/>
        <v>0</v>
      </c>
      <c r="AP153" s="79"/>
      <c r="AQ153" s="72">
        <v>0.0</v>
      </c>
      <c r="AR153" s="72" t="str">
        <f t="shared" ref="AR153:AT153" si="421">($AQ153*C153)/1000</f>
        <v>0</v>
      </c>
      <c r="AS153" s="72" t="str">
        <f t="shared" si="421"/>
        <v>0</v>
      </c>
      <c r="AT153" s="72" t="str">
        <f t="shared" si="421"/>
        <v>0</v>
      </c>
      <c r="AU153" s="79"/>
      <c r="AV153" s="72" t="str">
        <f t="shared" ref="AV153:AX153" si="422">I153+N153+S153+X153+AC153+AH153+AM153+AR153</f>
        <v>343718</v>
      </c>
      <c r="AW153" s="72" t="str">
        <f t="shared" si="422"/>
        <v>0</v>
      </c>
      <c r="AX153" s="72" t="str">
        <f t="shared" si="422"/>
        <v>0</v>
      </c>
      <c r="AY153" s="72"/>
      <c r="AZ153" s="72"/>
      <c r="BA153" s="72"/>
      <c r="BB153" s="72"/>
      <c r="BC153" s="72"/>
    </row>
    <row r="154">
      <c r="A154" s="91"/>
      <c r="B154" s="119"/>
      <c r="C154" s="119"/>
      <c r="D154" s="119"/>
      <c r="E154" s="79"/>
      <c r="F154" s="120"/>
      <c r="G154" s="79"/>
      <c r="H154" s="79"/>
      <c r="I154" s="72"/>
      <c r="J154" s="72"/>
      <c r="K154" s="72"/>
      <c r="L154" s="79"/>
      <c r="M154" s="79"/>
      <c r="N154" s="72"/>
      <c r="O154" s="72"/>
      <c r="P154" s="72"/>
      <c r="Q154" s="79"/>
      <c r="R154" s="79"/>
      <c r="S154" s="72"/>
      <c r="T154" s="72"/>
      <c r="U154" s="72"/>
      <c r="V154" s="79"/>
      <c r="W154" s="79"/>
      <c r="X154" s="72"/>
      <c r="Y154" s="72"/>
      <c r="Z154" s="72"/>
      <c r="AA154" s="79"/>
      <c r="AB154" s="79"/>
      <c r="AC154" s="72"/>
      <c r="AD154" s="72"/>
      <c r="AE154" s="72"/>
      <c r="AF154" s="79"/>
      <c r="AG154" s="79"/>
      <c r="AH154" s="72"/>
      <c r="AI154" s="72"/>
      <c r="AJ154" s="72"/>
      <c r="AK154" s="79"/>
      <c r="AL154" s="79"/>
      <c r="AM154" s="72"/>
      <c r="AN154" s="72"/>
      <c r="AO154" s="72"/>
      <c r="AP154" s="79"/>
      <c r="AQ154" s="79"/>
      <c r="AR154" s="72"/>
      <c r="AS154" s="72"/>
      <c r="AT154" s="72"/>
      <c r="AU154" s="79"/>
      <c r="AV154" s="72"/>
      <c r="AW154" s="72"/>
      <c r="AX154" s="72"/>
      <c r="AY154" s="72"/>
      <c r="AZ154" s="72"/>
      <c r="BA154" s="72"/>
      <c r="BB154" s="72"/>
      <c r="BC154" s="72"/>
    </row>
    <row r="155">
      <c r="A155" s="91" t="s">
        <v>558</v>
      </c>
      <c r="B155" s="121">
        <v>907.185</v>
      </c>
      <c r="C155" s="43">
        <v>234961.0</v>
      </c>
      <c r="D155" s="43">
        <v>490.0</v>
      </c>
      <c r="E155" s="43">
        <v>2123.0</v>
      </c>
      <c r="F155" s="117"/>
      <c r="G155" s="43">
        <v>39.0</v>
      </c>
      <c r="H155" s="72">
        <v>2.0</v>
      </c>
      <c r="I155" s="72" t="str">
        <f t="shared" ref="I155:K155" si="423">($H155*C155)/1000</f>
        <v>470</v>
      </c>
      <c r="J155" s="72" t="str">
        <f t="shared" si="423"/>
        <v>1</v>
      </c>
      <c r="K155" s="72" t="str">
        <f t="shared" si="423"/>
        <v>4</v>
      </c>
      <c r="L155" s="79"/>
      <c r="M155" s="43">
        <v>0.0</v>
      </c>
      <c r="N155" s="72" t="str">
        <f t="shared" ref="N155:P155" si="424">($M155*C155)/1000</f>
        <v>0</v>
      </c>
      <c r="O155" s="72" t="str">
        <f t="shared" si="424"/>
        <v>0</v>
      </c>
      <c r="P155" s="72" t="str">
        <f t="shared" si="424"/>
        <v>0</v>
      </c>
      <c r="Q155" s="79"/>
      <c r="R155" s="72">
        <v>28.0</v>
      </c>
      <c r="S155" s="72" t="str">
        <f t="shared" ref="S155:U155" si="425">($R155*C155)/1000</f>
        <v>6579</v>
      </c>
      <c r="T155" s="72" t="str">
        <f t="shared" si="425"/>
        <v>14</v>
      </c>
      <c r="U155" s="72" t="str">
        <f t="shared" si="425"/>
        <v>59</v>
      </c>
      <c r="V155" s="79"/>
      <c r="W155" s="43">
        <v>0.0</v>
      </c>
      <c r="X155" s="72" t="str">
        <f t="shared" ref="X155:Z155" si="426">($W155*C155)/1000</f>
        <v>0</v>
      </c>
      <c r="Y155" s="72" t="str">
        <f t="shared" si="426"/>
        <v>0</v>
      </c>
      <c r="Z155" s="72" t="str">
        <f t="shared" si="426"/>
        <v>0</v>
      </c>
      <c r="AA155" s="79"/>
      <c r="AB155" s="72">
        <v>9.0</v>
      </c>
      <c r="AC155" s="72" t="str">
        <f t="shared" ref="AC155:AE155" si="427">($AB155*C155)/1000</f>
        <v>2115</v>
      </c>
      <c r="AD155" s="72" t="str">
        <f t="shared" si="427"/>
        <v>4</v>
      </c>
      <c r="AE155" s="72" t="str">
        <f t="shared" si="427"/>
        <v>19</v>
      </c>
      <c r="AF155" s="79"/>
      <c r="AG155" s="43">
        <v>0.0</v>
      </c>
      <c r="AH155" s="72" t="str">
        <f t="shared" ref="AH155:AJ155" si="428">($AG155*C155)/1000</f>
        <v>0</v>
      </c>
      <c r="AI155" s="72" t="str">
        <f t="shared" si="428"/>
        <v>0</v>
      </c>
      <c r="AJ155" s="72" t="str">
        <f t="shared" si="428"/>
        <v>0</v>
      </c>
      <c r="AK155" s="79"/>
      <c r="AL155" s="43">
        <v>0.0</v>
      </c>
      <c r="AM155" s="72" t="str">
        <f t="shared" ref="AM155:AO155" si="429">($AL155*C155)/1000</f>
        <v>0</v>
      </c>
      <c r="AN155" s="72" t="str">
        <f t="shared" si="429"/>
        <v>0</v>
      </c>
      <c r="AO155" s="72" t="str">
        <f t="shared" si="429"/>
        <v>0</v>
      </c>
      <c r="AP155" s="79"/>
      <c r="AQ155" s="43">
        <v>0.0</v>
      </c>
      <c r="AR155" s="72" t="str">
        <f t="shared" ref="AR155:AT155" si="430">($AQ155*C155)/1000</f>
        <v>0</v>
      </c>
      <c r="AS155" s="72" t="str">
        <f t="shared" si="430"/>
        <v>0</v>
      </c>
      <c r="AT155" s="72" t="str">
        <f t="shared" si="430"/>
        <v>0</v>
      </c>
      <c r="AU155" s="79"/>
      <c r="AV155" s="72" t="str">
        <f t="shared" ref="AV155:AX155" si="431">I155+N155+S155+X155+AC155+AH155+AM155+AR155</f>
        <v>9163</v>
      </c>
      <c r="AW155" s="72" t="str">
        <f t="shared" si="431"/>
        <v>19</v>
      </c>
      <c r="AX155" s="72" t="str">
        <f t="shared" si="431"/>
        <v>83</v>
      </c>
      <c r="AY155" s="72"/>
      <c r="AZ155" s="72"/>
      <c r="BA155" s="72"/>
      <c r="BB155" s="72"/>
      <c r="BC155" s="72"/>
    </row>
    <row r="156">
      <c r="A156" s="91" t="s">
        <v>564</v>
      </c>
      <c r="B156" s="43">
        <v>900.0</v>
      </c>
      <c r="C156" s="96">
        <v>244.4</v>
      </c>
      <c r="D156" s="96">
        <v>144.7</v>
      </c>
      <c r="E156" s="96">
        <v>124.6</v>
      </c>
      <c r="F156" s="117"/>
      <c r="G156" s="43">
        <v>21346.0</v>
      </c>
      <c r="H156" s="43">
        <v>0.0</v>
      </c>
      <c r="I156" s="72" t="str">
        <f t="shared" ref="I156:K156" si="432">($H156*C156)/1000</f>
        <v>0</v>
      </c>
      <c r="J156" s="72" t="str">
        <f t="shared" si="432"/>
        <v>0</v>
      </c>
      <c r="K156" s="72" t="str">
        <f t="shared" si="432"/>
        <v>0</v>
      </c>
      <c r="L156" s="79"/>
      <c r="M156" s="72">
        <v>286.0</v>
      </c>
      <c r="N156" s="72" t="str">
        <f t="shared" ref="N156:P156" si="433">($M156*C156)/1000</f>
        <v>70</v>
      </c>
      <c r="O156" s="72" t="str">
        <f t="shared" si="433"/>
        <v>41</v>
      </c>
      <c r="P156" s="72" t="str">
        <f t="shared" si="433"/>
        <v>36</v>
      </c>
      <c r="Q156" s="79"/>
      <c r="R156" s="72">
        <v>2913.0</v>
      </c>
      <c r="S156" s="72" t="str">
        <f t="shared" ref="S156:U156" si="434">($R156*C156)/1000</f>
        <v>712</v>
      </c>
      <c r="T156" s="72" t="str">
        <f t="shared" si="434"/>
        <v>422</v>
      </c>
      <c r="U156" s="72" t="str">
        <f t="shared" si="434"/>
        <v>363</v>
      </c>
      <c r="V156" s="79"/>
      <c r="W156" s="72">
        <v>893.0</v>
      </c>
      <c r="X156" s="72" t="str">
        <f t="shared" ref="X156:Z156" si="435">($W156*C156)/1000</f>
        <v>218</v>
      </c>
      <c r="Y156" s="72" t="str">
        <f t="shared" si="435"/>
        <v>129</v>
      </c>
      <c r="Z156" s="72" t="str">
        <f t="shared" si="435"/>
        <v>111</v>
      </c>
      <c r="AA156" s="79"/>
      <c r="AB156" s="72">
        <v>9000.0</v>
      </c>
      <c r="AC156" s="72" t="str">
        <f t="shared" ref="AC156:AE156" si="436">($AB156*C156)/1000</f>
        <v>2200</v>
      </c>
      <c r="AD156" s="72" t="str">
        <f t="shared" si="436"/>
        <v>1302</v>
      </c>
      <c r="AE156" s="72" t="str">
        <f t="shared" si="436"/>
        <v>1121</v>
      </c>
      <c r="AF156" s="79"/>
      <c r="AG156" s="72">
        <v>71.0</v>
      </c>
      <c r="AH156" s="72" t="str">
        <f t="shared" ref="AH156:AJ156" si="437">($AG156*C156)/1000</f>
        <v>17</v>
      </c>
      <c r="AI156" s="72" t="str">
        <f t="shared" si="437"/>
        <v>10</v>
      </c>
      <c r="AJ156" s="72" t="str">
        <f t="shared" si="437"/>
        <v>9</v>
      </c>
      <c r="AK156" s="79"/>
      <c r="AL156" s="72">
        <v>3754.0</v>
      </c>
      <c r="AM156" s="72" t="str">
        <f t="shared" ref="AM156:AO156" si="438">($AL156*C156)/1000</f>
        <v>917</v>
      </c>
      <c r="AN156" s="72" t="str">
        <f t="shared" si="438"/>
        <v>543</v>
      </c>
      <c r="AO156" s="72" t="str">
        <f t="shared" si="438"/>
        <v>468</v>
      </c>
      <c r="AP156" s="79"/>
      <c r="AQ156" s="72">
        <v>4429.0</v>
      </c>
      <c r="AR156" s="72" t="str">
        <f t="shared" ref="AR156:AT156" si="439">($AQ156*C156)/1000</f>
        <v>1082</v>
      </c>
      <c r="AS156" s="72" t="str">
        <f t="shared" si="439"/>
        <v>641</v>
      </c>
      <c r="AT156" s="72" t="str">
        <f t="shared" si="439"/>
        <v>552</v>
      </c>
      <c r="AU156" s="79"/>
      <c r="AV156" s="72" t="str">
        <f t="shared" ref="AV156:AX156" si="440">I156+N156+S156+X156+AC156+AH156+AM156+AR156</f>
        <v>5217</v>
      </c>
      <c r="AW156" s="72" t="str">
        <f t="shared" si="440"/>
        <v>3089</v>
      </c>
      <c r="AX156" s="72" t="str">
        <f t="shared" si="440"/>
        <v>2660</v>
      </c>
      <c r="AY156" s="72"/>
      <c r="AZ156" s="72"/>
      <c r="BA156" s="72"/>
      <c r="BB156" s="72"/>
      <c r="BC156" s="72"/>
    </row>
    <row r="157">
      <c r="A157" s="91"/>
      <c r="I157" s="72"/>
      <c r="J157" s="72"/>
      <c r="K157" s="72"/>
      <c r="N157" s="72"/>
      <c r="O157" s="72"/>
      <c r="P157" s="72"/>
      <c r="S157" s="72"/>
      <c r="T157" s="72"/>
      <c r="U157" s="72"/>
      <c r="X157" s="72"/>
      <c r="Y157" s="72"/>
      <c r="Z157" s="72"/>
      <c r="AC157" s="72"/>
      <c r="AD157" s="72"/>
      <c r="AE157" s="72"/>
      <c r="AH157" s="72"/>
      <c r="AI157" s="72"/>
      <c r="AJ157" s="72"/>
      <c r="AM157" s="72"/>
      <c r="AN157" s="72"/>
      <c r="AO157" s="72"/>
      <c r="AR157" s="72"/>
      <c r="AS157" s="72"/>
      <c r="AT157" s="72"/>
      <c r="AV157" s="72"/>
      <c r="AW157" s="72"/>
      <c r="AX157" s="72"/>
      <c r="AY157" s="72"/>
      <c r="AZ157" s="72"/>
      <c r="BA157" s="72"/>
      <c r="BB157" s="72"/>
      <c r="BC157" s="72"/>
    </row>
    <row r="158">
      <c r="A158" s="91" t="s">
        <v>677</v>
      </c>
      <c r="B158" s="16" t="s">
        <v>49</v>
      </c>
      <c r="C158" s="71">
        <v>5.6591678E7</v>
      </c>
      <c r="D158" s="71">
        <v>1423164.0</v>
      </c>
      <c r="E158" s="71">
        <v>3864667.0</v>
      </c>
      <c r="F158" s="16"/>
      <c r="G158" s="114">
        <v>1.0</v>
      </c>
      <c r="H158" s="122">
        <v>0.102</v>
      </c>
      <c r="I158" s="72" t="str">
        <f t="shared" ref="I158:K158" si="441">($H158*C158)/1000</f>
        <v>5772</v>
      </c>
      <c r="J158" s="72" t="str">
        <f t="shared" si="441"/>
        <v>145</v>
      </c>
      <c r="K158" s="72" t="str">
        <f t="shared" si="441"/>
        <v>394</v>
      </c>
      <c r="M158" s="123">
        <v>0.005</v>
      </c>
      <c r="N158" s="72" t="str">
        <f t="shared" ref="N158:P158" si="442">($M158*C158)/1000</f>
        <v>283</v>
      </c>
      <c r="O158" s="72" t="str">
        <f t="shared" si="442"/>
        <v>7</v>
      </c>
      <c r="P158" s="72" t="str">
        <f t="shared" si="442"/>
        <v>19</v>
      </c>
      <c r="R158" s="123">
        <v>0.607</v>
      </c>
      <c r="S158" s="72" t="str">
        <f t="shared" ref="S158:U158" si="443">($R158*C158)/1000</f>
        <v>34351</v>
      </c>
      <c r="T158" s="72" t="str">
        <f t="shared" si="443"/>
        <v>864</v>
      </c>
      <c r="U158" s="72" t="str">
        <f t="shared" si="443"/>
        <v>2346</v>
      </c>
      <c r="W158" s="123">
        <v>0.065</v>
      </c>
      <c r="X158" s="72" t="str">
        <f t="shared" ref="X158:Z158" si="444">($W158*C158)/1000</f>
        <v>3678</v>
      </c>
      <c r="Y158" s="72" t="str">
        <f t="shared" si="444"/>
        <v>93</v>
      </c>
      <c r="Z158" s="72" t="str">
        <f t="shared" si="444"/>
        <v>251</v>
      </c>
      <c r="AB158" s="123">
        <v>0.106</v>
      </c>
      <c r="AC158" s="72" t="str">
        <f t="shared" ref="AC158:AE158" si="445">($AB158*C158)/1000</f>
        <v>5999</v>
      </c>
      <c r="AD158" s="72" t="str">
        <f t="shared" si="445"/>
        <v>151</v>
      </c>
      <c r="AE158" s="72" t="str">
        <f t="shared" si="445"/>
        <v>410</v>
      </c>
      <c r="AG158" s="123">
        <v>0.025</v>
      </c>
      <c r="AH158" s="72" t="str">
        <f t="shared" ref="AH158:AJ158" si="446">($AG158*C158)/1000</f>
        <v>1415</v>
      </c>
      <c r="AI158" s="72" t="str">
        <f t="shared" si="446"/>
        <v>36</v>
      </c>
      <c r="AJ158" s="72" t="str">
        <f t="shared" si="446"/>
        <v>97</v>
      </c>
      <c r="AL158" s="123">
        <v>0.039</v>
      </c>
      <c r="AM158" s="72" t="str">
        <f t="shared" ref="AM158:AO158" si="447">($AL158*C158)/1000</f>
        <v>2207</v>
      </c>
      <c r="AN158" s="72" t="str">
        <f t="shared" si="447"/>
        <v>56</v>
      </c>
      <c r="AO158" s="72" t="str">
        <f t="shared" si="447"/>
        <v>151</v>
      </c>
      <c r="AQ158" s="123">
        <v>0.051</v>
      </c>
      <c r="AR158" s="72" t="str">
        <f t="shared" ref="AR158:AT158" si="448">($AQ158*C158)/1000</f>
        <v>2886</v>
      </c>
      <c r="AS158" s="72" t="str">
        <f t="shared" si="448"/>
        <v>73</v>
      </c>
      <c r="AT158" s="72" t="str">
        <f t="shared" si="448"/>
        <v>197</v>
      </c>
      <c r="AV158" s="72" t="str">
        <f t="shared" ref="AV158:AX158" si="449">I158+N158+S158+X158+AC158+AH158+AM158+AR158</f>
        <v>56592</v>
      </c>
      <c r="AW158" s="72" t="str">
        <f t="shared" si="449"/>
        <v>1423</v>
      </c>
      <c r="AX158" s="72" t="str">
        <f t="shared" si="449"/>
        <v>3865</v>
      </c>
      <c r="AY158" s="72"/>
      <c r="AZ158" s="72"/>
      <c r="BA158" s="72"/>
      <c r="BB158" s="72"/>
      <c r="BC158" s="72"/>
    </row>
    <row r="159">
      <c r="A159" s="91" t="s">
        <v>678</v>
      </c>
      <c r="B159" s="16" t="s">
        <v>49</v>
      </c>
      <c r="C159" s="16">
        <v>5.0396731E7</v>
      </c>
      <c r="D159" s="16">
        <v>1088302.0</v>
      </c>
      <c r="E159" s="16">
        <v>2915451.0</v>
      </c>
      <c r="F159" s="16"/>
      <c r="G159" s="114">
        <v>1.0</v>
      </c>
      <c r="H159" s="122">
        <v>0.102</v>
      </c>
      <c r="I159" s="72" t="str">
        <f t="shared" ref="I159:K159" si="450">($H159*C159)/1000</f>
        <v>5140</v>
      </c>
      <c r="J159" s="72" t="str">
        <f t="shared" si="450"/>
        <v>111</v>
      </c>
      <c r="K159" s="72" t="str">
        <f t="shared" si="450"/>
        <v>297</v>
      </c>
      <c r="M159" s="123">
        <v>0.005</v>
      </c>
      <c r="N159" s="72" t="str">
        <f t="shared" ref="N159:P159" si="451">($M159*C159)/1000</f>
        <v>252</v>
      </c>
      <c r="O159" s="72" t="str">
        <f t="shared" si="451"/>
        <v>5</v>
      </c>
      <c r="P159" s="72" t="str">
        <f t="shared" si="451"/>
        <v>15</v>
      </c>
      <c r="R159" s="123">
        <v>0.607</v>
      </c>
      <c r="S159" s="72" t="str">
        <f t="shared" ref="S159:U159" si="452">($R159*C159)/1000</f>
        <v>30591</v>
      </c>
      <c r="T159" s="72" t="str">
        <f t="shared" si="452"/>
        <v>661</v>
      </c>
      <c r="U159" s="72" t="str">
        <f t="shared" si="452"/>
        <v>1770</v>
      </c>
      <c r="W159" s="123">
        <v>0.065</v>
      </c>
      <c r="X159" s="72" t="str">
        <f t="shared" ref="X159:Z159" si="453">($W159*C159)/1000</f>
        <v>3276</v>
      </c>
      <c r="Y159" s="72" t="str">
        <f t="shared" si="453"/>
        <v>71</v>
      </c>
      <c r="Z159" s="72" t="str">
        <f t="shared" si="453"/>
        <v>190</v>
      </c>
      <c r="AB159" s="123">
        <v>0.106</v>
      </c>
      <c r="AC159" s="72" t="str">
        <f t="shared" ref="AC159:AE159" si="454">($AB159*C159)/1000</f>
        <v>5342</v>
      </c>
      <c r="AD159" s="72" t="str">
        <f t="shared" si="454"/>
        <v>115</v>
      </c>
      <c r="AE159" s="72" t="str">
        <f t="shared" si="454"/>
        <v>309</v>
      </c>
      <c r="AG159" s="123">
        <v>0.025</v>
      </c>
      <c r="AH159" s="72" t="str">
        <f t="shared" ref="AH159:AJ159" si="455">($AG159*C159)/1000</f>
        <v>1260</v>
      </c>
      <c r="AI159" s="72" t="str">
        <f t="shared" si="455"/>
        <v>27</v>
      </c>
      <c r="AJ159" s="72" t="str">
        <f t="shared" si="455"/>
        <v>73</v>
      </c>
      <c r="AL159" s="123">
        <v>0.039</v>
      </c>
      <c r="AM159" s="72" t="str">
        <f t="shared" ref="AM159:AO159" si="456">($AL159*C159)/1000</f>
        <v>1965</v>
      </c>
      <c r="AN159" s="72" t="str">
        <f t="shared" si="456"/>
        <v>42</v>
      </c>
      <c r="AO159" s="72" t="str">
        <f t="shared" si="456"/>
        <v>114</v>
      </c>
      <c r="AQ159" s="123">
        <v>0.051</v>
      </c>
      <c r="AR159" s="72" t="str">
        <f t="shared" ref="AR159:AT159" si="457">($AQ159*C159)/1000</f>
        <v>2570</v>
      </c>
      <c r="AS159" s="72" t="str">
        <f t="shared" si="457"/>
        <v>56</v>
      </c>
      <c r="AT159" s="72" t="str">
        <f t="shared" si="457"/>
        <v>149</v>
      </c>
      <c r="AV159" s="72" t="str">
        <f t="shared" ref="AV159:AX159" si="458">I159+N159+S159+X159+AC159+AH159+AM159+AR159</f>
        <v>50397</v>
      </c>
      <c r="AW159" s="72" t="str">
        <f t="shared" si="458"/>
        <v>1088</v>
      </c>
      <c r="AX159" s="72" t="str">
        <f t="shared" si="458"/>
        <v>2915</v>
      </c>
      <c r="AY159" s="72"/>
      <c r="AZ159" s="72"/>
      <c r="BA159" s="72"/>
      <c r="BB159" s="72"/>
      <c r="BC159" s="72"/>
    </row>
    <row r="160">
      <c r="A160" s="91"/>
    </row>
    <row r="161">
      <c r="A161" s="92" t="s">
        <v>618</v>
      </c>
      <c r="B161" s="85"/>
      <c r="C161" s="85"/>
      <c r="D161" s="85"/>
      <c r="E161" s="85"/>
      <c r="F161" s="85"/>
      <c r="G161" s="85"/>
      <c r="H161" s="85"/>
      <c r="I161" s="86" t="str">
        <f t="shared" ref="I161:K161" si="459">sum(I141:I159)</f>
        <v>13846</v>
      </c>
      <c r="J161" s="86" t="str">
        <f t="shared" si="459"/>
        <v>272</v>
      </c>
      <c r="K161" s="86" t="str">
        <f t="shared" si="459"/>
        <v>782</v>
      </c>
      <c r="L161" s="85"/>
      <c r="M161" s="85"/>
      <c r="N161" s="86" t="str">
        <f t="shared" ref="N161:P161" si="460">sum(N141:N159)</f>
        <v>697</v>
      </c>
      <c r="O161" s="86" t="str">
        <f t="shared" si="460"/>
        <v>55</v>
      </c>
      <c r="P161" s="86" t="str">
        <f t="shared" si="460"/>
        <v>70</v>
      </c>
      <c r="Q161" s="85"/>
      <c r="R161" s="85"/>
      <c r="S161" s="86" t="str">
        <f t="shared" ref="S161:U161" si="461">sum(S141:S159)</f>
        <v>428369</v>
      </c>
      <c r="T161" s="86" t="str">
        <f t="shared" si="461"/>
        <v>2011</v>
      </c>
      <c r="U161" s="86" t="str">
        <f t="shared" si="461"/>
        <v>4857</v>
      </c>
      <c r="V161" s="85"/>
      <c r="W161" s="85"/>
      <c r="X161" s="86" t="str">
        <f t="shared" ref="X161:Z161" si="462">sum(X141:X159)</f>
        <v>7513</v>
      </c>
      <c r="Y161" s="86" t="str">
        <f t="shared" si="462"/>
        <v>295</v>
      </c>
      <c r="Z161" s="86" t="str">
        <f t="shared" si="462"/>
        <v>563</v>
      </c>
      <c r="AA161" s="85"/>
      <c r="AB161" s="85"/>
      <c r="AC161" s="86" t="str">
        <f t="shared" ref="AC161:AE161" si="463">sum(AC141:AC159)</f>
        <v>17614</v>
      </c>
      <c r="AD161" s="86" t="str">
        <f t="shared" si="463"/>
        <v>1585</v>
      </c>
      <c r="AE161" s="86" t="str">
        <f t="shared" si="463"/>
        <v>1926</v>
      </c>
      <c r="AF161" s="85"/>
      <c r="AG161" s="85"/>
      <c r="AH161" s="86" t="str">
        <f t="shared" ref="AH161:AJ161" si="464">sum(AH141:AH159)</f>
        <v>3015</v>
      </c>
      <c r="AI161" s="86" t="str">
        <f t="shared" si="464"/>
        <v>75</v>
      </c>
      <c r="AJ161" s="86" t="str">
        <f t="shared" si="464"/>
        <v>189</v>
      </c>
      <c r="AK161" s="85"/>
      <c r="AL161" s="85"/>
      <c r="AM161" s="86" t="str">
        <f t="shared" ref="AM161:AO161" si="465">sum(AM141:AM159)</f>
        <v>6871</v>
      </c>
      <c r="AN161" s="86" t="str">
        <f t="shared" si="465"/>
        <v>652</v>
      </c>
      <c r="AO161" s="86" t="str">
        <f t="shared" si="465"/>
        <v>797</v>
      </c>
      <c r="AP161" s="85"/>
      <c r="AQ161" s="85"/>
      <c r="AR161" s="86" t="str">
        <f t="shared" ref="AR161:AT161" si="466">sum(AR141:AR159)</f>
        <v>7200</v>
      </c>
      <c r="AS161" s="86" t="str">
        <f t="shared" si="466"/>
        <v>773</v>
      </c>
      <c r="AT161" s="86" t="str">
        <f t="shared" si="466"/>
        <v>920</v>
      </c>
      <c r="AU161" s="85"/>
      <c r="AV161" s="124" t="str">
        <f t="shared" ref="AV161:AX161" si="467">sum(AV141:AV159)</f>
        <v>485125.10</v>
      </c>
      <c r="AW161" s="124" t="str">
        <f t="shared" si="467"/>
        <v>5716.12</v>
      </c>
      <c r="AX161" s="124" t="str">
        <f t="shared" si="467"/>
        <v>10106.50</v>
      </c>
      <c r="AY161" s="85"/>
      <c r="AZ161" s="85"/>
      <c r="BA161" s="85"/>
      <c r="BB161" s="85"/>
      <c r="BC161" s="85"/>
    </row>
    <row r="162">
      <c r="A162" s="91"/>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c r="AA162" s="78"/>
      <c r="AB162" s="78"/>
      <c r="AC162" s="78"/>
      <c r="AD162" s="78"/>
      <c r="AE162" s="78"/>
      <c r="AF162" s="78"/>
      <c r="AG162" s="78"/>
      <c r="AH162" s="78"/>
      <c r="AI162" s="78"/>
      <c r="AJ162" s="78"/>
      <c r="AK162" s="78"/>
      <c r="AL162" s="78"/>
      <c r="AM162" s="78"/>
      <c r="AN162" s="78"/>
      <c r="AO162" s="78"/>
      <c r="AP162" s="78"/>
      <c r="AQ162" s="78"/>
      <c r="AR162" s="78"/>
      <c r="AS162" s="78"/>
      <c r="AT162" s="78"/>
      <c r="AU162" s="78"/>
      <c r="AV162" s="78"/>
      <c r="AW162" s="78"/>
      <c r="AX162" s="78"/>
      <c r="AY162" s="78"/>
      <c r="AZ162" s="78"/>
      <c r="BA162" s="78"/>
      <c r="BB162" s="78"/>
      <c r="BC162" s="78"/>
    </row>
    <row r="163">
      <c r="A163" s="7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c r="AA163" s="78"/>
      <c r="AB163" s="78"/>
      <c r="AC163" s="78"/>
      <c r="AD163" s="78"/>
      <c r="AE163" s="78"/>
      <c r="AF163" s="78"/>
      <c r="AG163" s="78"/>
      <c r="AH163" s="78"/>
      <c r="AI163" s="78"/>
      <c r="AJ163" s="78"/>
      <c r="AK163" s="78"/>
      <c r="AL163" s="78"/>
      <c r="AM163" s="78"/>
      <c r="AN163" s="78"/>
      <c r="AO163" s="78"/>
      <c r="AP163" s="78"/>
      <c r="AQ163" s="78"/>
      <c r="AR163" s="78"/>
      <c r="AS163" s="78"/>
      <c r="AT163" s="78"/>
      <c r="AU163" s="78"/>
      <c r="AV163" s="78"/>
      <c r="AW163" s="78"/>
      <c r="AX163" s="78"/>
      <c r="AY163" s="78"/>
      <c r="AZ163" s="78"/>
      <c r="BA163" s="78"/>
      <c r="BB163" s="78"/>
      <c r="BC163" s="78"/>
    </row>
    <row r="164">
      <c r="A164" s="7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row>
    <row r="165">
      <c r="A165" s="7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row>
    <row r="166">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c r="AA166" s="78"/>
      <c r="AB166" s="78"/>
      <c r="AC166" s="78"/>
      <c r="AD166" s="78"/>
      <c r="AE166" s="78"/>
      <c r="AF166" s="78"/>
      <c r="AG166" s="78"/>
      <c r="AH166" s="78"/>
      <c r="AI166" s="78"/>
      <c r="AJ166" s="78"/>
      <c r="AK166" s="78"/>
      <c r="AL166" s="78"/>
      <c r="AM166" s="78"/>
      <c r="AN166" s="78"/>
      <c r="AO166" s="78"/>
      <c r="AP166" s="78"/>
      <c r="AQ166" s="78"/>
      <c r="AR166" s="78"/>
      <c r="AS166" s="78"/>
      <c r="AT166" s="78"/>
      <c r="AU166" s="78"/>
      <c r="AV166" s="78"/>
      <c r="AW166" s="78"/>
      <c r="AX166" s="78"/>
      <c r="AY166" s="78"/>
      <c r="AZ166" s="78"/>
      <c r="BA166" s="78"/>
      <c r="BB166" s="78"/>
      <c r="BC166" s="78"/>
    </row>
    <row r="167">
      <c r="A167" s="7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c r="AA167" s="78"/>
      <c r="AB167" s="78"/>
      <c r="AC167" s="78"/>
      <c r="AD167" s="78"/>
      <c r="AE167" s="78"/>
      <c r="AF167" s="78"/>
      <c r="AG167" s="78"/>
      <c r="AH167" s="78"/>
      <c r="AI167" s="78"/>
      <c r="AJ167" s="78"/>
      <c r="AK167" s="78"/>
      <c r="AL167" s="78"/>
      <c r="AM167" s="78"/>
      <c r="AN167" s="78"/>
      <c r="AO167" s="78"/>
      <c r="AP167" s="78"/>
      <c r="AQ167" s="78"/>
      <c r="AR167" s="78"/>
      <c r="AS167" s="78"/>
      <c r="AT167" s="78"/>
      <c r="AU167" s="78"/>
      <c r="AV167" s="78"/>
      <c r="AW167" s="78"/>
      <c r="AX167" s="78"/>
      <c r="AY167" s="78"/>
      <c r="AZ167" s="78"/>
      <c r="BA167" s="78"/>
      <c r="BB167" s="78"/>
      <c r="BC167" s="78"/>
    </row>
    <row r="168">
      <c r="A168" s="7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row>
    <row r="169">
      <c r="A169" s="7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row>
    <row r="170">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row>
    <row r="171">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row>
    <row r="172">
      <c r="A172" s="7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row>
    <row r="173">
      <c r="A173" s="7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c r="AA173" s="78"/>
      <c r="AB173" s="78"/>
      <c r="AC173" s="78"/>
      <c r="AD173" s="78"/>
      <c r="AE173" s="78"/>
      <c r="AF173" s="78"/>
      <c r="AG173" s="78"/>
      <c r="AH173" s="78"/>
      <c r="AI173" s="78"/>
      <c r="AJ173" s="78"/>
      <c r="AK173" s="78"/>
      <c r="AL173" s="78"/>
      <c r="AM173" s="78"/>
      <c r="AN173" s="78"/>
      <c r="AO173" s="78"/>
      <c r="AP173" s="78"/>
      <c r="AQ173" s="78"/>
      <c r="AR173" s="78"/>
      <c r="AS173" s="78"/>
      <c r="AT173" s="78"/>
      <c r="AU173" s="78"/>
      <c r="AV173" s="78"/>
      <c r="AW173" s="78"/>
      <c r="AX173" s="78"/>
      <c r="AY173" s="78"/>
      <c r="AZ173" s="78"/>
      <c r="BA173" s="78"/>
      <c r="BB173" s="78"/>
      <c r="BC173" s="78"/>
    </row>
    <row r="174">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row>
    <row r="175">
      <c r="A175" s="7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row>
    <row r="176">
      <c r="A176" s="7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row>
    <row r="177">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row>
    <row r="178">
      <c r="A178" s="7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c r="AC178" s="78"/>
      <c r="AD178" s="78"/>
      <c r="AE178" s="78"/>
      <c r="AF178" s="78"/>
      <c r="AG178" s="78"/>
      <c r="AH178" s="78"/>
      <c r="AI178" s="78"/>
      <c r="AJ178" s="78"/>
      <c r="AK178" s="78"/>
      <c r="AL178" s="78"/>
      <c r="AM178" s="78"/>
      <c r="AN178" s="78"/>
      <c r="AO178" s="78"/>
      <c r="AP178" s="78"/>
      <c r="AQ178" s="78"/>
      <c r="AR178" s="78"/>
      <c r="AS178" s="78"/>
      <c r="AT178" s="78"/>
      <c r="AU178" s="78"/>
      <c r="AV178" s="78"/>
      <c r="AW178" s="78"/>
      <c r="AX178" s="78"/>
      <c r="AY178" s="78"/>
      <c r="AZ178" s="78"/>
      <c r="BA178" s="78"/>
      <c r="BB178" s="78"/>
      <c r="BC178" s="78"/>
    </row>
    <row r="179">
      <c r="A179" s="7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c r="AC179" s="78"/>
      <c r="AD179" s="78"/>
      <c r="AE179" s="78"/>
      <c r="AF179" s="78"/>
      <c r="AG179" s="78"/>
      <c r="AH179" s="78"/>
      <c r="AI179" s="78"/>
      <c r="AJ179" s="78"/>
      <c r="AK179" s="78"/>
      <c r="AL179" s="78"/>
      <c r="AM179" s="78"/>
      <c r="AN179" s="78"/>
      <c r="AO179" s="78"/>
      <c r="AP179" s="78"/>
      <c r="AQ179" s="78"/>
      <c r="AR179" s="78"/>
      <c r="AS179" s="78"/>
      <c r="AT179" s="78"/>
      <c r="AU179" s="78"/>
      <c r="AV179" s="78"/>
      <c r="AW179" s="78"/>
      <c r="AX179" s="78"/>
      <c r="AY179" s="78"/>
      <c r="AZ179" s="78"/>
      <c r="BA179" s="78"/>
      <c r="BB179" s="78"/>
      <c r="BC179" s="78"/>
    </row>
    <row r="180">
      <c r="A180" s="7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c r="AI180" s="78"/>
      <c r="AJ180" s="78"/>
      <c r="AK180" s="78"/>
      <c r="AL180" s="78"/>
      <c r="AM180" s="78"/>
      <c r="AN180" s="78"/>
      <c r="AO180" s="78"/>
      <c r="AP180" s="78"/>
      <c r="AQ180" s="78"/>
      <c r="AR180" s="78"/>
      <c r="AS180" s="78"/>
      <c r="AT180" s="78"/>
      <c r="AU180" s="78"/>
      <c r="AV180" s="78"/>
      <c r="AW180" s="78"/>
      <c r="AX180" s="78"/>
      <c r="AY180" s="78"/>
      <c r="AZ180" s="78"/>
      <c r="BA180" s="78"/>
      <c r="BB180" s="78"/>
      <c r="BC180" s="78"/>
    </row>
    <row r="181">
      <c r="A181" s="7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c r="AR181" s="78"/>
      <c r="AS181" s="78"/>
      <c r="AT181" s="78"/>
      <c r="AU181" s="78"/>
      <c r="AV181" s="78"/>
      <c r="AW181" s="78"/>
      <c r="AX181" s="78"/>
      <c r="AY181" s="78"/>
      <c r="AZ181" s="78"/>
      <c r="BA181" s="78"/>
      <c r="BB181" s="78"/>
      <c r="BC181" s="78"/>
    </row>
    <row r="182">
      <c r="A182" s="7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c r="AC182" s="78"/>
      <c r="AD182" s="78"/>
      <c r="AE182" s="78"/>
      <c r="AF182" s="78"/>
      <c r="AG182" s="78"/>
      <c r="AH182" s="78"/>
      <c r="AI182" s="78"/>
      <c r="AJ182" s="78"/>
      <c r="AK182" s="78"/>
      <c r="AL182" s="78"/>
      <c r="AM182" s="78"/>
      <c r="AN182" s="78"/>
      <c r="AO182" s="78"/>
      <c r="AP182" s="78"/>
      <c r="AQ182" s="78"/>
      <c r="AR182" s="78"/>
      <c r="AS182" s="78"/>
      <c r="AT182" s="78"/>
      <c r="AU182" s="78"/>
      <c r="AV182" s="78"/>
      <c r="AW182" s="78"/>
      <c r="AX182" s="78"/>
      <c r="AY182" s="78"/>
      <c r="AZ182" s="78"/>
      <c r="BA182" s="78"/>
      <c r="BB182" s="78"/>
      <c r="BC182" s="78"/>
    </row>
    <row r="183">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c r="AI183" s="78"/>
      <c r="AJ183" s="78"/>
      <c r="AK183" s="78"/>
      <c r="AL183" s="78"/>
      <c r="AM183" s="78"/>
      <c r="AN183" s="78"/>
      <c r="AO183" s="78"/>
      <c r="AP183" s="78"/>
      <c r="AQ183" s="78"/>
      <c r="AR183" s="78"/>
      <c r="AS183" s="78"/>
      <c r="AT183" s="78"/>
      <c r="AU183" s="78"/>
      <c r="AV183" s="78"/>
      <c r="AW183" s="78"/>
      <c r="AX183" s="78"/>
      <c r="AY183" s="78"/>
      <c r="AZ183" s="78"/>
      <c r="BA183" s="78"/>
      <c r="BB183" s="78"/>
      <c r="BC183" s="78"/>
    </row>
    <row r="184">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c r="AC184" s="78"/>
      <c r="AD184" s="78"/>
      <c r="AE184" s="78"/>
      <c r="AF184" s="78"/>
      <c r="AG184" s="78"/>
      <c r="AH184" s="78"/>
      <c r="AI184" s="78"/>
      <c r="AJ184" s="78"/>
      <c r="AK184" s="78"/>
      <c r="AL184" s="78"/>
      <c r="AM184" s="78"/>
      <c r="AN184" s="78"/>
      <c r="AO184" s="78"/>
      <c r="AP184" s="78"/>
      <c r="AQ184" s="78"/>
      <c r="AR184" s="78"/>
      <c r="AS184" s="78"/>
      <c r="AT184" s="78"/>
      <c r="AU184" s="78"/>
      <c r="AV184" s="78"/>
      <c r="AW184" s="78"/>
      <c r="AX184" s="78"/>
      <c r="AY184" s="78"/>
      <c r="AZ184" s="78"/>
      <c r="BA184" s="78"/>
      <c r="BB184" s="78"/>
      <c r="BC184" s="78"/>
    </row>
    <row r="185">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c r="AC185" s="78"/>
      <c r="AD185" s="78"/>
      <c r="AE185" s="78"/>
      <c r="AF185" s="78"/>
      <c r="AG185" s="78"/>
      <c r="AH185" s="78"/>
      <c r="AI185" s="78"/>
      <c r="AJ185" s="78"/>
      <c r="AK185" s="78"/>
      <c r="AL185" s="78"/>
      <c r="AM185" s="78"/>
      <c r="AN185" s="78"/>
      <c r="AO185" s="78"/>
      <c r="AP185" s="78"/>
      <c r="AQ185" s="78"/>
      <c r="AR185" s="78"/>
      <c r="AS185" s="78"/>
      <c r="AT185" s="78"/>
      <c r="AU185" s="78"/>
      <c r="AV185" s="78"/>
      <c r="AW185" s="78"/>
      <c r="AX185" s="78"/>
      <c r="AY185" s="78"/>
      <c r="AZ185" s="78"/>
      <c r="BA185" s="78"/>
      <c r="BB185" s="78"/>
      <c r="BC185" s="78"/>
    </row>
    <row r="186">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c r="AA186" s="78"/>
      <c r="AB186" s="78"/>
      <c r="AC186" s="78"/>
      <c r="AD186" s="78"/>
      <c r="AE186" s="78"/>
      <c r="AF186" s="78"/>
      <c r="AG186" s="78"/>
      <c r="AH186" s="78"/>
      <c r="AI186" s="78"/>
      <c r="AJ186" s="78"/>
      <c r="AK186" s="78"/>
      <c r="AL186" s="78"/>
      <c r="AM186" s="78"/>
      <c r="AN186" s="78"/>
      <c r="AO186" s="78"/>
      <c r="AP186" s="78"/>
      <c r="AQ186" s="78"/>
      <c r="AR186" s="78"/>
      <c r="AS186" s="78"/>
      <c r="AT186" s="78"/>
      <c r="AU186" s="78"/>
      <c r="AV186" s="78"/>
      <c r="AW186" s="78"/>
      <c r="AX186" s="78"/>
      <c r="AY186" s="78"/>
      <c r="AZ186" s="78"/>
      <c r="BA186" s="78"/>
      <c r="BB186" s="78"/>
      <c r="BC186" s="78"/>
    </row>
    <row r="187">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row>
    <row r="188">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c r="AJ188" s="78"/>
      <c r="AK188" s="78"/>
      <c r="AL188" s="78"/>
      <c r="AM188" s="78"/>
      <c r="AN188" s="78"/>
      <c r="AO188" s="78"/>
      <c r="AP188" s="78"/>
      <c r="AQ188" s="78"/>
      <c r="AR188" s="78"/>
      <c r="AS188" s="78"/>
      <c r="AT188" s="78"/>
      <c r="AU188" s="78"/>
      <c r="AV188" s="78"/>
      <c r="AW188" s="78"/>
      <c r="AX188" s="78"/>
      <c r="AY188" s="78"/>
      <c r="AZ188" s="78"/>
      <c r="BA188" s="78"/>
      <c r="BB188" s="78"/>
      <c r="BC188" s="78"/>
    </row>
    <row r="189">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row>
    <row r="190">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c r="AQ190" s="78"/>
      <c r="AR190" s="78"/>
      <c r="AS190" s="78"/>
      <c r="AT190" s="78"/>
      <c r="AU190" s="78"/>
      <c r="AV190" s="78"/>
      <c r="AW190" s="78"/>
      <c r="AX190" s="78"/>
      <c r="AY190" s="78"/>
      <c r="AZ190" s="78"/>
      <c r="BA190" s="78"/>
      <c r="BB190" s="78"/>
      <c r="BC190" s="78"/>
    </row>
    <row r="191">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row>
    <row r="192">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c r="AZ192" s="78"/>
      <c r="BA192" s="78"/>
      <c r="BB192" s="78"/>
      <c r="BC192" s="78"/>
    </row>
    <row r="193">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c r="AA193" s="78"/>
      <c r="AB193" s="78"/>
      <c r="AC193" s="78"/>
      <c r="AD193" s="78"/>
      <c r="AE193" s="78"/>
      <c r="AF193" s="78"/>
      <c r="AG193" s="78"/>
      <c r="AH193" s="78"/>
      <c r="AI193" s="78"/>
      <c r="AJ193" s="78"/>
      <c r="AK193" s="78"/>
      <c r="AL193" s="78"/>
      <c r="AM193" s="78"/>
      <c r="AN193" s="78"/>
      <c r="AO193" s="78"/>
      <c r="AP193" s="78"/>
      <c r="AQ193" s="78"/>
      <c r="AR193" s="78"/>
      <c r="AS193" s="78"/>
      <c r="AT193" s="78"/>
      <c r="AU193" s="78"/>
      <c r="AV193" s="78"/>
      <c r="AW193" s="78"/>
      <c r="AX193" s="78"/>
      <c r="AY193" s="78"/>
      <c r="AZ193" s="78"/>
      <c r="BA193" s="78"/>
      <c r="BB193" s="78"/>
      <c r="BC193" s="78"/>
    </row>
    <row r="194">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row>
    <row r="195">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c r="AA195" s="78"/>
      <c r="AB195" s="78"/>
      <c r="AC195" s="78"/>
      <c r="AD195" s="78"/>
      <c r="AE195" s="78"/>
      <c r="AF195" s="78"/>
      <c r="AG195" s="78"/>
      <c r="AH195" s="78"/>
      <c r="AI195" s="78"/>
      <c r="AJ195" s="78"/>
      <c r="AK195" s="78"/>
      <c r="AL195" s="78"/>
      <c r="AM195" s="78"/>
      <c r="AN195" s="78"/>
      <c r="AO195" s="78"/>
      <c r="AP195" s="78"/>
      <c r="AQ195" s="78"/>
      <c r="AR195" s="78"/>
      <c r="AS195" s="78"/>
      <c r="AT195" s="78"/>
      <c r="AU195" s="78"/>
      <c r="AV195" s="78"/>
      <c r="AW195" s="78"/>
      <c r="AX195" s="78"/>
      <c r="AY195" s="78"/>
      <c r="AZ195" s="78"/>
      <c r="BA195" s="78"/>
      <c r="BB195" s="78"/>
      <c r="BC195" s="78"/>
    </row>
    <row r="196">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c r="AG196" s="78"/>
      <c r="AH196" s="78"/>
      <c r="AI196" s="78"/>
      <c r="AJ196" s="78"/>
      <c r="AK196" s="78"/>
      <c r="AL196" s="78"/>
      <c r="AM196" s="78"/>
      <c r="AN196" s="78"/>
      <c r="AO196" s="78"/>
      <c r="AP196" s="78"/>
      <c r="AQ196" s="78"/>
      <c r="AR196" s="78"/>
      <c r="AS196" s="78"/>
      <c r="AT196" s="78"/>
      <c r="AU196" s="78"/>
      <c r="AV196" s="78"/>
      <c r="AW196" s="78"/>
      <c r="AX196" s="78"/>
      <c r="AY196" s="78"/>
      <c r="AZ196" s="78"/>
      <c r="BA196" s="78"/>
      <c r="BB196" s="78"/>
      <c r="BC196" s="78"/>
    </row>
    <row r="197">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c r="AA197" s="78"/>
      <c r="AB197" s="78"/>
      <c r="AC197" s="78"/>
      <c r="AD197" s="78"/>
      <c r="AE197" s="78"/>
      <c r="AF197" s="78"/>
      <c r="AG197" s="78"/>
      <c r="AH197" s="78"/>
      <c r="AI197" s="78"/>
      <c r="AJ197" s="78"/>
      <c r="AK197" s="78"/>
      <c r="AL197" s="78"/>
      <c r="AM197" s="78"/>
      <c r="AN197" s="78"/>
      <c r="AO197" s="78"/>
      <c r="AP197" s="78"/>
      <c r="AQ197" s="78"/>
      <c r="AR197" s="78"/>
      <c r="AS197" s="78"/>
      <c r="AT197" s="78"/>
      <c r="AU197" s="78"/>
      <c r="AV197" s="78"/>
      <c r="AW197" s="78"/>
      <c r="AX197" s="78"/>
      <c r="AY197" s="78"/>
      <c r="AZ197" s="78"/>
      <c r="BA197" s="78"/>
      <c r="BB197" s="78"/>
      <c r="BC197" s="78"/>
    </row>
    <row r="198">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row>
    <row r="199">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row>
    <row r="200">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row>
    <row r="201">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c r="AY201" s="78"/>
      <c r="AZ201" s="78"/>
      <c r="BA201" s="78"/>
      <c r="BB201" s="78"/>
      <c r="BC201" s="78"/>
    </row>
    <row r="202">
      <c r="A202" s="7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row>
    <row r="203">
      <c r="A203" s="7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c r="AR203" s="78"/>
      <c r="AS203" s="78"/>
      <c r="AT203" s="78"/>
      <c r="AU203" s="78"/>
      <c r="AV203" s="78"/>
      <c r="AW203" s="78"/>
      <c r="AX203" s="78"/>
      <c r="AY203" s="78"/>
      <c r="AZ203" s="78"/>
      <c r="BA203" s="78"/>
      <c r="BB203" s="78"/>
      <c r="BC203" s="78"/>
    </row>
    <row r="204">
      <c r="A204" s="7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row>
    <row r="205">
      <c r="A205" s="7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row>
    <row r="206">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row>
    <row r="207">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row>
    <row r="208">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row>
    <row r="209">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row>
    <row r="210">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row>
    <row r="211">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row>
    <row r="212">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row>
    <row r="213">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row>
    <row r="214">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row>
    <row r="215">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row>
    <row r="216">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row>
    <row r="217">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row>
    <row r="218">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row>
    <row r="219">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row>
    <row r="220">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row>
    <row r="221">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row>
    <row r="222">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row>
    <row r="223">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row>
    <row r="224">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row>
    <row r="225">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row>
    <row r="226">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row>
    <row r="227">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c r="AS227" s="78"/>
      <c r="AT227" s="78"/>
      <c r="AU227" s="78"/>
      <c r="AV227" s="78"/>
      <c r="AW227" s="78"/>
      <c r="AX227" s="78"/>
      <c r="AY227" s="78"/>
      <c r="AZ227" s="78"/>
      <c r="BA227" s="78"/>
      <c r="BB227" s="78"/>
      <c r="BC227" s="78"/>
    </row>
    <row r="228">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c r="AA228" s="78"/>
      <c r="AB228" s="78"/>
      <c r="AC228" s="78"/>
      <c r="AD228" s="78"/>
      <c r="AE228" s="78"/>
      <c r="AF228" s="78"/>
      <c r="AG228" s="78"/>
      <c r="AH228" s="78"/>
      <c r="AI228" s="78"/>
      <c r="AJ228" s="78"/>
      <c r="AK228" s="78"/>
      <c r="AL228" s="78"/>
      <c r="AM228" s="78"/>
      <c r="AN228" s="78"/>
      <c r="AO228" s="78"/>
      <c r="AP228" s="78"/>
      <c r="AQ228" s="78"/>
      <c r="AR228" s="78"/>
      <c r="AS228" s="78"/>
      <c r="AT228" s="78"/>
      <c r="AU228" s="78"/>
      <c r="AV228" s="78"/>
      <c r="AW228" s="78"/>
      <c r="AX228" s="78"/>
      <c r="AY228" s="78"/>
      <c r="AZ228" s="78"/>
      <c r="BA228" s="78"/>
      <c r="BB228" s="78"/>
      <c r="BC228" s="78"/>
    </row>
    <row r="229">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c r="AP229" s="78"/>
      <c r="AQ229" s="78"/>
      <c r="AR229" s="78"/>
      <c r="AS229" s="78"/>
      <c r="AT229" s="78"/>
      <c r="AU229" s="78"/>
      <c r="AV229" s="78"/>
      <c r="AW229" s="78"/>
      <c r="AX229" s="78"/>
      <c r="AY229" s="78"/>
      <c r="AZ229" s="78"/>
      <c r="BA229" s="78"/>
      <c r="BB229" s="78"/>
      <c r="BC229" s="78"/>
    </row>
    <row r="230">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c r="AC230" s="78"/>
      <c r="AD230" s="78"/>
      <c r="AE230" s="78"/>
      <c r="AF230" s="78"/>
      <c r="AG230" s="78"/>
      <c r="AH230" s="78"/>
      <c r="AI230" s="78"/>
      <c r="AJ230" s="78"/>
      <c r="AK230" s="78"/>
      <c r="AL230" s="78"/>
      <c r="AM230" s="78"/>
      <c r="AN230" s="78"/>
      <c r="AO230" s="78"/>
      <c r="AP230" s="78"/>
      <c r="AQ230" s="78"/>
      <c r="AR230" s="78"/>
      <c r="AS230" s="78"/>
      <c r="AT230" s="78"/>
      <c r="AU230" s="78"/>
      <c r="AV230" s="78"/>
      <c r="AW230" s="78"/>
      <c r="AX230" s="78"/>
      <c r="AY230" s="78"/>
      <c r="AZ230" s="78"/>
      <c r="BA230" s="78"/>
      <c r="BB230" s="78"/>
      <c r="BC230" s="78"/>
    </row>
    <row r="231">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row>
    <row r="232">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c r="AA232" s="78"/>
      <c r="AB232" s="78"/>
      <c r="AC232" s="78"/>
      <c r="AD232" s="78"/>
      <c r="AE232" s="78"/>
      <c r="AF232" s="78"/>
      <c r="AG232" s="78"/>
      <c r="AH232" s="78"/>
      <c r="AI232" s="78"/>
      <c r="AJ232" s="78"/>
      <c r="AK232" s="78"/>
      <c r="AL232" s="78"/>
      <c r="AM232" s="78"/>
      <c r="AN232" s="78"/>
      <c r="AO232" s="78"/>
      <c r="AP232" s="78"/>
      <c r="AQ232" s="78"/>
      <c r="AR232" s="78"/>
      <c r="AS232" s="78"/>
      <c r="AT232" s="78"/>
      <c r="AU232" s="78"/>
      <c r="AV232" s="78"/>
      <c r="AW232" s="78"/>
      <c r="AX232" s="78"/>
      <c r="AY232" s="78"/>
      <c r="AZ232" s="78"/>
      <c r="BA232" s="78"/>
      <c r="BB232" s="78"/>
      <c r="BC232" s="78"/>
    </row>
    <row r="233">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c r="AX233" s="78"/>
      <c r="AY233" s="78"/>
      <c r="AZ233" s="78"/>
      <c r="BA233" s="78"/>
      <c r="BB233" s="78"/>
      <c r="BC233" s="78"/>
    </row>
    <row r="234">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c r="AA234" s="78"/>
      <c r="AB234" s="78"/>
      <c r="AC234" s="78"/>
      <c r="AD234" s="78"/>
      <c r="AE234" s="78"/>
      <c r="AF234" s="78"/>
      <c r="AG234" s="78"/>
      <c r="AH234" s="78"/>
      <c r="AI234" s="78"/>
      <c r="AJ234" s="78"/>
      <c r="AK234" s="78"/>
      <c r="AL234" s="78"/>
      <c r="AM234" s="78"/>
      <c r="AN234" s="78"/>
      <c r="AO234" s="78"/>
      <c r="AP234" s="78"/>
      <c r="AQ234" s="78"/>
      <c r="AR234" s="78"/>
      <c r="AS234" s="78"/>
      <c r="AT234" s="78"/>
      <c r="AU234" s="78"/>
      <c r="AV234" s="78"/>
      <c r="AW234" s="78"/>
      <c r="AX234" s="78"/>
      <c r="AY234" s="78"/>
      <c r="AZ234" s="78"/>
      <c r="BA234" s="78"/>
      <c r="BB234" s="78"/>
      <c r="BC234" s="78"/>
    </row>
    <row r="235">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row>
    <row r="236">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c r="AA236" s="78"/>
      <c r="AB236" s="78"/>
      <c r="AC236" s="78"/>
      <c r="AD236" s="78"/>
      <c r="AE236" s="78"/>
      <c r="AF236" s="78"/>
      <c r="AG236" s="78"/>
      <c r="AH236" s="78"/>
      <c r="AI236" s="78"/>
      <c r="AJ236" s="78"/>
      <c r="AK236" s="78"/>
      <c r="AL236" s="78"/>
      <c r="AM236" s="78"/>
      <c r="AN236" s="78"/>
      <c r="AO236" s="78"/>
      <c r="AP236" s="78"/>
      <c r="AQ236" s="78"/>
      <c r="AR236" s="78"/>
      <c r="AS236" s="78"/>
      <c r="AT236" s="78"/>
      <c r="AU236" s="78"/>
      <c r="AV236" s="78"/>
      <c r="AW236" s="78"/>
      <c r="AX236" s="78"/>
      <c r="AY236" s="78"/>
      <c r="AZ236" s="78"/>
      <c r="BA236" s="78"/>
      <c r="BB236" s="78"/>
      <c r="BC236" s="78"/>
    </row>
    <row r="237">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c r="AA237" s="78"/>
      <c r="AB237" s="78"/>
      <c r="AC237" s="78"/>
      <c r="AD237" s="78"/>
      <c r="AE237" s="78"/>
      <c r="AF237" s="78"/>
      <c r="AG237" s="78"/>
      <c r="AH237" s="78"/>
      <c r="AI237" s="78"/>
      <c r="AJ237" s="78"/>
      <c r="AK237" s="78"/>
      <c r="AL237" s="78"/>
      <c r="AM237" s="78"/>
      <c r="AN237" s="78"/>
      <c r="AO237" s="78"/>
      <c r="AP237" s="78"/>
      <c r="AQ237" s="78"/>
      <c r="AR237" s="78"/>
      <c r="AS237" s="78"/>
      <c r="AT237" s="78"/>
      <c r="AU237" s="78"/>
      <c r="AV237" s="78"/>
      <c r="AW237" s="78"/>
      <c r="AX237" s="78"/>
      <c r="AY237" s="78"/>
      <c r="AZ237" s="78"/>
      <c r="BA237" s="78"/>
      <c r="BB237" s="78"/>
      <c r="BC237" s="78"/>
    </row>
    <row r="238">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c r="AA238" s="78"/>
      <c r="AB238" s="78"/>
      <c r="AC238" s="78"/>
      <c r="AD238" s="78"/>
      <c r="AE238" s="78"/>
      <c r="AF238" s="78"/>
      <c r="AG238" s="78"/>
      <c r="AH238" s="78"/>
      <c r="AI238" s="78"/>
      <c r="AJ238" s="78"/>
      <c r="AK238" s="78"/>
      <c r="AL238" s="78"/>
      <c r="AM238" s="78"/>
      <c r="AN238" s="78"/>
      <c r="AO238" s="78"/>
      <c r="AP238" s="78"/>
      <c r="AQ238" s="78"/>
      <c r="AR238" s="78"/>
      <c r="AS238" s="78"/>
      <c r="AT238" s="78"/>
      <c r="AU238" s="78"/>
      <c r="AV238" s="78"/>
      <c r="AW238" s="78"/>
      <c r="AX238" s="78"/>
      <c r="AY238" s="78"/>
      <c r="AZ238" s="78"/>
      <c r="BA238" s="78"/>
      <c r="BB238" s="78"/>
      <c r="BC238" s="78"/>
    </row>
    <row r="239">
      <c r="A239" s="7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c r="AA239" s="78"/>
      <c r="AB239" s="78"/>
      <c r="AC239" s="78"/>
      <c r="AD239" s="78"/>
      <c r="AE239" s="78"/>
      <c r="AF239" s="78"/>
      <c r="AG239" s="78"/>
      <c r="AH239" s="78"/>
      <c r="AI239" s="78"/>
      <c r="AJ239" s="78"/>
      <c r="AK239" s="78"/>
      <c r="AL239" s="78"/>
      <c r="AM239" s="78"/>
      <c r="AN239" s="78"/>
      <c r="AO239" s="78"/>
      <c r="AP239" s="78"/>
      <c r="AQ239" s="78"/>
      <c r="AR239" s="78"/>
      <c r="AS239" s="78"/>
      <c r="AT239" s="78"/>
      <c r="AU239" s="78"/>
      <c r="AV239" s="78"/>
      <c r="AW239" s="78"/>
      <c r="AX239" s="78"/>
      <c r="AY239" s="78"/>
      <c r="AZ239" s="78"/>
      <c r="BA239" s="78"/>
      <c r="BB239" s="78"/>
      <c r="BC239" s="78"/>
    </row>
    <row r="240">
      <c r="A240" s="7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c r="AA240" s="78"/>
      <c r="AB240" s="78"/>
      <c r="AC240" s="78"/>
      <c r="AD240" s="78"/>
      <c r="AE240" s="78"/>
      <c r="AF240" s="78"/>
      <c r="AG240" s="78"/>
      <c r="AH240" s="78"/>
      <c r="AI240" s="78"/>
      <c r="AJ240" s="78"/>
      <c r="AK240" s="78"/>
      <c r="AL240" s="78"/>
      <c r="AM240" s="78"/>
      <c r="AN240" s="78"/>
      <c r="AO240" s="78"/>
      <c r="AP240" s="78"/>
      <c r="AQ240" s="78"/>
      <c r="AR240" s="78"/>
      <c r="AS240" s="78"/>
      <c r="AT240" s="78"/>
      <c r="AU240" s="78"/>
      <c r="AV240" s="78"/>
      <c r="AW240" s="78"/>
      <c r="AX240" s="78"/>
      <c r="AY240" s="78"/>
      <c r="AZ240" s="78"/>
      <c r="BA240" s="78"/>
      <c r="BB240" s="78"/>
      <c r="BC240" s="78"/>
    </row>
    <row r="241">
      <c r="A241" s="7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c r="AA241" s="78"/>
      <c r="AB241" s="78"/>
      <c r="AC241" s="78"/>
      <c r="AD241" s="78"/>
      <c r="AE241" s="78"/>
      <c r="AF241" s="78"/>
      <c r="AG241" s="78"/>
      <c r="AH241" s="78"/>
      <c r="AI241" s="78"/>
      <c r="AJ241" s="78"/>
      <c r="AK241" s="78"/>
      <c r="AL241" s="78"/>
      <c r="AM241" s="78"/>
      <c r="AN241" s="78"/>
      <c r="AO241" s="78"/>
      <c r="AP241" s="78"/>
      <c r="AQ241" s="78"/>
      <c r="AR241" s="78"/>
      <c r="AS241" s="78"/>
      <c r="AT241" s="78"/>
      <c r="AU241" s="78"/>
      <c r="AV241" s="78"/>
      <c r="AW241" s="78"/>
      <c r="AX241" s="78"/>
      <c r="AY241" s="78"/>
      <c r="AZ241" s="78"/>
      <c r="BA241" s="78"/>
      <c r="BB241" s="78"/>
      <c r="BC241" s="78"/>
    </row>
    <row r="242">
      <c r="A242" s="7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c r="AM242" s="78"/>
      <c r="AN242" s="78"/>
      <c r="AO242" s="78"/>
      <c r="AP242" s="78"/>
      <c r="AQ242" s="78"/>
      <c r="AR242" s="78"/>
      <c r="AS242" s="78"/>
      <c r="AT242" s="78"/>
      <c r="AU242" s="78"/>
      <c r="AV242" s="78"/>
      <c r="AW242" s="78"/>
      <c r="AX242" s="78"/>
      <c r="AY242" s="78"/>
      <c r="AZ242" s="78"/>
      <c r="BA242" s="78"/>
      <c r="BB242" s="78"/>
      <c r="BC242" s="78"/>
    </row>
    <row r="243">
      <c r="A243" s="7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c r="AA243" s="78"/>
      <c r="AB243" s="78"/>
      <c r="AC243" s="78"/>
      <c r="AD243" s="78"/>
      <c r="AE243" s="78"/>
      <c r="AF243" s="78"/>
      <c r="AG243" s="78"/>
      <c r="AH243" s="78"/>
      <c r="AI243" s="78"/>
      <c r="AJ243" s="78"/>
      <c r="AK243" s="78"/>
      <c r="AL243" s="78"/>
      <c r="AM243" s="78"/>
      <c r="AN243" s="78"/>
      <c r="AO243" s="78"/>
      <c r="AP243" s="78"/>
      <c r="AQ243" s="78"/>
      <c r="AR243" s="78"/>
      <c r="AS243" s="78"/>
      <c r="AT243" s="78"/>
      <c r="AU243" s="78"/>
      <c r="AV243" s="78"/>
      <c r="AW243" s="78"/>
      <c r="AX243" s="78"/>
      <c r="AY243" s="78"/>
      <c r="AZ243" s="78"/>
      <c r="BA243" s="78"/>
      <c r="BB243" s="78"/>
      <c r="BC243" s="78"/>
    </row>
    <row r="244">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row>
    <row r="245">
      <c r="A245" s="7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c r="AA245" s="78"/>
      <c r="AB245" s="78"/>
      <c r="AC245" s="78"/>
      <c r="AD245" s="78"/>
      <c r="AE245" s="78"/>
      <c r="AF245" s="78"/>
      <c r="AG245" s="78"/>
      <c r="AH245" s="78"/>
      <c r="AI245" s="78"/>
      <c r="AJ245" s="78"/>
      <c r="AK245" s="78"/>
      <c r="AL245" s="78"/>
      <c r="AM245" s="78"/>
      <c r="AN245" s="78"/>
      <c r="AO245" s="78"/>
      <c r="AP245" s="78"/>
      <c r="AQ245" s="78"/>
      <c r="AR245" s="78"/>
      <c r="AS245" s="78"/>
      <c r="AT245" s="78"/>
      <c r="AU245" s="78"/>
      <c r="AV245" s="78"/>
      <c r="AW245" s="78"/>
      <c r="AX245" s="78"/>
      <c r="AY245" s="78"/>
      <c r="AZ245" s="78"/>
      <c r="BA245" s="78"/>
      <c r="BB245" s="78"/>
      <c r="BC245" s="78"/>
    </row>
    <row r="246">
      <c r="A246" s="7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c r="AA246" s="78"/>
      <c r="AB246" s="78"/>
      <c r="AC246" s="78"/>
      <c r="AD246" s="78"/>
      <c r="AE246" s="78"/>
      <c r="AF246" s="78"/>
      <c r="AG246" s="78"/>
      <c r="AH246" s="78"/>
      <c r="AI246" s="78"/>
      <c r="AJ246" s="78"/>
      <c r="AK246" s="78"/>
      <c r="AL246" s="78"/>
      <c r="AM246" s="78"/>
      <c r="AN246" s="78"/>
      <c r="AO246" s="78"/>
      <c r="AP246" s="78"/>
      <c r="AQ246" s="78"/>
      <c r="AR246" s="78"/>
      <c r="AS246" s="78"/>
      <c r="AT246" s="78"/>
      <c r="AU246" s="78"/>
      <c r="AV246" s="78"/>
      <c r="AW246" s="78"/>
      <c r="AX246" s="78"/>
      <c r="AY246" s="78"/>
      <c r="AZ246" s="78"/>
      <c r="BA246" s="78"/>
      <c r="BB246" s="78"/>
      <c r="BC246" s="78"/>
    </row>
    <row r="247">
      <c r="A247" s="7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c r="AC247" s="78"/>
      <c r="AD247" s="78"/>
      <c r="AE247" s="78"/>
      <c r="AF247" s="78"/>
      <c r="AG247" s="78"/>
      <c r="AH247" s="78"/>
      <c r="AI247" s="78"/>
      <c r="AJ247" s="78"/>
      <c r="AK247" s="78"/>
      <c r="AL247" s="78"/>
      <c r="AM247" s="78"/>
      <c r="AN247" s="78"/>
      <c r="AO247" s="78"/>
      <c r="AP247" s="78"/>
      <c r="AQ247" s="78"/>
      <c r="AR247" s="78"/>
      <c r="AS247" s="78"/>
      <c r="AT247" s="78"/>
      <c r="AU247" s="78"/>
      <c r="AV247" s="78"/>
      <c r="AW247" s="78"/>
      <c r="AX247" s="78"/>
      <c r="AY247" s="78"/>
      <c r="AZ247" s="78"/>
      <c r="BA247" s="78"/>
      <c r="BB247" s="78"/>
      <c r="BC247" s="78"/>
    </row>
    <row r="248">
      <c r="A248" s="7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c r="AA248" s="78"/>
      <c r="AB248" s="78"/>
      <c r="AC248" s="78"/>
      <c r="AD248" s="78"/>
      <c r="AE248" s="78"/>
      <c r="AF248" s="78"/>
      <c r="AG248" s="78"/>
      <c r="AH248" s="78"/>
      <c r="AI248" s="78"/>
      <c r="AJ248" s="78"/>
      <c r="AK248" s="78"/>
      <c r="AL248" s="78"/>
      <c r="AM248" s="78"/>
      <c r="AN248" s="78"/>
      <c r="AO248" s="78"/>
      <c r="AP248" s="78"/>
      <c r="AQ248" s="78"/>
      <c r="AR248" s="78"/>
      <c r="AS248" s="78"/>
      <c r="AT248" s="78"/>
      <c r="AU248" s="78"/>
      <c r="AV248" s="78"/>
      <c r="AW248" s="78"/>
      <c r="AX248" s="78"/>
      <c r="AY248" s="78"/>
      <c r="AZ248" s="78"/>
      <c r="BA248" s="78"/>
      <c r="BB248" s="78"/>
      <c r="BC248" s="78"/>
    </row>
    <row r="249">
      <c r="A249" s="7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c r="AA249" s="78"/>
      <c r="AB249" s="78"/>
      <c r="AC249" s="78"/>
      <c r="AD249" s="78"/>
      <c r="AE249" s="78"/>
      <c r="AF249" s="78"/>
      <c r="AG249" s="78"/>
      <c r="AH249" s="78"/>
      <c r="AI249" s="78"/>
      <c r="AJ249" s="78"/>
      <c r="AK249" s="78"/>
      <c r="AL249" s="78"/>
      <c r="AM249" s="78"/>
      <c r="AN249" s="78"/>
      <c r="AO249" s="78"/>
      <c r="AP249" s="78"/>
      <c r="AQ249" s="78"/>
      <c r="AR249" s="78"/>
      <c r="AS249" s="78"/>
      <c r="AT249" s="78"/>
      <c r="AU249" s="78"/>
      <c r="AV249" s="78"/>
      <c r="AW249" s="78"/>
      <c r="AX249" s="78"/>
      <c r="AY249" s="78"/>
      <c r="AZ249" s="78"/>
      <c r="BA249" s="78"/>
      <c r="BB249" s="78"/>
      <c r="BC249" s="78"/>
    </row>
    <row r="250">
      <c r="A250" s="7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c r="AA250" s="78"/>
      <c r="AB250" s="78"/>
      <c r="AC250" s="78"/>
      <c r="AD250" s="78"/>
      <c r="AE250" s="78"/>
      <c r="AF250" s="78"/>
      <c r="AG250" s="78"/>
      <c r="AH250" s="78"/>
      <c r="AI250" s="78"/>
      <c r="AJ250" s="78"/>
      <c r="AK250" s="78"/>
      <c r="AL250" s="78"/>
      <c r="AM250" s="78"/>
      <c r="AN250" s="78"/>
      <c r="AO250" s="78"/>
      <c r="AP250" s="78"/>
      <c r="AQ250" s="78"/>
      <c r="AR250" s="78"/>
      <c r="AS250" s="78"/>
      <c r="AT250" s="78"/>
      <c r="AU250" s="78"/>
      <c r="AV250" s="78"/>
      <c r="AW250" s="78"/>
      <c r="AX250" s="78"/>
      <c r="AY250" s="78"/>
      <c r="AZ250" s="78"/>
      <c r="BA250" s="78"/>
      <c r="BB250" s="78"/>
      <c r="BC250" s="78"/>
    </row>
    <row r="251">
      <c r="A251" s="7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c r="AE251" s="78"/>
      <c r="AF251" s="78"/>
      <c r="AG251" s="78"/>
      <c r="AH251" s="78"/>
      <c r="AI251" s="78"/>
      <c r="AJ251" s="78"/>
      <c r="AK251" s="78"/>
      <c r="AL251" s="78"/>
      <c r="AM251" s="78"/>
      <c r="AN251" s="78"/>
      <c r="AO251" s="78"/>
      <c r="AP251" s="78"/>
      <c r="AQ251" s="78"/>
      <c r="AR251" s="78"/>
      <c r="AS251" s="78"/>
      <c r="AT251" s="78"/>
      <c r="AU251" s="78"/>
      <c r="AV251" s="78"/>
      <c r="AW251" s="78"/>
      <c r="AX251" s="78"/>
      <c r="AY251" s="78"/>
      <c r="AZ251" s="78"/>
      <c r="BA251" s="78"/>
      <c r="BB251" s="78"/>
      <c r="BC251" s="78"/>
    </row>
    <row r="252">
      <c r="A252" s="7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c r="AA252" s="78"/>
      <c r="AB252" s="78"/>
      <c r="AC252" s="78"/>
      <c r="AD252" s="78"/>
      <c r="AE252" s="78"/>
      <c r="AF252" s="78"/>
      <c r="AG252" s="78"/>
      <c r="AH252" s="78"/>
      <c r="AI252" s="78"/>
      <c r="AJ252" s="78"/>
      <c r="AK252" s="78"/>
      <c r="AL252" s="78"/>
      <c r="AM252" s="78"/>
      <c r="AN252" s="78"/>
      <c r="AO252" s="78"/>
      <c r="AP252" s="78"/>
      <c r="AQ252" s="78"/>
      <c r="AR252" s="78"/>
      <c r="AS252" s="78"/>
      <c r="AT252" s="78"/>
      <c r="AU252" s="78"/>
      <c r="AV252" s="78"/>
      <c r="AW252" s="78"/>
      <c r="AX252" s="78"/>
      <c r="AY252" s="78"/>
      <c r="AZ252" s="78"/>
      <c r="BA252" s="78"/>
      <c r="BB252" s="78"/>
      <c r="BC252" s="78"/>
    </row>
    <row r="253">
      <c r="A253" s="7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c r="AA253" s="78"/>
      <c r="AB253" s="78"/>
      <c r="AC253" s="78"/>
      <c r="AD253" s="78"/>
      <c r="AE253" s="78"/>
      <c r="AF253" s="78"/>
      <c r="AG253" s="78"/>
      <c r="AH253" s="78"/>
      <c r="AI253" s="78"/>
      <c r="AJ253" s="78"/>
      <c r="AK253" s="78"/>
      <c r="AL253" s="78"/>
      <c r="AM253" s="78"/>
      <c r="AN253" s="78"/>
      <c r="AO253" s="78"/>
      <c r="AP253" s="78"/>
      <c r="AQ253" s="78"/>
      <c r="AR253" s="78"/>
      <c r="AS253" s="78"/>
      <c r="AT253" s="78"/>
      <c r="AU253" s="78"/>
      <c r="AV253" s="78"/>
      <c r="AW253" s="78"/>
      <c r="AX253" s="78"/>
      <c r="AY253" s="78"/>
      <c r="AZ253" s="78"/>
      <c r="BA253" s="78"/>
      <c r="BB253" s="78"/>
      <c r="BC253" s="78"/>
    </row>
    <row r="254">
      <c r="A254" s="7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c r="AE254" s="78"/>
      <c r="AF254" s="78"/>
      <c r="AG254" s="78"/>
      <c r="AH254" s="78"/>
      <c r="AI254" s="78"/>
      <c r="AJ254" s="78"/>
      <c r="AK254" s="78"/>
      <c r="AL254" s="78"/>
      <c r="AM254" s="78"/>
      <c r="AN254" s="78"/>
      <c r="AO254" s="78"/>
      <c r="AP254" s="78"/>
      <c r="AQ254" s="78"/>
      <c r="AR254" s="78"/>
      <c r="AS254" s="78"/>
      <c r="AT254" s="78"/>
      <c r="AU254" s="78"/>
      <c r="AV254" s="78"/>
      <c r="AW254" s="78"/>
      <c r="AX254" s="78"/>
      <c r="AY254" s="78"/>
      <c r="AZ254" s="78"/>
      <c r="BA254" s="78"/>
      <c r="BB254" s="78"/>
      <c r="BC254" s="78"/>
    </row>
    <row r="255">
      <c r="A255" s="7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c r="AQ255" s="78"/>
      <c r="AR255" s="78"/>
      <c r="AS255" s="78"/>
      <c r="AT255" s="78"/>
      <c r="AU255" s="78"/>
      <c r="AV255" s="78"/>
      <c r="AW255" s="78"/>
      <c r="AX255" s="78"/>
      <c r="AY255" s="78"/>
      <c r="AZ255" s="78"/>
      <c r="BA255" s="78"/>
      <c r="BB255" s="78"/>
      <c r="BC255" s="78"/>
    </row>
    <row r="256">
      <c r="A256" s="7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row>
    <row r="257">
      <c r="A257" s="7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c r="AA257" s="78"/>
      <c r="AB257" s="78"/>
      <c r="AC257" s="78"/>
      <c r="AD257" s="78"/>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row>
    <row r="258">
      <c r="A258" s="7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row>
    <row r="259">
      <c r="A259" s="7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c r="AA259" s="78"/>
      <c r="AB259" s="78"/>
      <c r="AC259" s="78"/>
      <c r="AD259" s="78"/>
      <c r="AE259" s="78"/>
      <c r="AF259" s="78"/>
      <c r="AG259" s="78"/>
      <c r="AH259" s="78"/>
      <c r="AI259" s="78"/>
      <c r="AJ259" s="78"/>
      <c r="AK259" s="78"/>
      <c r="AL259" s="78"/>
      <c r="AM259" s="78"/>
      <c r="AN259" s="78"/>
      <c r="AO259" s="78"/>
      <c r="AP259" s="78"/>
      <c r="AQ259" s="78"/>
      <c r="AR259" s="78"/>
      <c r="AS259" s="78"/>
      <c r="AT259" s="78"/>
      <c r="AU259" s="78"/>
      <c r="AV259" s="78"/>
      <c r="AW259" s="78"/>
      <c r="AX259" s="78"/>
      <c r="AY259" s="78"/>
      <c r="AZ259" s="78"/>
      <c r="BA259" s="78"/>
      <c r="BB259" s="78"/>
      <c r="BC259" s="78"/>
    </row>
    <row r="260">
      <c r="A260" s="7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c r="AA260" s="78"/>
      <c r="AB260" s="78"/>
      <c r="AC260" s="78"/>
      <c r="AD260" s="78"/>
      <c r="AE260" s="78"/>
      <c r="AF260" s="78"/>
      <c r="AG260" s="78"/>
      <c r="AH260" s="78"/>
      <c r="AI260" s="78"/>
      <c r="AJ260" s="78"/>
      <c r="AK260" s="78"/>
      <c r="AL260" s="78"/>
      <c r="AM260" s="78"/>
      <c r="AN260" s="78"/>
      <c r="AO260" s="78"/>
      <c r="AP260" s="78"/>
      <c r="AQ260" s="78"/>
      <c r="AR260" s="78"/>
      <c r="AS260" s="78"/>
      <c r="AT260" s="78"/>
      <c r="AU260" s="78"/>
      <c r="AV260" s="78"/>
      <c r="AW260" s="78"/>
      <c r="AX260" s="78"/>
      <c r="AY260" s="78"/>
      <c r="AZ260" s="78"/>
      <c r="BA260" s="78"/>
      <c r="BB260" s="78"/>
      <c r="BC260" s="78"/>
    </row>
    <row r="261">
      <c r="A261" s="7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c r="AA261" s="78"/>
      <c r="AB261" s="78"/>
      <c r="AC261" s="78"/>
      <c r="AD261" s="78"/>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row>
    <row r="262">
      <c r="A262" s="7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c r="AA262" s="78"/>
      <c r="AB262" s="78"/>
      <c r="AC262" s="78"/>
      <c r="AD262" s="78"/>
      <c r="AE262" s="78"/>
      <c r="AF262" s="78"/>
      <c r="AG262" s="78"/>
      <c r="AH262" s="78"/>
      <c r="AI262" s="78"/>
      <c r="AJ262" s="78"/>
      <c r="AK262" s="78"/>
      <c r="AL262" s="78"/>
      <c r="AM262" s="78"/>
      <c r="AN262" s="78"/>
      <c r="AO262" s="78"/>
      <c r="AP262" s="78"/>
      <c r="AQ262" s="78"/>
      <c r="AR262" s="78"/>
      <c r="AS262" s="78"/>
      <c r="AT262" s="78"/>
      <c r="AU262" s="78"/>
      <c r="AV262" s="78"/>
      <c r="AW262" s="78"/>
      <c r="AX262" s="78"/>
      <c r="AY262" s="78"/>
      <c r="AZ262" s="78"/>
      <c r="BA262" s="78"/>
      <c r="BB262" s="78"/>
      <c r="BC262" s="78"/>
    </row>
    <row r="263">
      <c r="A263" s="7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c r="AA263" s="78"/>
      <c r="AB263" s="78"/>
      <c r="AC263" s="78"/>
      <c r="AD263" s="78"/>
      <c r="AE263" s="78"/>
      <c r="AF263" s="78"/>
      <c r="AG263" s="78"/>
      <c r="AH263" s="78"/>
      <c r="AI263" s="78"/>
      <c r="AJ263" s="78"/>
      <c r="AK263" s="78"/>
      <c r="AL263" s="78"/>
      <c r="AM263" s="78"/>
      <c r="AN263" s="78"/>
      <c r="AO263" s="78"/>
      <c r="AP263" s="78"/>
      <c r="AQ263" s="78"/>
      <c r="AR263" s="78"/>
      <c r="AS263" s="78"/>
      <c r="AT263" s="78"/>
      <c r="AU263" s="78"/>
      <c r="AV263" s="78"/>
      <c r="AW263" s="78"/>
      <c r="AX263" s="78"/>
      <c r="AY263" s="78"/>
      <c r="AZ263" s="78"/>
      <c r="BA263" s="78"/>
      <c r="BB263" s="78"/>
      <c r="BC263" s="78"/>
    </row>
    <row r="264">
      <c r="A264" s="7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c r="AA264" s="78"/>
      <c r="AB264" s="78"/>
      <c r="AC264" s="78"/>
      <c r="AD264" s="78"/>
      <c r="AE264" s="78"/>
      <c r="AF264" s="78"/>
      <c r="AG264" s="78"/>
      <c r="AH264" s="78"/>
      <c r="AI264" s="78"/>
      <c r="AJ264" s="78"/>
      <c r="AK264" s="78"/>
      <c r="AL264" s="78"/>
      <c r="AM264" s="78"/>
      <c r="AN264" s="78"/>
      <c r="AO264" s="78"/>
      <c r="AP264" s="78"/>
      <c r="AQ264" s="78"/>
      <c r="AR264" s="78"/>
      <c r="AS264" s="78"/>
      <c r="AT264" s="78"/>
      <c r="AU264" s="78"/>
      <c r="AV264" s="78"/>
      <c r="AW264" s="78"/>
      <c r="AX264" s="78"/>
      <c r="AY264" s="78"/>
      <c r="AZ264" s="78"/>
      <c r="BA264" s="78"/>
      <c r="BB264" s="78"/>
      <c r="BC264" s="78"/>
    </row>
    <row r="265">
      <c r="A265" s="7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row>
    <row r="266">
      <c r="A266" s="7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row>
    <row r="267">
      <c r="A267" s="7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c r="AA267" s="78"/>
      <c r="AB267" s="78"/>
      <c r="AC267" s="78"/>
      <c r="AD267" s="78"/>
      <c r="AE267" s="78"/>
      <c r="AF267" s="78"/>
      <c r="AG267" s="78"/>
      <c r="AH267" s="78"/>
      <c r="AI267" s="78"/>
      <c r="AJ267" s="78"/>
      <c r="AK267" s="78"/>
      <c r="AL267" s="78"/>
      <c r="AM267" s="78"/>
      <c r="AN267" s="78"/>
      <c r="AO267" s="78"/>
      <c r="AP267" s="78"/>
      <c r="AQ267" s="78"/>
      <c r="AR267" s="78"/>
      <c r="AS267" s="78"/>
      <c r="AT267" s="78"/>
      <c r="AU267" s="78"/>
      <c r="AV267" s="78"/>
      <c r="AW267" s="78"/>
      <c r="AX267" s="78"/>
      <c r="AY267" s="78"/>
      <c r="AZ267" s="78"/>
      <c r="BA267" s="78"/>
      <c r="BB267" s="78"/>
      <c r="BC267" s="78"/>
    </row>
    <row r="268">
      <c r="A268" s="7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c r="AA268" s="78"/>
      <c r="AB268" s="78"/>
      <c r="AC268" s="78"/>
      <c r="AD268" s="78"/>
      <c r="AE268" s="78"/>
      <c r="AF268" s="78"/>
      <c r="AG268" s="78"/>
      <c r="AH268" s="78"/>
      <c r="AI268" s="78"/>
      <c r="AJ268" s="78"/>
      <c r="AK268" s="78"/>
      <c r="AL268" s="78"/>
      <c r="AM268" s="78"/>
      <c r="AN268" s="78"/>
      <c r="AO268" s="78"/>
      <c r="AP268" s="78"/>
      <c r="AQ268" s="78"/>
      <c r="AR268" s="78"/>
      <c r="AS268" s="78"/>
      <c r="AT268" s="78"/>
      <c r="AU268" s="78"/>
      <c r="AV268" s="78"/>
      <c r="AW268" s="78"/>
      <c r="AX268" s="78"/>
      <c r="AY268" s="78"/>
      <c r="AZ268" s="78"/>
      <c r="BA268" s="78"/>
      <c r="BB268" s="78"/>
      <c r="BC268" s="78"/>
    </row>
    <row r="269">
      <c r="A269" s="7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c r="AA269" s="78"/>
      <c r="AB269" s="78"/>
      <c r="AC269" s="78"/>
      <c r="AD269" s="78"/>
      <c r="AE269" s="78"/>
      <c r="AF269" s="78"/>
      <c r="AG269" s="78"/>
      <c r="AH269" s="78"/>
      <c r="AI269" s="78"/>
      <c r="AJ269" s="78"/>
      <c r="AK269" s="78"/>
      <c r="AL269" s="78"/>
      <c r="AM269" s="78"/>
      <c r="AN269" s="78"/>
      <c r="AO269" s="78"/>
      <c r="AP269" s="78"/>
      <c r="AQ269" s="78"/>
      <c r="AR269" s="78"/>
      <c r="AS269" s="78"/>
      <c r="AT269" s="78"/>
      <c r="AU269" s="78"/>
      <c r="AV269" s="78"/>
      <c r="AW269" s="78"/>
      <c r="AX269" s="78"/>
      <c r="AY269" s="78"/>
      <c r="AZ269" s="78"/>
      <c r="BA269" s="78"/>
      <c r="BB269" s="78"/>
      <c r="BC269" s="78"/>
    </row>
    <row r="270">
      <c r="A270" s="7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c r="AE270" s="78"/>
      <c r="AF270" s="78"/>
      <c r="AG270" s="78"/>
      <c r="AH270" s="78"/>
      <c r="AI270" s="78"/>
      <c r="AJ270" s="78"/>
      <c r="AK270" s="78"/>
      <c r="AL270" s="78"/>
      <c r="AM270" s="78"/>
      <c r="AN270" s="78"/>
      <c r="AO270" s="78"/>
      <c r="AP270" s="78"/>
      <c r="AQ270" s="78"/>
      <c r="AR270" s="78"/>
      <c r="AS270" s="78"/>
      <c r="AT270" s="78"/>
      <c r="AU270" s="78"/>
      <c r="AV270" s="78"/>
      <c r="AW270" s="78"/>
      <c r="AX270" s="78"/>
      <c r="AY270" s="78"/>
      <c r="AZ270" s="78"/>
      <c r="BA270" s="78"/>
      <c r="BB270" s="78"/>
      <c r="BC270" s="78"/>
    </row>
    <row r="271">
      <c r="A271" s="7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c r="AC271" s="78"/>
      <c r="AD271" s="78"/>
      <c r="AE271" s="78"/>
      <c r="AF271" s="78"/>
      <c r="AG271" s="78"/>
      <c r="AH271" s="78"/>
      <c r="AI271" s="78"/>
      <c r="AJ271" s="78"/>
      <c r="AK271" s="78"/>
      <c r="AL271" s="78"/>
      <c r="AM271" s="78"/>
      <c r="AN271" s="78"/>
      <c r="AO271" s="78"/>
      <c r="AP271" s="78"/>
      <c r="AQ271" s="78"/>
      <c r="AR271" s="78"/>
      <c r="AS271" s="78"/>
      <c r="AT271" s="78"/>
      <c r="AU271" s="78"/>
      <c r="AV271" s="78"/>
      <c r="AW271" s="78"/>
      <c r="AX271" s="78"/>
      <c r="AY271" s="78"/>
      <c r="AZ271" s="78"/>
      <c r="BA271" s="78"/>
      <c r="BB271" s="78"/>
      <c r="BC271" s="78"/>
    </row>
    <row r="272">
      <c r="A272" s="7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c r="AA272" s="78"/>
      <c r="AB272" s="78"/>
      <c r="AC272" s="78"/>
      <c r="AD272" s="78"/>
      <c r="AE272" s="78"/>
      <c r="AF272" s="78"/>
      <c r="AG272" s="78"/>
      <c r="AH272" s="78"/>
      <c r="AI272" s="78"/>
      <c r="AJ272" s="78"/>
      <c r="AK272" s="78"/>
      <c r="AL272" s="78"/>
      <c r="AM272" s="78"/>
      <c r="AN272" s="78"/>
      <c r="AO272" s="78"/>
      <c r="AP272" s="78"/>
      <c r="AQ272" s="78"/>
      <c r="AR272" s="78"/>
      <c r="AS272" s="78"/>
      <c r="AT272" s="78"/>
      <c r="AU272" s="78"/>
      <c r="AV272" s="78"/>
      <c r="AW272" s="78"/>
      <c r="AX272" s="78"/>
      <c r="AY272" s="78"/>
      <c r="AZ272" s="78"/>
      <c r="BA272" s="78"/>
      <c r="BB272" s="78"/>
      <c r="BC272" s="78"/>
    </row>
    <row r="273">
      <c r="A273" s="7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c r="AA273" s="78"/>
      <c r="AB273" s="78"/>
      <c r="AC273" s="78"/>
      <c r="AD273" s="78"/>
      <c r="AE273" s="78"/>
      <c r="AF273" s="78"/>
      <c r="AG273" s="78"/>
      <c r="AH273" s="78"/>
      <c r="AI273" s="78"/>
      <c r="AJ273" s="78"/>
      <c r="AK273" s="78"/>
      <c r="AL273" s="78"/>
      <c r="AM273" s="78"/>
      <c r="AN273" s="78"/>
      <c r="AO273" s="78"/>
      <c r="AP273" s="78"/>
      <c r="AQ273" s="78"/>
      <c r="AR273" s="78"/>
      <c r="AS273" s="78"/>
      <c r="AT273" s="78"/>
      <c r="AU273" s="78"/>
      <c r="AV273" s="78"/>
      <c r="AW273" s="78"/>
      <c r="AX273" s="78"/>
      <c r="AY273" s="78"/>
      <c r="AZ273" s="78"/>
      <c r="BA273" s="78"/>
      <c r="BB273" s="78"/>
      <c r="BC273" s="78"/>
    </row>
    <row r="274">
      <c r="A274" s="7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c r="AA274" s="78"/>
      <c r="AB274" s="78"/>
      <c r="AC274" s="78"/>
      <c r="AD274" s="78"/>
      <c r="AE274" s="78"/>
      <c r="AF274" s="78"/>
      <c r="AG274" s="78"/>
      <c r="AH274" s="78"/>
      <c r="AI274" s="78"/>
      <c r="AJ274" s="78"/>
      <c r="AK274" s="78"/>
      <c r="AL274" s="78"/>
      <c r="AM274" s="78"/>
      <c r="AN274" s="78"/>
      <c r="AO274" s="78"/>
      <c r="AP274" s="78"/>
      <c r="AQ274" s="78"/>
      <c r="AR274" s="78"/>
      <c r="AS274" s="78"/>
      <c r="AT274" s="78"/>
      <c r="AU274" s="78"/>
      <c r="AV274" s="78"/>
      <c r="AW274" s="78"/>
      <c r="AX274" s="78"/>
      <c r="AY274" s="78"/>
      <c r="AZ274" s="78"/>
      <c r="BA274" s="78"/>
      <c r="BB274" s="78"/>
      <c r="BC274" s="78"/>
    </row>
    <row r="275">
      <c r="A275" s="7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c r="AA275" s="78"/>
      <c r="AB275" s="78"/>
      <c r="AC275" s="78"/>
      <c r="AD275" s="78"/>
      <c r="AE275" s="78"/>
      <c r="AF275" s="78"/>
      <c r="AG275" s="78"/>
      <c r="AH275" s="78"/>
      <c r="AI275" s="78"/>
      <c r="AJ275" s="78"/>
      <c r="AK275" s="78"/>
      <c r="AL275" s="78"/>
      <c r="AM275" s="78"/>
      <c r="AN275" s="78"/>
      <c r="AO275" s="78"/>
      <c r="AP275" s="78"/>
      <c r="AQ275" s="78"/>
      <c r="AR275" s="78"/>
      <c r="AS275" s="78"/>
      <c r="AT275" s="78"/>
      <c r="AU275" s="78"/>
      <c r="AV275" s="78"/>
      <c r="AW275" s="78"/>
      <c r="AX275" s="78"/>
      <c r="AY275" s="78"/>
      <c r="AZ275" s="78"/>
      <c r="BA275" s="78"/>
      <c r="BB275" s="78"/>
      <c r="BC275" s="78"/>
    </row>
    <row r="276">
      <c r="A276" s="7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c r="AA276" s="78"/>
      <c r="AB276" s="78"/>
      <c r="AC276" s="78"/>
      <c r="AD276" s="78"/>
      <c r="AE276" s="78"/>
      <c r="AF276" s="78"/>
      <c r="AG276" s="78"/>
      <c r="AH276" s="78"/>
      <c r="AI276" s="78"/>
      <c r="AJ276" s="78"/>
      <c r="AK276" s="78"/>
      <c r="AL276" s="78"/>
      <c r="AM276" s="78"/>
      <c r="AN276" s="78"/>
      <c r="AO276" s="78"/>
      <c r="AP276" s="78"/>
      <c r="AQ276" s="78"/>
      <c r="AR276" s="78"/>
      <c r="AS276" s="78"/>
      <c r="AT276" s="78"/>
      <c r="AU276" s="78"/>
      <c r="AV276" s="78"/>
      <c r="AW276" s="78"/>
      <c r="AX276" s="78"/>
      <c r="AY276" s="78"/>
      <c r="AZ276" s="78"/>
      <c r="BA276" s="78"/>
      <c r="BB276" s="78"/>
      <c r="BC276" s="78"/>
    </row>
    <row r="277">
      <c r="A277" s="7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c r="AA277" s="78"/>
      <c r="AB277" s="78"/>
      <c r="AC277" s="78"/>
      <c r="AD277" s="78"/>
      <c r="AE277" s="78"/>
      <c r="AF277" s="78"/>
      <c r="AG277" s="78"/>
      <c r="AH277" s="78"/>
      <c r="AI277" s="78"/>
      <c r="AJ277" s="78"/>
      <c r="AK277" s="78"/>
      <c r="AL277" s="78"/>
      <c r="AM277" s="78"/>
      <c r="AN277" s="78"/>
      <c r="AO277" s="78"/>
      <c r="AP277" s="78"/>
      <c r="AQ277" s="78"/>
      <c r="AR277" s="78"/>
      <c r="AS277" s="78"/>
      <c r="AT277" s="78"/>
      <c r="AU277" s="78"/>
      <c r="AV277" s="78"/>
      <c r="AW277" s="78"/>
      <c r="AX277" s="78"/>
      <c r="AY277" s="78"/>
      <c r="AZ277" s="78"/>
      <c r="BA277" s="78"/>
      <c r="BB277" s="78"/>
      <c r="BC277" s="78"/>
    </row>
    <row r="278">
      <c r="A278" s="7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c r="AT278" s="78"/>
      <c r="AU278" s="78"/>
      <c r="AV278" s="78"/>
      <c r="AW278" s="78"/>
      <c r="AX278" s="78"/>
      <c r="AY278" s="78"/>
      <c r="AZ278" s="78"/>
      <c r="BA278" s="78"/>
      <c r="BB278" s="78"/>
      <c r="BC278" s="78"/>
    </row>
    <row r="279">
      <c r="A279" s="7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c r="AS279" s="78"/>
      <c r="AT279" s="78"/>
      <c r="AU279" s="78"/>
      <c r="AV279" s="78"/>
      <c r="AW279" s="78"/>
      <c r="AX279" s="78"/>
      <c r="AY279" s="78"/>
      <c r="AZ279" s="78"/>
      <c r="BA279" s="78"/>
      <c r="BB279" s="78"/>
      <c r="BC279" s="78"/>
    </row>
    <row r="280">
      <c r="A280" s="7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c r="AM280" s="78"/>
      <c r="AN280" s="78"/>
      <c r="AO280" s="78"/>
      <c r="AP280" s="78"/>
      <c r="AQ280" s="78"/>
      <c r="AR280" s="78"/>
      <c r="AS280" s="78"/>
      <c r="AT280" s="78"/>
      <c r="AU280" s="78"/>
      <c r="AV280" s="78"/>
      <c r="AW280" s="78"/>
      <c r="AX280" s="78"/>
      <c r="AY280" s="78"/>
      <c r="AZ280" s="78"/>
      <c r="BA280" s="78"/>
      <c r="BB280" s="78"/>
      <c r="BC280" s="78"/>
    </row>
    <row r="281">
      <c r="A281" s="7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c r="AA281" s="78"/>
      <c r="AB281" s="78"/>
      <c r="AC281" s="78"/>
      <c r="AD281" s="78"/>
      <c r="AE281" s="78"/>
      <c r="AF281" s="78"/>
      <c r="AG281" s="78"/>
      <c r="AH281" s="78"/>
      <c r="AI281" s="78"/>
      <c r="AJ281" s="78"/>
      <c r="AK281" s="78"/>
      <c r="AL281" s="78"/>
      <c r="AM281" s="78"/>
      <c r="AN281" s="78"/>
      <c r="AO281" s="78"/>
      <c r="AP281" s="78"/>
      <c r="AQ281" s="78"/>
      <c r="AR281" s="78"/>
      <c r="AS281" s="78"/>
      <c r="AT281" s="78"/>
      <c r="AU281" s="78"/>
      <c r="AV281" s="78"/>
      <c r="AW281" s="78"/>
      <c r="AX281" s="78"/>
      <c r="AY281" s="78"/>
      <c r="AZ281" s="78"/>
      <c r="BA281" s="78"/>
      <c r="BB281" s="78"/>
      <c r="BC281" s="78"/>
    </row>
    <row r="282">
      <c r="A282" s="7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c r="AA282" s="78"/>
      <c r="AB282" s="78"/>
      <c r="AC282" s="78"/>
      <c r="AD282" s="78"/>
      <c r="AE282" s="78"/>
      <c r="AF282" s="78"/>
      <c r="AG282" s="78"/>
      <c r="AH282" s="78"/>
      <c r="AI282" s="78"/>
      <c r="AJ282" s="78"/>
      <c r="AK282" s="78"/>
      <c r="AL282" s="78"/>
      <c r="AM282" s="78"/>
      <c r="AN282" s="78"/>
      <c r="AO282" s="78"/>
      <c r="AP282" s="78"/>
      <c r="AQ282" s="78"/>
      <c r="AR282" s="78"/>
      <c r="AS282" s="78"/>
      <c r="AT282" s="78"/>
      <c r="AU282" s="78"/>
      <c r="AV282" s="78"/>
      <c r="AW282" s="78"/>
      <c r="AX282" s="78"/>
      <c r="AY282" s="78"/>
      <c r="AZ282" s="78"/>
      <c r="BA282" s="78"/>
      <c r="BB282" s="78"/>
      <c r="BC282" s="78"/>
    </row>
    <row r="283">
      <c r="A283" s="7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c r="AR283" s="78"/>
      <c r="AS283" s="78"/>
      <c r="AT283" s="78"/>
      <c r="AU283" s="78"/>
      <c r="AV283" s="78"/>
      <c r="AW283" s="78"/>
      <c r="AX283" s="78"/>
      <c r="AY283" s="78"/>
      <c r="AZ283" s="78"/>
      <c r="BA283" s="78"/>
      <c r="BB283" s="78"/>
      <c r="BC283" s="78"/>
    </row>
    <row r="284">
      <c r="A284" s="7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c r="AR284" s="78"/>
      <c r="AS284" s="78"/>
      <c r="AT284" s="78"/>
      <c r="AU284" s="78"/>
      <c r="AV284" s="78"/>
      <c r="AW284" s="78"/>
      <c r="AX284" s="78"/>
      <c r="AY284" s="78"/>
      <c r="AZ284" s="78"/>
      <c r="BA284" s="78"/>
      <c r="BB284" s="78"/>
      <c r="BC284" s="78"/>
    </row>
    <row r="285">
      <c r="A285" s="7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row>
    <row r="286">
      <c r="A286" s="7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c r="AA286" s="78"/>
      <c r="AB286" s="78"/>
      <c r="AC286" s="78"/>
      <c r="AD286" s="78"/>
      <c r="AE286" s="78"/>
      <c r="AF286" s="78"/>
      <c r="AG286" s="78"/>
      <c r="AH286" s="78"/>
      <c r="AI286" s="78"/>
      <c r="AJ286" s="78"/>
      <c r="AK286" s="78"/>
      <c r="AL286" s="78"/>
      <c r="AM286" s="78"/>
      <c r="AN286" s="78"/>
      <c r="AO286" s="78"/>
      <c r="AP286" s="78"/>
      <c r="AQ286" s="78"/>
      <c r="AR286" s="78"/>
      <c r="AS286" s="78"/>
      <c r="AT286" s="78"/>
      <c r="AU286" s="78"/>
      <c r="AV286" s="78"/>
      <c r="AW286" s="78"/>
      <c r="AX286" s="78"/>
      <c r="AY286" s="78"/>
      <c r="AZ286" s="78"/>
      <c r="BA286" s="78"/>
      <c r="BB286" s="78"/>
      <c r="BC286" s="78"/>
    </row>
    <row r="287">
      <c r="A287" s="7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c r="AA287" s="78"/>
      <c r="AB287" s="78"/>
      <c r="AC287" s="78"/>
      <c r="AD287" s="78"/>
      <c r="AE287" s="78"/>
      <c r="AF287" s="78"/>
      <c r="AG287" s="78"/>
      <c r="AH287" s="78"/>
      <c r="AI287" s="78"/>
      <c r="AJ287" s="78"/>
      <c r="AK287" s="78"/>
      <c r="AL287" s="78"/>
      <c r="AM287" s="78"/>
      <c r="AN287" s="78"/>
      <c r="AO287" s="78"/>
      <c r="AP287" s="78"/>
      <c r="AQ287" s="78"/>
      <c r="AR287" s="78"/>
      <c r="AS287" s="78"/>
      <c r="AT287" s="78"/>
      <c r="AU287" s="78"/>
      <c r="AV287" s="78"/>
      <c r="AW287" s="78"/>
      <c r="AX287" s="78"/>
      <c r="AY287" s="78"/>
      <c r="AZ287" s="78"/>
      <c r="BA287" s="78"/>
      <c r="BB287" s="78"/>
      <c r="BC287" s="78"/>
    </row>
    <row r="288">
      <c r="A288" s="7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row>
    <row r="289">
      <c r="A289" s="7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row>
    <row r="290">
      <c r="A290" s="7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row>
    <row r="291">
      <c r="A291" s="7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row>
    <row r="292">
      <c r="A292" s="7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row>
    <row r="293">
      <c r="A293" s="7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row>
    <row r="294">
      <c r="A294" s="7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row>
    <row r="295">
      <c r="A295" s="7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row>
    <row r="296">
      <c r="A296" s="7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row>
    <row r="297">
      <c r="A297" s="7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row>
    <row r="298">
      <c r="A298" s="7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c r="AA298" s="78"/>
      <c r="AB298" s="78"/>
      <c r="AC298" s="78"/>
      <c r="AD298" s="78"/>
      <c r="AE298" s="78"/>
      <c r="AF298" s="78"/>
      <c r="AG298" s="78"/>
      <c r="AH298" s="78"/>
      <c r="AI298" s="78"/>
      <c r="AJ298" s="78"/>
      <c r="AK298" s="78"/>
      <c r="AL298" s="78"/>
      <c r="AM298" s="78"/>
      <c r="AN298" s="78"/>
      <c r="AO298" s="78"/>
      <c r="AP298" s="78"/>
      <c r="AQ298" s="78"/>
      <c r="AR298" s="78"/>
      <c r="AS298" s="78"/>
      <c r="AT298" s="78"/>
      <c r="AU298" s="78"/>
      <c r="AV298" s="78"/>
      <c r="AW298" s="78"/>
      <c r="AX298" s="78"/>
      <c r="AY298" s="78"/>
      <c r="AZ298" s="78"/>
      <c r="BA298" s="78"/>
      <c r="BB298" s="78"/>
      <c r="BC298" s="78"/>
    </row>
    <row r="299">
      <c r="A299" s="7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c r="AA299" s="78"/>
      <c r="AB299" s="78"/>
      <c r="AC299" s="78"/>
      <c r="AD299" s="78"/>
      <c r="AE299" s="78"/>
      <c r="AF299" s="78"/>
      <c r="AG299" s="78"/>
      <c r="AH299" s="78"/>
      <c r="AI299" s="78"/>
      <c r="AJ299" s="78"/>
      <c r="AK299" s="78"/>
      <c r="AL299" s="78"/>
      <c r="AM299" s="78"/>
      <c r="AN299" s="78"/>
      <c r="AO299" s="78"/>
      <c r="AP299" s="78"/>
      <c r="AQ299" s="78"/>
      <c r="AR299" s="78"/>
      <c r="AS299" s="78"/>
      <c r="AT299" s="78"/>
      <c r="AU299" s="78"/>
      <c r="AV299" s="78"/>
      <c r="AW299" s="78"/>
      <c r="AX299" s="78"/>
      <c r="AY299" s="78"/>
      <c r="AZ299" s="78"/>
      <c r="BA299" s="78"/>
      <c r="BB299" s="78"/>
      <c r="BC299" s="78"/>
    </row>
    <row r="300">
      <c r="A300" s="7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c r="AA300" s="78"/>
      <c r="AB300" s="78"/>
      <c r="AC300" s="78"/>
      <c r="AD300" s="78"/>
      <c r="AE300" s="78"/>
      <c r="AF300" s="78"/>
      <c r="AG300" s="78"/>
      <c r="AH300" s="78"/>
      <c r="AI300" s="78"/>
      <c r="AJ300" s="78"/>
      <c r="AK300" s="78"/>
      <c r="AL300" s="78"/>
      <c r="AM300" s="78"/>
      <c r="AN300" s="78"/>
      <c r="AO300" s="78"/>
      <c r="AP300" s="78"/>
      <c r="AQ300" s="78"/>
      <c r="AR300" s="78"/>
      <c r="AS300" s="78"/>
      <c r="AT300" s="78"/>
      <c r="AU300" s="78"/>
      <c r="AV300" s="78"/>
      <c r="AW300" s="78"/>
      <c r="AX300" s="78"/>
      <c r="AY300" s="78"/>
      <c r="AZ300" s="78"/>
      <c r="BA300" s="78"/>
      <c r="BB300" s="78"/>
      <c r="BC300" s="78"/>
    </row>
    <row r="301">
      <c r="A301" s="7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c r="AA301" s="78"/>
      <c r="AB301" s="78"/>
      <c r="AC301" s="78"/>
      <c r="AD301" s="78"/>
      <c r="AE301" s="78"/>
      <c r="AF301" s="78"/>
      <c r="AG301" s="78"/>
      <c r="AH301" s="78"/>
      <c r="AI301" s="78"/>
      <c r="AJ301" s="78"/>
      <c r="AK301" s="78"/>
      <c r="AL301" s="78"/>
      <c r="AM301" s="78"/>
      <c r="AN301" s="78"/>
      <c r="AO301" s="78"/>
      <c r="AP301" s="78"/>
      <c r="AQ301" s="78"/>
      <c r="AR301" s="78"/>
      <c r="AS301" s="78"/>
      <c r="AT301" s="78"/>
      <c r="AU301" s="78"/>
      <c r="AV301" s="78"/>
      <c r="AW301" s="78"/>
      <c r="AX301" s="78"/>
      <c r="AY301" s="78"/>
      <c r="AZ301" s="78"/>
      <c r="BA301" s="78"/>
      <c r="BB301" s="78"/>
      <c r="BC301" s="78"/>
    </row>
    <row r="302">
      <c r="A302" s="7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c r="AA302" s="78"/>
      <c r="AB302" s="78"/>
      <c r="AC302" s="78"/>
      <c r="AD302" s="78"/>
      <c r="AE302" s="78"/>
      <c r="AF302" s="78"/>
      <c r="AG302" s="78"/>
      <c r="AH302" s="78"/>
      <c r="AI302" s="78"/>
      <c r="AJ302" s="78"/>
      <c r="AK302" s="78"/>
      <c r="AL302" s="78"/>
      <c r="AM302" s="78"/>
      <c r="AN302" s="78"/>
      <c r="AO302" s="78"/>
      <c r="AP302" s="78"/>
      <c r="AQ302" s="78"/>
      <c r="AR302" s="78"/>
      <c r="AS302" s="78"/>
      <c r="AT302" s="78"/>
      <c r="AU302" s="78"/>
      <c r="AV302" s="78"/>
      <c r="AW302" s="78"/>
      <c r="AX302" s="78"/>
      <c r="AY302" s="78"/>
      <c r="AZ302" s="78"/>
      <c r="BA302" s="78"/>
      <c r="BB302" s="78"/>
      <c r="BC302" s="78"/>
    </row>
    <row r="303">
      <c r="A303" s="7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row>
    <row r="304">
      <c r="A304" s="7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c r="AA304" s="78"/>
      <c r="AB304" s="78"/>
      <c r="AC304" s="78"/>
      <c r="AD304" s="78"/>
      <c r="AE304" s="78"/>
      <c r="AF304" s="78"/>
      <c r="AG304" s="78"/>
      <c r="AH304" s="78"/>
      <c r="AI304" s="78"/>
      <c r="AJ304" s="78"/>
      <c r="AK304" s="78"/>
      <c r="AL304" s="78"/>
      <c r="AM304" s="78"/>
      <c r="AN304" s="78"/>
      <c r="AO304" s="78"/>
      <c r="AP304" s="78"/>
      <c r="AQ304" s="78"/>
      <c r="AR304" s="78"/>
      <c r="AS304" s="78"/>
      <c r="AT304" s="78"/>
      <c r="AU304" s="78"/>
      <c r="AV304" s="78"/>
      <c r="AW304" s="78"/>
      <c r="AX304" s="78"/>
      <c r="AY304" s="78"/>
      <c r="AZ304" s="78"/>
      <c r="BA304" s="78"/>
      <c r="BB304" s="78"/>
      <c r="BC304" s="78"/>
    </row>
    <row r="305">
      <c r="A305" s="7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row>
    <row r="306">
      <c r="A306" s="7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c r="AA306" s="78"/>
      <c r="AB306" s="78"/>
      <c r="AC306" s="78"/>
      <c r="AD306" s="78"/>
      <c r="AE306" s="78"/>
      <c r="AF306" s="78"/>
      <c r="AG306" s="78"/>
      <c r="AH306" s="78"/>
      <c r="AI306" s="78"/>
      <c r="AJ306" s="78"/>
      <c r="AK306" s="78"/>
      <c r="AL306" s="78"/>
      <c r="AM306" s="78"/>
      <c r="AN306" s="78"/>
      <c r="AO306" s="78"/>
      <c r="AP306" s="78"/>
      <c r="AQ306" s="78"/>
      <c r="AR306" s="78"/>
      <c r="AS306" s="78"/>
      <c r="AT306" s="78"/>
      <c r="AU306" s="78"/>
      <c r="AV306" s="78"/>
      <c r="AW306" s="78"/>
      <c r="AX306" s="78"/>
      <c r="AY306" s="78"/>
      <c r="AZ306" s="78"/>
      <c r="BA306" s="78"/>
      <c r="BB306" s="78"/>
      <c r="BC306" s="78"/>
    </row>
    <row r="307">
      <c r="A307" s="7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row>
    <row r="308">
      <c r="A308" s="7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c r="AA308" s="78"/>
      <c r="AB308" s="78"/>
      <c r="AC308" s="78"/>
      <c r="AD308" s="78"/>
      <c r="AE308" s="78"/>
      <c r="AF308" s="78"/>
      <c r="AG308" s="78"/>
      <c r="AH308" s="78"/>
      <c r="AI308" s="78"/>
      <c r="AJ308" s="78"/>
      <c r="AK308" s="78"/>
      <c r="AL308" s="78"/>
      <c r="AM308" s="78"/>
      <c r="AN308" s="78"/>
      <c r="AO308" s="78"/>
      <c r="AP308" s="78"/>
      <c r="AQ308" s="78"/>
      <c r="AR308" s="78"/>
      <c r="AS308" s="78"/>
      <c r="AT308" s="78"/>
      <c r="AU308" s="78"/>
      <c r="AV308" s="78"/>
      <c r="AW308" s="78"/>
      <c r="AX308" s="78"/>
      <c r="AY308" s="78"/>
      <c r="AZ308" s="78"/>
      <c r="BA308" s="78"/>
      <c r="BB308" s="78"/>
      <c r="BC308" s="78"/>
    </row>
    <row r="309">
      <c r="A309" s="7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row>
    <row r="310">
      <c r="A310" s="7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row>
    <row r="311">
      <c r="A311" s="7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c r="AA311" s="78"/>
      <c r="AB311" s="78"/>
      <c r="AC311" s="78"/>
      <c r="AD311" s="78"/>
      <c r="AE311" s="78"/>
      <c r="AF311" s="78"/>
      <c r="AG311" s="78"/>
      <c r="AH311" s="78"/>
      <c r="AI311" s="78"/>
      <c r="AJ311" s="78"/>
      <c r="AK311" s="78"/>
      <c r="AL311" s="78"/>
      <c r="AM311" s="78"/>
      <c r="AN311" s="78"/>
      <c r="AO311" s="78"/>
      <c r="AP311" s="78"/>
      <c r="AQ311" s="78"/>
      <c r="AR311" s="78"/>
      <c r="AS311" s="78"/>
      <c r="AT311" s="78"/>
      <c r="AU311" s="78"/>
      <c r="AV311" s="78"/>
      <c r="AW311" s="78"/>
      <c r="AX311" s="78"/>
      <c r="AY311" s="78"/>
      <c r="AZ311" s="78"/>
      <c r="BA311" s="78"/>
      <c r="BB311" s="78"/>
      <c r="BC311" s="78"/>
    </row>
    <row r="312">
      <c r="A312" s="7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row>
    <row r="313">
      <c r="A313" s="7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row>
    <row r="314">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row>
    <row r="315">
      <c r="A315" s="7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row>
    <row r="316">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c r="AA316" s="78"/>
      <c r="AB316" s="78"/>
      <c r="AC316" s="78"/>
      <c r="AD316" s="78"/>
      <c r="AE316" s="78"/>
      <c r="AF316" s="78"/>
      <c r="AG316" s="78"/>
      <c r="AH316" s="78"/>
      <c r="AI316" s="78"/>
      <c r="AJ316" s="78"/>
      <c r="AK316" s="78"/>
      <c r="AL316" s="78"/>
      <c r="AM316" s="78"/>
      <c r="AN316" s="78"/>
      <c r="AO316" s="78"/>
      <c r="AP316" s="78"/>
      <c r="AQ316" s="78"/>
      <c r="AR316" s="78"/>
      <c r="AS316" s="78"/>
      <c r="AT316" s="78"/>
      <c r="AU316" s="78"/>
      <c r="AV316" s="78"/>
      <c r="AW316" s="78"/>
      <c r="AX316" s="78"/>
      <c r="AY316" s="78"/>
      <c r="AZ316" s="78"/>
      <c r="BA316" s="78"/>
      <c r="BB316" s="78"/>
      <c r="BC316" s="78"/>
    </row>
    <row r="317">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c r="AA317" s="78"/>
      <c r="AB317" s="78"/>
      <c r="AC317" s="78"/>
      <c r="AD317" s="78"/>
      <c r="AE317" s="78"/>
      <c r="AF317" s="78"/>
      <c r="AG317" s="78"/>
      <c r="AH317" s="78"/>
      <c r="AI317" s="78"/>
      <c r="AJ317" s="78"/>
      <c r="AK317" s="78"/>
      <c r="AL317" s="78"/>
      <c r="AM317" s="78"/>
      <c r="AN317" s="78"/>
      <c r="AO317" s="78"/>
      <c r="AP317" s="78"/>
      <c r="AQ317" s="78"/>
      <c r="AR317" s="78"/>
      <c r="AS317" s="78"/>
      <c r="AT317" s="78"/>
      <c r="AU317" s="78"/>
      <c r="AV317" s="78"/>
      <c r="AW317" s="78"/>
      <c r="AX317" s="78"/>
      <c r="AY317" s="78"/>
      <c r="AZ317" s="78"/>
      <c r="BA317" s="78"/>
      <c r="BB317" s="78"/>
      <c r="BC317" s="78"/>
    </row>
    <row r="318">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c r="AA318" s="78"/>
      <c r="AB318" s="78"/>
      <c r="AC318" s="78"/>
      <c r="AD318" s="78"/>
      <c r="AE318" s="78"/>
      <c r="AF318" s="78"/>
      <c r="AG318" s="78"/>
      <c r="AH318" s="78"/>
      <c r="AI318" s="78"/>
      <c r="AJ318" s="78"/>
      <c r="AK318" s="78"/>
      <c r="AL318" s="78"/>
      <c r="AM318" s="78"/>
      <c r="AN318" s="78"/>
      <c r="AO318" s="78"/>
      <c r="AP318" s="78"/>
      <c r="AQ318" s="78"/>
      <c r="AR318" s="78"/>
      <c r="AS318" s="78"/>
      <c r="AT318" s="78"/>
      <c r="AU318" s="78"/>
      <c r="AV318" s="78"/>
      <c r="AW318" s="78"/>
      <c r="AX318" s="78"/>
      <c r="AY318" s="78"/>
      <c r="AZ318" s="78"/>
      <c r="BA318" s="78"/>
      <c r="BB318" s="78"/>
      <c r="BC318" s="78"/>
    </row>
    <row r="319">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c r="AA319" s="78"/>
      <c r="AB319" s="78"/>
      <c r="AC319" s="78"/>
      <c r="AD319" s="78"/>
      <c r="AE319" s="78"/>
      <c r="AF319" s="78"/>
      <c r="AG319" s="78"/>
      <c r="AH319" s="78"/>
      <c r="AI319" s="78"/>
      <c r="AJ319" s="78"/>
      <c r="AK319" s="78"/>
      <c r="AL319" s="78"/>
      <c r="AM319" s="78"/>
      <c r="AN319" s="78"/>
      <c r="AO319" s="78"/>
      <c r="AP319" s="78"/>
      <c r="AQ319" s="78"/>
      <c r="AR319" s="78"/>
      <c r="AS319" s="78"/>
      <c r="AT319" s="78"/>
      <c r="AU319" s="78"/>
      <c r="AV319" s="78"/>
      <c r="AW319" s="78"/>
      <c r="AX319" s="78"/>
      <c r="AY319" s="78"/>
      <c r="AZ319" s="78"/>
      <c r="BA319" s="78"/>
      <c r="BB319" s="78"/>
      <c r="BC319" s="78"/>
    </row>
    <row r="320">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c r="AI320" s="78"/>
      <c r="AJ320" s="78"/>
      <c r="AK320" s="78"/>
      <c r="AL320" s="78"/>
      <c r="AM320" s="78"/>
      <c r="AN320" s="78"/>
      <c r="AO320" s="78"/>
      <c r="AP320" s="78"/>
      <c r="AQ320" s="78"/>
      <c r="AR320" s="78"/>
      <c r="AS320" s="78"/>
      <c r="AT320" s="78"/>
      <c r="AU320" s="78"/>
      <c r="AV320" s="78"/>
      <c r="AW320" s="78"/>
      <c r="AX320" s="78"/>
      <c r="AY320" s="78"/>
      <c r="AZ320" s="78"/>
      <c r="BA320" s="78"/>
      <c r="BB320" s="78"/>
      <c r="BC320" s="78"/>
    </row>
    <row r="321">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c r="AA321" s="78"/>
      <c r="AB321" s="78"/>
      <c r="AC321" s="78"/>
      <c r="AD321" s="78"/>
      <c r="AE321" s="78"/>
      <c r="AF321" s="78"/>
      <c r="AG321" s="78"/>
      <c r="AH321" s="78"/>
      <c r="AI321" s="78"/>
      <c r="AJ321" s="78"/>
      <c r="AK321" s="78"/>
      <c r="AL321" s="78"/>
      <c r="AM321" s="78"/>
      <c r="AN321" s="78"/>
      <c r="AO321" s="78"/>
      <c r="AP321" s="78"/>
      <c r="AQ321" s="78"/>
      <c r="AR321" s="78"/>
      <c r="AS321" s="78"/>
      <c r="AT321" s="78"/>
      <c r="AU321" s="78"/>
      <c r="AV321" s="78"/>
      <c r="AW321" s="78"/>
      <c r="AX321" s="78"/>
      <c r="AY321" s="78"/>
      <c r="AZ321" s="78"/>
      <c r="BA321" s="78"/>
      <c r="BB321" s="78"/>
      <c r="BC321" s="78"/>
    </row>
    <row r="322">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c r="AA322" s="78"/>
      <c r="AB322" s="78"/>
      <c r="AC322" s="78"/>
      <c r="AD322" s="78"/>
      <c r="AE322" s="78"/>
      <c r="AF322" s="78"/>
      <c r="AG322" s="78"/>
      <c r="AH322" s="78"/>
      <c r="AI322" s="78"/>
      <c r="AJ322" s="78"/>
      <c r="AK322" s="78"/>
      <c r="AL322" s="78"/>
      <c r="AM322" s="78"/>
      <c r="AN322" s="78"/>
      <c r="AO322" s="78"/>
      <c r="AP322" s="78"/>
      <c r="AQ322" s="78"/>
      <c r="AR322" s="78"/>
      <c r="AS322" s="78"/>
      <c r="AT322" s="78"/>
      <c r="AU322" s="78"/>
      <c r="AV322" s="78"/>
      <c r="AW322" s="78"/>
      <c r="AX322" s="78"/>
      <c r="AY322" s="78"/>
      <c r="AZ322" s="78"/>
      <c r="BA322" s="78"/>
      <c r="BB322" s="78"/>
      <c r="BC322" s="78"/>
    </row>
    <row r="323">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c r="AA323" s="78"/>
      <c r="AB323" s="78"/>
      <c r="AC323" s="78"/>
      <c r="AD323" s="78"/>
      <c r="AE323" s="78"/>
      <c r="AF323" s="78"/>
      <c r="AG323" s="78"/>
      <c r="AH323" s="78"/>
      <c r="AI323" s="78"/>
      <c r="AJ323" s="78"/>
      <c r="AK323" s="78"/>
      <c r="AL323" s="78"/>
      <c r="AM323" s="78"/>
      <c r="AN323" s="78"/>
      <c r="AO323" s="78"/>
      <c r="AP323" s="78"/>
      <c r="AQ323" s="78"/>
      <c r="AR323" s="78"/>
      <c r="AS323" s="78"/>
      <c r="AT323" s="78"/>
      <c r="AU323" s="78"/>
      <c r="AV323" s="78"/>
      <c r="AW323" s="78"/>
      <c r="AX323" s="78"/>
      <c r="AY323" s="78"/>
      <c r="AZ323" s="78"/>
      <c r="BA323" s="78"/>
      <c r="BB323" s="78"/>
      <c r="BC323" s="78"/>
    </row>
    <row r="324">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c r="AA324" s="78"/>
      <c r="AB324" s="78"/>
      <c r="AC324" s="78"/>
      <c r="AD324" s="78"/>
      <c r="AE324" s="78"/>
      <c r="AF324" s="78"/>
      <c r="AG324" s="78"/>
      <c r="AH324" s="78"/>
      <c r="AI324" s="78"/>
      <c r="AJ324" s="78"/>
      <c r="AK324" s="78"/>
      <c r="AL324" s="78"/>
      <c r="AM324" s="78"/>
      <c r="AN324" s="78"/>
      <c r="AO324" s="78"/>
      <c r="AP324" s="78"/>
      <c r="AQ324" s="78"/>
      <c r="AR324" s="78"/>
      <c r="AS324" s="78"/>
      <c r="AT324" s="78"/>
      <c r="AU324" s="78"/>
      <c r="AV324" s="78"/>
      <c r="AW324" s="78"/>
      <c r="AX324" s="78"/>
      <c r="AY324" s="78"/>
      <c r="AZ324" s="78"/>
      <c r="BA324" s="78"/>
      <c r="BB324" s="78"/>
      <c r="BC324" s="78"/>
    </row>
    <row r="325">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c r="AA325" s="78"/>
      <c r="AB325" s="78"/>
      <c r="AC325" s="78"/>
      <c r="AD325" s="78"/>
      <c r="AE325" s="78"/>
      <c r="AF325" s="78"/>
      <c r="AG325" s="78"/>
      <c r="AH325" s="78"/>
      <c r="AI325" s="78"/>
      <c r="AJ325" s="78"/>
      <c r="AK325" s="78"/>
      <c r="AL325" s="78"/>
      <c r="AM325" s="78"/>
      <c r="AN325" s="78"/>
      <c r="AO325" s="78"/>
      <c r="AP325" s="78"/>
      <c r="AQ325" s="78"/>
      <c r="AR325" s="78"/>
      <c r="AS325" s="78"/>
      <c r="AT325" s="78"/>
      <c r="AU325" s="78"/>
      <c r="AV325" s="78"/>
      <c r="AW325" s="78"/>
      <c r="AX325" s="78"/>
      <c r="AY325" s="78"/>
      <c r="AZ325" s="78"/>
      <c r="BA325" s="78"/>
      <c r="BB325" s="78"/>
      <c r="BC325" s="78"/>
    </row>
    <row r="326">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c r="AA326" s="78"/>
      <c r="AB326" s="78"/>
      <c r="AC326" s="78"/>
      <c r="AD326" s="78"/>
      <c r="AE326" s="78"/>
      <c r="AF326" s="78"/>
      <c r="AG326" s="78"/>
      <c r="AH326" s="78"/>
      <c r="AI326" s="78"/>
      <c r="AJ326" s="78"/>
      <c r="AK326" s="78"/>
      <c r="AL326" s="78"/>
      <c r="AM326" s="78"/>
      <c r="AN326" s="78"/>
      <c r="AO326" s="78"/>
      <c r="AP326" s="78"/>
      <c r="AQ326" s="78"/>
      <c r="AR326" s="78"/>
      <c r="AS326" s="78"/>
      <c r="AT326" s="78"/>
      <c r="AU326" s="78"/>
      <c r="AV326" s="78"/>
      <c r="AW326" s="78"/>
      <c r="AX326" s="78"/>
      <c r="AY326" s="78"/>
      <c r="AZ326" s="78"/>
      <c r="BA326" s="78"/>
      <c r="BB326" s="78"/>
      <c r="BC326" s="78"/>
    </row>
    <row r="327">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c r="AA327" s="78"/>
      <c r="AB327" s="78"/>
      <c r="AC327" s="78"/>
      <c r="AD327" s="78"/>
      <c r="AE327" s="78"/>
      <c r="AF327" s="78"/>
      <c r="AG327" s="78"/>
      <c r="AH327" s="78"/>
      <c r="AI327" s="78"/>
      <c r="AJ327" s="78"/>
      <c r="AK327" s="78"/>
      <c r="AL327" s="78"/>
      <c r="AM327" s="78"/>
      <c r="AN327" s="78"/>
      <c r="AO327" s="78"/>
      <c r="AP327" s="78"/>
      <c r="AQ327" s="78"/>
      <c r="AR327" s="78"/>
      <c r="AS327" s="78"/>
      <c r="AT327" s="78"/>
      <c r="AU327" s="78"/>
      <c r="AV327" s="78"/>
      <c r="AW327" s="78"/>
      <c r="AX327" s="78"/>
      <c r="AY327" s="78"/>
      <c r="AZ327" s="78"/>
      <c r="BA327" s="78"/>
      <c r="BB327" s="78"/>
      <c r="BC327" s="78"/>
    </row>
    <row r="328">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c r="AA328" s="78"/>
      <c r="AB328" s="78"/>
      <c r="AC328" s="78"/>
      <c r="AD328" s="78"/>
      <c r="AE328" s="78"/>
      <c r="AF328" s="78"/>
      <c r="AG328" s="78"/>
      <c r="AH328" s="78"/>
      <c r="AI328" s="78"/>
      <c r="AJ328" s="78"/>
      <c r="AK328" s="78"/>
      <c r="AL328" s="78"/>
      <c r="AM328" s="78"/>
      <c r="AN328" s="78"/>
      <c r="AO328" s="78"/>
      <c r="AP328" s="78"/>
      <c r="AQ328" s="78"/>
      <c r="AR328" s="78"/>
      <c r="AS328" s="78"/>
      <c r="AT328" s="78"/>
      <c r="AU328" s="78"/>
      <c r="AV328" s="78"/>
      <c r="AW328" s="78"/>
      <c r="AX328" s="78"/>
      <c r="AY328" s="78"/>
      <c r="AZ328" s="78"/>
      <c r="BA328" s="78"/>
      <c r="BB328" s="78"/>
      <c r="BC328" s="78"/>
    </row>
    <row r="329">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row>
    <row r="330">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row>
    <row r="331">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row>
    <row r="332">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c r="AA332" s="78"/>
      <c r="AB332" s="78"/>
      <c r="AC332" s="78"/>
      <c r="AD332" s="78"/>
      <c r="AE332" s="78"/>
      <c r="AF332" s="78"/>
      <c r="AG332" s="78"/>
      <c r="AH332" s="78"/>
      <c r="AI332" s="78"/>
      <c r="AJ332" s="78"/>
      <c r="AK332" s="78"/>
      <c r="AL332" s="78"/>
      <c r="AM332" s="78"/>
      <c r="AN332" s="78"/>
      <c r="AO332" s="78"/>
      <c r="AP332" s="78"/>
      <c r="AQ332" s="78"/>
      <c r="AR332" s="78"/>
      <c r="AS332" s="78"/>
      <c r="AT332" s="78"/>
      <c r="AU332" s="78"/>
      <c r="AV332" s="78"/>
      <c r="AW332" s="78"/>
      <c r="AX332" s="78"/>
      <c r="AY332" s="78"/>
      <c r="AZ332" s="78"/>
      <c r="BA332" s="78"/>
      <c r="BB332" s="78"/>
      <c r="BC332" s="78"/>
    </row>
    <row r="333">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c r="AA333" s="78"/>
      <c r="AB333" s="78"/>
      <c r="AC333" s="78"/>
      <c r="AD333" s="78"/>
      <c r="AE333" s="78"/>
      <c r="AF333" s="78"/>
      <c r="AG333" s="78"/>
      <c r="AH333" s="78"/>
      <c r="AI333" s="78"/>
      <c r="AJ333" s="78"/>
      <c r="AK333" s="78"/>
      <c r="AL333" s="78"/>
      <c r="AM333" s="78"/>
      <c r="AN333" s="78"/>
      <c r="AO333" s="78"/>
      <c r="AP333" s="78"/>
      <c r="AQ333" s="78"/>
      <c r="AR333" s="78"/>
      <c r="AS333" s="78"/>
      <c r="AT333" s="78"/>
      <c r="AU333" s="78"/>
      <c r="AV333" s="78"/>
      <c r="AW333" s="78"/>
      <c r="AX333" s="78"/>
      <c r="AY333" s="78"/>
      <c r="AZ333" s="78"/>
      <c r="BA333" s="78"/>
      <c r="BB333" s="78"/>
      <c r="BC333" s="78"/>
    </row>
    <row r="334">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c r="AA334" s="78"/>
      <c r="AB334" s="78"/>
      <c r="AC334" s="78"/>
      <c r="AD334" s="78"/>
      <c r="AE334" s="78"/>
      <c r="AF334" s="78"/>
      <c r="AG334" s="78"/>
      <c r="AH334" s="78"/>
      <c r="AI334" s="78"/>
      <c r="AJ334" s="78"/>
      <c r="AK334" s="78"/>
      <c r="AL334" s="78"/>
      <c r="AM334" s="78"/>
      <c r="AN334" s="78"/>
      <c r="AO334" s="78"/>
      <c r="AP334" s="78"/>
      <c r="AQ334" s="78"/>
      <c r="AR334" s="78"/>
      <c r="AS334" s="78"/>
      <c r="AT334" s="78"/>
      <c r="AU334" s="78"/>
      <c r="AV334" s="78"/>
      <c r="AW334" s="78"/>
      <c r="AX334" s="78"/>
      <c r="AY334" s="78"/>
      <c r="AZ334" s="78"/>
      <c r="BA334" s="78"/>
      <c r="BB334" s="78"/>
      <c r="BC334" s="78"/>
    </row>
    <row r="335">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c r="AC335" s="78"/>
      <c r="AD335" s="78"/>
      <c r="AE335" s="78"/>
      <c r="AF335" s="78"/>
      <c r="AG335" s="78"/>
      <c r="AH335" s="78"/>
      <c r="AI335" s="78"/>
      <c r="AJ335" s="78"/>
      <c r="AK335" s="78"/>
      <c r="AL335" s="78"/>
      <c r="AM335" s="78"/>
      <c r="AN335" s="78"/>
      <c r="AO335" s="78"/>
      <c r="AP335" s="78"/>
      <c r="AQ335" s="78"/>
      <c r="AR335" s="78"/>
      <c r="AS335" s="78"/>
      <c r="AT335" s="78"/>
      <c r="AU335" s="78"/>
      <c r="AV335" s="78"/>
      <c r="AW335" s="78"/>
      <c r="AX335" s="78"/>
      <c r="AY335" s="78"/>
      <c r="AZ335" s="78"/>
      <c r="BA335" s="78"/>
      <c r="BB335" s="78"/>
      <c r="BC335" s="78"/>
    </row>
    <row r="336">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c r="AA336" s="78"/>
      <c r="AB336" s="78"/>
      <c r="AC336" s="78"/>
      <c r="AD336" s="78"/>
      <c r="AE336" s="78"/>
      <c r="AF336" s="78"/>
      <c r="AG336" s="78"/>
      <c r="AH336" s="78"/>
      <c r="AI336" s="78"/>
      <c r="AJ336" s="78"/>
      <c r="AK336" s="78"/>
      <c r="AL336" s="78"/>
      <c r="AM336" s="78"/>
      <c r="AN336" s="78"/>
      <c r="AO336" s="78"/>
      <c r="AP336" s="78"/>
      <c r="AQ336" s="78"/>
      <c r="AR336" s="78"/>
      <c r="AS336" s="78"/>
      <c r="AT336" s="78"/>
      <c r="AU336" s="78"/>
      <c r="AV336" s="78"/>
      <c r="AW336" s="78"/>
      <c r="AX336" s="78"/>
      <c r="AY336" s="78"/>
      <c r="AZ336" s="78"/>
      <c r="BA336" s="78"/>
      <c r="BB336" s="78"/>
      <c r="BC336" s="78"/>
    </row>
    <row r="337">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c r="AA337" s="78"/>
      <c r="AB337" s="78"/>
      <c r="AC337" s="78"/>
      <c r="AD337" s="78"/>
      <c r="AE337" s="78"/>
      <c r="AF337" s="78"/>
      <c r="AG337" s="78"/>
      <c r="AH337" s="78"/>
      <c r="AI337" s="78"/>
      <c r="AJ337" s="78"/>
      <c r="AK337" s="78"/>
      <c r="AL337" s="78"/>
      <c r="AM337" s="78"/>
      <c r="AN337" s="78"/>
      <c r="AO337" s="78"/>
      <c r="AP337" s="78"/>
      <c r="AQ337" s="78"/>
      <c r="AR337" s="78"/>
      <c r="AS337" s="78"/>
      <c r="AT337" s="78"/>
      <c r="AU337" s="78"/>
      <c r="AV337" s="78"/>
      <c r="AW337" s="78"/>
      <c r="AX337" s="78"/>
      <c r="AY337" s="78"/>
      <c r="AZ337" s="78"/>
      <c r="BA337" s="78"/>
      <c r="BB337" s="78"/>
      <c r="BC337" s="78"/>
    </row>
    <row r="338">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row>
    <row r="339">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c r="AA339" s="78"/>
      <c r="AB339" s="78"/>
      <c r="AC339" s="78"/>
      <c r="AD339" s="78"/>
      <c r="AE339" s="78"/>
      <c r="AF339" s="78"/>
      <c r="AG339" s="78"/>
      <c r="AH339" s="78"/>
      <c r="AI339" s="78"/>
      <c r="AJ339" s="78"/>
      <c r="AK339" s="78"/>
      <c r="AL339" s="78"/>
      <c r="AM339" s="78"/>
      <c r="AN339" s="78"/>
      <c r="AO339" s="78"/>
      <c r="AP339" s="78"/>
      <c r="AQ339" s="78"/>
      <c r="AR339" s="78"/>
      <c r="AS339" s="78"/>
      <c r="AT339" s="78"/>
      <c r="AU339" s="78"/>
      <c r="AV339" s="78"/>
      <c r="AW339" s="78"/>
      <c r="AX339" s="78"/>
      <c r="AY339" s="78"/>
      <c r="AZ339" s="78"/>
      <c r="BA339" s="78"/>
      <c r="BB339" s="78"/>
      <c r="BC339" s="78"/>
    </row>
    <row r="340">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c r="AA340" s="78"/>
      <c r="AB340" s="78"/>
      <c r="AC340" s="78"/>
      <c r="AD340" s="78"/>
      <c r="AE340" s="78"/>
      <c r="AF340" s="78"/>
      <c r="AG340" s="78"/>
      <c r="AH340" s="78"/>
      <c r="AI340" s="78"/>
      <c r="AJ340" s="78"/>
      <c r="AK340" s="78"/>
      <c r="AL340" s="78"/>
      <c r="AM340" s="78"/>
      <c r="AN340" s="78"/>
      <c r="AO340" s="78"/>
      <c r="AP340" s="78"/>
      <c r="AQ340" s="78"/>
      <c r="AR340" s="78"/>
      <c r="AS340" s="78"/>
      <c r="AT340" s="78"/>
      <c r="AU340" s="78"/>
      <c r="AV340" s="78"/>
      <c r="AW340" s="78"/>
      <c r="AX340" s="78"/>
      <c r="AY340" s="78"/>
      <c r="AZ340" s="78"/>
      <c r="BA340" s="78"/>
      <c r="BB340" s="78"/>
      <c r="BC340" s="78"/>
    </row>
    <row r="341">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c r="AA341" s="78"/>
      <c r="AB341" s="78"/>
      <c r="AC341" s="78"/>
      <c r="AD341" s="78"/>
      <c r="AE341" s="78"/>
      <c r="AF341" s="78"/>
      <c r="AG341" s="78"/>
      <c r="AH341" s="78"/>
      <c r="AI341" s="78"/>
      <c r="AJ341" s="78"/>
      <c r="AK341" s="78"/>
      <c r="AL341" s="78"/>
      <c r="AM341" s="78"/>
      <c r="AN341" s="78"/>
      <c r="AO341" s="78"/>
      <c r="AP341" s="78"/>
      <c r="AQ341" s="78"/>
      <c r="AR341" s="78"/>
      <c r="AS341" s="78"/>
      <c r="AT341" s="78"/>
      <c r="AU341" s="78"/>
      <c r="AV341" s="78"/>
      <c r="AW341" s="78"/>
      <c r="AX341" s="78"/>
      <c r="AY341" s="78"/>
      <c r="AZ341" s="78"/>
      <c r="BA341" s="78"/>
      <c r="BB341" s="78"/>
      <c r="BC341" s="78"/>
    </row>
    <row r="342">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c r="AA342" s="78"/>
      <c r="AB342" s="78"/>
      <c r="AC342" s="78"/>
      <c r="AD342" s="78"/>
      <c r="AE342" s="78"/>
      <c r="AF342" s="78"/>
      <c r="AG342" s="78"/>
      <c r="AH342" s="78"/>
      <c r="AI342" s="78"/>
      <c r="AJ342" s="78"/>
      <c r="AK342" s="78"/>
      <c r="AL342" s="78"/>
      <c r="AM342" s="78"/>
      <c r="AN342" s="78"/>
      <c r="AO342" s="78"/>
      <c r="AP342" s="78"/>
      <c r="AQ342" s="78"/>
      <c r="AR342" s="78"/>
      <c r="AS342" s="78"/>
      <c r="AT342" s="78"/>
      <c r="AU342" s="78"/>
      <c r="AV342" s="78"/>
      <c r="AW342" s="78"/>
      <c r="AX342" s="78"/>
      <c r="AY342" s="78"/>
      <c r="AZ342" s="78"/>
      <c r="BA342" s="78"/>
      <c r="BB342" s="78"/>
      <c r="BC342" s="78"/>
    </row>
    <row r="343">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c r="AA343" s="78"/>
      <c r="AB343" s="78"/>
      <c r="AC343" s="78"/>
      <c r="AD343" s="78"/>
      <c r="AE343" s="78"/>
      <c r="AF343" s="78"/>
      <c r="AG343" s="78"/>
      <c r="AH343" s="78"/>
      <c r="AI343" s="78"/>
      <c r="AJ343" s="78"/>
      <c r="AK343" s="78"/>
      <c r="AL343" s="78"/>
      <c r="AM343" s="78"/>
      <c r="AN343" s="78"/>
      <c r="AO343" s="78"/>
      <c r="AP343" s="78"/>
      <c r="AQ343" s="78"/>
      <c r="AR343" s="78"/>
      <c r="AS343" s="78"/>
      <c r="AT343" s="78"/>
      <c r="AU343" s="78"/>
      <c r="AV343" s="78"/>
      <c r="AW343" s="78"/>
      <c r="AX343" s="78"/>
      <c r="AY343" s="78"/>
      <c r="AZ343" s="78"/>
      <c r="BA343" s="78"/>
      <c r="BB343" s="78"/>
      <c r="BC343" s="78"/>
    </row>
    <row r="344">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c r="AA344" s="78"/>
      <c r="AB344" s="78"/>
      <c r="AC344" s="78"/>
      <c r="AD344" s="78"/>
      <c r="AE344" s="78"/>
      <c r="AF344" s="78"/>
      <c r="AG344" s="78"/>
      <c r="AH344" s="78"/>
      <c r="AI344" s="78"/>
      <c r="AJ344" s="78"/>
      <c r="AK344" s="78"/>
      <c r="AL344" s="78"/>
      <c r="AM344" s="78"/>
      <c r="AN344" s="78"/>
      <c r="AO344" s="78"/>
      <c r="AP344" s="78"/>
      <c r="AQ344" s="78"/>
      <c r="AR344" s="78"/>
      <c r="AS344" s="78"/>
      <c r="AT344" s="78"/>
      <c r="AU344" s="78"/>
      <c r="AV344" s="78"/>
      <c r="AW344" s="78"/>
      <c r="AX344" s="78"/>
      <c r="AY344" s="78"/>
      <c r="AZ344" s="78"/>
      <c r="BA344" s="78"/>
      <c r="BB344" s="78"/>
      <c r="BC344" s="78"/>
    </row>
    <row r="345">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c r="AA345" s="78"/>
      <c r="AB345" s="78"/>
      <c r="AC345" s="78"/>
      <c r="AD345" s="78"/>
      <c r="AE345" s="78"/>
      <c r="AF345" s="78"/>
      <c r="AG345" s="78"/>
      <c r="AH345" s="78"/>
      <c r="AI345" s="78"/>
      <c r="AJ345" s="78"/>
      <c r="AK345" s="78"/>
      <c r="AL345" s="78"/>
      <c r="AM345" s="78"/>
      <c r="AN345" s="78"/>
      <c r="AO345" s="78"/>
      <c r="AP345" s="78"/>
      <c r="AQ345" s="78"/>
      <c r="AR345" s="78"/>
      <c r="AS345" s="78"/>
      <c r="AT345" s="78"/>
      <c r="AU345" s="78"/>
      <c r="AV345" s="78"/>
      <c r="AW345" s="78"/>
      <c r="AX345" s="78"/>
      <c r="AY345" s="78"/>
      <c r="AZ345" s="78"/>
      <c r="BA345" s="78"/>
      <c r="BB345" s="78"/>
      <c r="BC345" s="78"/>
    </row>
    <row r="346">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c r="AA346" s="78"/>
      <c r="AB346" s="78"/>
      <c r="AC346" s="78"/>
      <c r="AD346" s="78"/>
      <c r="AE346" s="78"/>
      <c r="AF346" s="78"/>
      <c r="AG346" s="78"/>
      <c r="AH346" s="78"/>
      <c r="AI346" s="78"/>
      <c r="AJ346" s="78"/>
      <c r="AK346" s="78"/>
      <c r="AL346" s="78"/>
      <c r="AM346" s="78"/>
      <c r="AN346" s="78"/>
      <c r="AO346" s="78"/>
      <c r="AP346" s="78"/>
      <c r="AQ346" s="78"/>
      <c r="AR346" s="78"/>
      <c r="AS346" s="78"/>
      <c r="AT346" s="78"/>
      <c r="AU346" s="78"/>
      <c r="AV346" s="78"/>
      <c r="AW346" s="78"/>
      <c r="AX346" s="78"/>
      <c r="AY346" s="78"/>
      <c r="AZ346" s="78"/>
      <c r="BA346" s="78"/>
      <c r="BB346" s="78"/>
      <c r="BC346" s="78"/>
    </row>
    <row r="347">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c r="AA347" s="78"/>
      <c r="AB347" s="78"/>
      <c r="AC347" s="78"/>
      <c r="AD347" s="78"/>
      <c r="AE347" s="78"/>
      <c r="AF347" s="78"/>
      <c r="AG347" s="78"/>
      <c r="AH347" s="78"/>
      <c r="AI347" s="78"/>
      <c r="AJ347" s="78"/>
      <c r="AK347" s="78"/>
      <c r="AL347" s="78"/>
      <c r="AM347" s="78"/>
      <c r="AN347" s="78"/>
      <c r="AO347" s="78"/>
      <c r="AP347" s="78"/>
      <c r="AQ347" s="78"/>
      <c r="AR347" s="78"/>
      <c r="AS347" s="78"/>
      <c r="AT347" s="78"/>
      <c r="AU347" s="78"/>
      <c r="AV347" s="78"/>
      <c r="AW347" s="78"/>
      <c r="AX347" s="78"/>
      <c r="AY347" s="78"/>
      <c r="AZ347" s="78"/>
      <c r="BA347" s="78"/>
      <c r="BB347" s="78"/>
      <c r="BC347" s="78"/>
    </row>
    <row r="348">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row>
    <row r="349">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row>
    <row r="350">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c r="AA350" s="78"/>
      <c r="AB350" s="78"/>
      <c r="AC350" s="78"/>
      <c r="AD350" s="78"/>
      <c r="AE350" s="78"/>
      <c r="AF350" s="78"/>
      <c r="AG350" s="78"/>
      <c r="AH350" s="78"/>
      <c r="AI350" s="78"/>
      <c r="AJ350" s="78"/>
      <c r="AK350" s="78"/>
      <c r="AL350" s="78"/>
      <c r="AM350" s="78"/>
      <c r="AN350" s="78"/>
      <c r="AO350" s="78"/>
      <c r="AP350" s="78"/>
      <c r="AQ350" s="78"/>
      <c r="AR350" s="78"/>
      <c r="AS350" s="78"/>
      <c r="AT350" s="78"/>
      <c r="AU350" s="78"/>
      <c r="AV350" s="78"/>
      <c r="AW350" s="78"/>
      <c r="AX350" s="78"/>
      <c r="AY350" s="78"/>
      <c r="AZ350" s="78"/>
      <c r="BA350" s="78"/>
      <c r="BB350" s="78"/>
      <c r="BC350" s="78"/>
    </row>
    <row r="351">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c r="AA351" s="78"/>
      <c r="AB351" s="78"/>
      <c r="AC351" s="78"/>
      <c r="AD351" s="78"/>
      <c r="AE351" s="78"/>
      <c r="AF351" s="78"/>
      <c r="AG351" s="78"/>
      <c r="AH351" s="78"/>
      <c r="AI351" s="78"/>
      <c r="AJ351" s="78"/>
      <c r="AK351" s="78"/>
      <c r="AL351" s="78"/>
      <c r="AM351" s="78"/>
      <c r="AN351" s="78"/>
      <c r="AO351" s="78"/>
      <c r="AP351" s="78"/>
      <c r="AQ351" s="78"/>
      <c r="AR351" s="78"/>
      <c r="AS351" s="78"/>
      <c r="AT351" s="78"/>
      <c r="AU351" s="78"/>
      <c r="AV351" s="78"/>
      <c r="AW351" s="78"/>
      <c r="AX351" s="78"/>
      <c r="AY351" s="78"/>
      <c r="AZ351" s="78"/>
      <c r="BA351" s="78"/>
      <c r="BB351" s="78"/>
      <c r="BC351" s="78"/>
    </row>
    <row r="352">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c r="AA352" s="78"/>
      <c r="AB352" s="78"/>
      <c r="AC352" s="78"/>
      <c r="AD352" s="78"/>
      <c r="AE352" s="78"/>
      <c r="AF352" s="78"/>
      <c r="AG352" s="78"/>
      <c r="AH352" s="78"/>
      <c r="AI352" s="78"/>
      <c r="AJ352" s="78"/>
      <c r="AK352" s="78"/>
      <c r="AL352" s="78"/>
      <c r="AM352" s="78"/>
      <c r="AN352" s="78"/>
      <c r="AO352" s="78"/>
      <c r="AP352" s="78"/>
      <c r="AQ352" s="78"/>
      <c r="AR352" s="78"/>
      <c r="AS352" s="78"/>
      <c r="AT352" s="78"/>
      <c r="AU352" s="78"/>
      <c r="AV352" s="78"/>
      <c r="AW352" s="78"/>
      <c r="AX352" s="78"/>
      <c r="AY352" s="78"/>
      <c r="AZ352" s="78"/>
      <c r="BA352" s="78"/>
      <c r="BB352" s="78"/>
      <c r="BC352" s="78"/>
    </row>
    <row r="353">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c r="AA353" s="78"/>
      <c r="AB353" s="78"/>
      <c r="AC353" s="78"/>
      <c r="AD353" s="78"/>
      <c r="AE353" s="78"/>
      <c r="AF353" s="78"/>
      <c r="AG353" s="78"/>
      <c r="AH353" s="78"/>
      <c r="AI353" s="78"/>
      <c r="AJ353" s="78"/>
      <c r="AK353" s="78"/>
      <c r="AL353" s="78"/>
      <c r="AM353" s="78"/>
      <c r="AN353" s="78"/>
      <c r="AO353" s="78"/>
      <c r="AP353" s="78"/>
      <c r="AQ353" s="78"/>
      <c r="AR353" s="78"/>
      <c r="AS353" s="78"/>
      <c r="AT353" s="78"/>
      <c r="AU353" s="78"/>
      <c r="AV353" s="78"/>
      <c r="AW353" s="78"/>
      <c r="AX353" s="78"/>
      <c r="AY353" s="78"/>
      <c r="AZ353" s="78"/>
      <c r="BA353" s="78"/>
      <c r="BB353" s="78"/>
      <c r="BC353" s="78"/>
    </row>
    <row r="354">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c r="AA354" s="78"/>
      <c r="AB354" s="78"/>
      <c r="AC354" s="78"/>
      <c r="AD354" s="78"/>
      <c r="AE354" s="78"/>
      <c r="AF354" s="78"/>
      <c r="AG354" s="78"/>
      <c r="AH354" s="78"/>
      <c r="AI354" s="78"/>
      <c r="AJ354" s="78"/>
      <c r="AK354" s="78"/>
      <c r="AL354" s="78"/>
      <c r="AM354" s="78"/>
      <c r="AN354" s="78"/>
      <c r="AO354" s="78"/>
      <c r="AP354" s="78"/>
      <c r="AQ354" s="78"/>
      <c r="AR354" s="78"/>
      <c r="AS354" s="78"/>
      <c r="AT354" s="78"/>
      <c r="AU354" s="78"/>
      <c r="AV354" s="78"/>
      <c r="AW354" s="78"/>
      <c r="AX354" s="78"/>
      <c r="AY354" s="78"/>
      <c r="AZ354" s="78"/>
      <c r="BA354" s="78"/>
      <c r="BB354" s="78"/>
      <c r="BC354" s="78"/>
    </row>
    <row r="355">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c r="AA355" s="78"/>
      <c r="AB355" s="78"/>
      <c r="AC355" s="78"/>
      <c r="AD355" s="78"/>
      <c r="AE355" s="78"/>
      <c r="AF355" s="78"/>
      <c r="AG355" s="78"/>
      <c r="AH355" s="78"/>
      <c r="AI355" s="78"/>
      <c r="AJ355" s="78"/>
      <c r="AK355" s="78"/>
      <c r="AL355" s="78"/>
      <c r="AM355" s="78"/>
      <c r="AN355" s="78"/>
      <c r="AO355" s="78"/>
      <c r="AP355" s="78"/>
      <c r="AQ355" s="78"/>
      <c r="AR355" s="78"/>
      <c r="AS355" s="78"/>
      <c r="AT355" s="78"/>
      <c r="AU355" s="78"/>
      <c r="AV355" s="78"/>
      <c r="AW355" s="78"/>
      <c r="AX355" s="78"/>
      <c r="AY355" s="78"/>
      <c r="AZ355" s="78"/>
      <c r="BA355" s="78"/>
      <c r="BB355" s="78"/>
      <c r="BC355" s="78"/>
    </row>
    <row r="356">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c r="AA356" s="78"/>
      <c r="AB356" s="78"/>
      <c r="AC356" s="78"/>
      <c r="AD356" s="78"/>
      <c r="AE356" s="78"/>
      <c r="AF356" s="78"/>
      <c r="AG356" s="78"/>
      <c r="AH356" s="78"/>
      <c r="AI356" s="78"/>
      <c r="AJ356" s="78"/>
      <c r="AK356" s="78"/>
      <c r="AL356" s="78"/>
      <c r="AM356" s="78"/>
      <c r="AN356" s="78"/>
      <c r="AO356" s="78"/>
      <c r="AP356" s="78"/>
      <c r="AQ356" s="78"/>
      <c r="AR356" s="78"/>
      <c r="AS356" s="78"/>
      <c r="AT356" s="78"/>
      <c r="AU356" s="78"/>
      <c r="AV356" s="78"/>
      <c r="AW356" s="78"/>
      <c r="AX356" s="78"/>
      <c r="AY356" s="78"/>
      <c r="AZ356" s="78"/>
      <c r="BA356" s="78"/>
      <c r="BB356" s="78"/>
      <c r="BC356" s="78"/>
    </row>
    <row r="357">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c r="AA357" s="78"/>
      <c r="AB357" s="78"/>
      <c r="AC357" s="78"/>
      <c r="AD357" s="78"/>
      <c r="AE357" s="78"/>
      <c r="AF357" s="78"/>
      <c r="AG357" s="78"/>
      <c r="AH357" s="78"/>
      <c r="AI357" s="78"/>
      <c r="AJ357" s="78"/>
      <c r="AK357" s="78"/>
      <c r="AL357" s="78"/>
      <c r="AM357" s="78"/>
      <c r="AN357" s="78"/>
      <c r="AO357" s="78"/>
      <c r="AP357" s="78"/>
      <c r="AQ357" s="78"/>
      <c r="AR357" s="78"/>
      <c r="AS357" s="78"/>
      <c r="AT357" s="78"/>
      <c r="AU357" s="78"/>
      <c r="AV357" s="78"/>
      <c r="AW357" s="78"/>
      <c r="AX357" s="78"/>
      <c r="AY357" s="78"/>
      <c r="AZ357" s="78"/>
      <c r="BA357" s="78"/>
      <c r="BB357" s="78"/>
      <c r="BC357" s="78"/>
    </row>
    <row r="358">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c r="AA358" s="78"/>
      <c r="AB358" s="78"/>
      <c r="AC358" s="78"/>
      <c r="AD358" s="78"/>
      <c r="AE358" s="78"/>
      <c r="AF358" s="78"/>
      <c r="AG358" s="78"/>
      <c r="AH358" s="78"/>
      <c r="AI358" s="78"/>
      <c r="AJ358" s="78"/>
      <c r="AK358" s="78"/>
      <c r="AL358" s="78"/>
      <c r="AM358" s="78"/>
      <c r="AN358" s="78"/>
      <c r="AO358" s="78"/>
      <c r="AP358" s="78"/>
      <c r="AQ358" s="78"/>
      <c r="AR358" s="78"/>
      <c r="AS358" s="78"/>
      <c r="AT358" s="78"/>
      <c r="AU358" s="78"/>
      <c r="AV358" s="78"/>
      <c r="AW358" s="78"/>
      <c r="AX358" s="78"/>
      <c r="AY358" s="78"/>
      <c r="AZ358" s="78"/>
      <c r="BA358" s="78"/>
      <c r="BB358" s="78"/>
      <c r="BC358" s="78"/>
    </row>
    <row r="359">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c r="AA359" s="78"/>
      <c r="AB359" s="78"/>
      <c r="AC359" s="78"/>
      <c r="AD359" s="78"/>
      <c r="AE359" s="78"/>
      <c r="AF359" s="78"/>
      <c r="AG359" s="78"/>
      <c r="AH359" s="78"/>
      <c r="AI359" s="78"/>
      <c r="AJ359" s="78"/>
      <c r="AK359" s="78"/>
      <c r="AL359" s="78"/>
      <c r="AM359" s="78"/>
      <c r="AN359" s="78"/>
      <c r="AO359" s="78"/>
      <c r="AP359" s="78"/>
      <c r="AQ359" s="78"/>
      <c r="AR359" s="78"/>
      <c r="AS359" s="78"/>
      <c r="AT359" s="78"/>
      <c r="AU359" s="78"/>
      <c r="AV359" s="78"/>
      <c r="AW359" s="78"/>
      <c r="AX359" s="78"/>
      <c r="AY359" s="78"/>
      <c r="AZ359" s="78"/>
      <c r="BA359" s="78"/>
      <c r="BB359" s="78"/>
      <c r="BC359" s="78"/>
    </row>
    <row r="360">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c r="AA360" s="78"/>
      <c r="AB360" s="78"/>
      <c r="AC360" s="78"/>
      <c r="AD360" s="78"/>
      <c r="AE360" s="78"/>
      <c r="AF360" s="78"/>
      <c r="AG360" s="78"/>
      <c r="AH360" s="78"/>
      <c r="AI360" s="78"/>
      <c r="AJ360" s="78"/>
      <c r="AK360" s="78"/>
      <c r="AL360" s="78"/>
      <c r="AM360" s="78"/>
      <c r="AN360" s="78"/>
      <c r="AO360" s="78"/>
      <c r="AP360" s="78"/>
      <c r="AQ360" s="78"/>
      <c r="AR360" s="78"/>
      <c r="AS360" s="78"/>
      <c r="AT360" s="78"/>
      <c r="AU360" s="78"/>
      <c r="AV360" s="78"/>
      <c r="AW360" s="78"/>
      <c r="AX360" s="78"/>
      <c r="AY360" s="78"/>
      <c r="AZ360" s="78"/>
      <c r="BA360" s="78"/>
      <c r="BB360" s="78"/>
      <c r="BC360" s="78"/>
    </row>
    <row r="361">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row>
    <row r="362">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c r="AA362" s="78"/>
      <c r="AB362" s="78"/>
      <c r="AC362" s="78"/>
      <c r="AD362" s="78"/>
      <c r="AE362" s="78"/>
      <c r="AF362" s="78"/>
      <c r="AG362" s="78"/>
      <c r="AH362" s="78"/>
      <c r="AI362" s="78"/>
      <c r="AJ362" s="78"/>
      <c r="AK362" s="78"/>
      <c r="AL362" s="78"/>
      <c r="AM362" s="78"/>
      <c r="AN362" s="78"/>
      <c r="AO362" s="78"/>
      <c r="AP362" s="78"/>
      <c r="AQ362" s="78"/>
      <c r="AR362" s="78"/>
      <c r="AS362" s="78"/>
      <c r="AT362" s="78"/>
      <c r="AU362" s="78"/>
      <c r="AV362" s="78"/>
      <c r="AW362" s="78"/>
      <c r="AX362" s="78"/>
      <c r="AY362" s="78"/>
      <c r="AZ362" s="78"/>
      <c r="BA362" s="78"/>
      <c r="BB362" s="78"/>
      <c r="BC362" s="78"/>
    </row>
    <row r="363">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row>
    <row r="364">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row>
    <row r="365">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row>
    <row r="366">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row>
    <row r="367">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row>
    <row r="368">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row>
    <row r="369">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row>
    <row r="370">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row>
    <row r="371">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row>
    <row r="372">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row>
    <row r="373">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row>
    <row r="374">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row>
    <row r="375">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row>
    <row r="376">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row>
    <row r="377">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c r="AA377" s="78"/>
      <c r="AB377" s="78"/>
      <c r="AC377" s="78"/>
      <c r="AD377" s="78"/>
      <c r="AE377" s="78"/>
      <c r="AF377" s="78"/>
      <c r="AG377" s="78"/>
      <c r="AH377" s="78"/>
      <c r="AI377" s="78"/>
      <c r="AJ377" s="78"/>
      <c r="AK377" s="78"/>
      <c r="AL377" s="78"/>
      <c r="AM377" s="78"/>
      <c r="AN377" s="78"/>
      <c r="AO377" s="78"/>
      <c r="AP377" s="78"/>
      <c r="AQ377" s="78"/>
      <c r="AR377" s="78"/>
      <c r="AS377" s="78"/>
      <c r="AT377" s="78"/>
      <c r="AU377" s="78"/>
      <c r="AV377" s="78"/>
      <c r="AW377" s="78"/>
      <c r="AX377" s="78"/>
      <c r="AY377" s="78"/>
      <c r="AZ377" s="78"/>
      <c r="BA377" s="78"/>
      <c r="BB377" s="78"/>
      <c r="BC377" s="78"/>
    </row>
    <row r="378">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c r="AA378" s="78"/>
      <c r="AB378" s="78"/>
      <c r="AC378" s="78"/>
      <c r="AD378" s="78"/>
      <c r="AE378" s="78"/>
      <c r="AF378" s="78"/>
      <c r="AG378" s="78"/>
      <c r="AH378" s="78"/>
      <c r="AI378" s="78"/>
      <c r="AJ378" s="78"/>
      <c r="AK378" s="78"/>
      <c r="AL378" s="78"/>
      <c r="AM378" s="78"/>
      <c r="AN378" s="78"/>
      <c r="AO378" s="78"/>
      <c r="AP378" s="78"/>
      <c r="AQ378" s="78"/>
      <c r="AR378" s="78"/>
      <c r="AS378" s="78"/>
      <c r="AT378" s="78"/>
      <c r="AU378" s="78"/>
      <c r="AV378" s="78"/>
      <c r="AW378" s="78"/>
      <c r="AX378" s="78"/>
      <c r="AY378" s="78"/>
      <c r="AZ378" s="78"/>
      <c r="BA378" s="78"/>
      <c r="BB378" s="78"/>
      <c r="BC378" s="78"/>
    </row>
    <row r="379">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c r="AA379" s="78"/>
      <c r="AB379" s="78"/>
      <c r="AC379" s="78"/>
      <c r="AD379" s="78"/>
      <c r="AE379" s="78"/>
      <c r="AF379" s="78"/>
      <c r="AG379" s="78"/>
      <c r="AH379" s="78"/>
      <c r="AI379" s="78"/>
      <c r="AJ379" s="78"/>
      <c r="AK379" s="78"/>
      <c r="AL379" s="78"/>
      <c r="AM379" s="78"/>
      <c r="AN379" s="78"/>
      <c r="AO379" s="78"/>
      <c r="AP379" s="78"/>
      <c r="AQ379" s="78"/>
      <c r="AR379" s="78"/>
      <c r="AS379" s="78"/>
      <c r="AT379" s="78"/>
      <c r="AU379" s="78"/>
      <c r="AV379" s="78"/>
      <c r="AW379" s="78"/>
      <c r="AX379" s="78"/>
      <c r="AY379" s="78"/>
      <c r="AZ379" s="78"/>
      <c r="BA379" s="78"/>
      <c r="BB379" s="78"/>
      <c r="BC379" s="78"/>
    </row>
    <row r="380">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c r="AA380" s="78"/>
      <c r="AB380" s="78"/>
      <c r="AC380" s="78"/>
      <c r="AD380" s="78"/>
      <c r="AE380" s="78"/>
      <c r="AF380" s="78"/>
      <c r="AG380" s="78"/>
      <c r="AH380" s="78"/>
      <c r="AI380" s="78"/>
      <c r="AJ380" s="78"/>
      <c r="AK380" s="78"/>
      <c r="AL380" s="78"/>
      <c r="AM380" s="78"/>
      <c r="AN380" s="78"/>
      <c r="AO380" s="78"/>
      <c r="AP380" s="78"/>
      <c r="AQ380" s="78"/>
      <c r="AR380" s="78"/>
      <c r="AS380" s="78"/>
      <c r="AT380" s="78"/>
      <c r="AU380" s="78"/>
      <c r="AV380" s="78"/>
      <c r="AW380" s="78"/>
      <c r="AX380" s="78"/>
      <c r="AY380" s="78"/>
      <c r="AZ380" s="78"/>
      <c r="BA380" s="78"/>
      <c r="BB380" s="78"/>
      <c r="BC380" s="78"/>
    </row>
    <row r="381">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row>
    <row r="382">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row>
    <row r="383">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row>
    <row r="384">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c r="AA384" s="78"/>
      <c r="AB384" s="78"/>
      <c r="AC384" s="78"/>
      <c r="AD384" s="78"/>
      <c r="AE384" s="78"/>
      <c r="AF384" s="78"/>
      <c r="AG384" s="78"/>
      <c r="AH384" s="78"/>
      <c r="AI384" s="78"/>
      <c r="AJ384" s="78"/>
      <c r="AK384" s="78"/>
      <c r="AL384" s="78"/>
      <c r="AM384" s="78"/>
      <c r="AN384" s="78"/>
      <c r="AO384" s="78"/>
      <c r="AP384" s="78"/>
      <c r="AQ384" s="78"/>
      <c r="AR384" s="78"/>
      <c r="AS384" s="78"/>
      <c r="AT384" s="78"/>
      <c r="AU384" s="78"/>
      <c r="AV384" s="78"/>
      <c r="AW384" s="78"/>
      <c r="AX384" s="78"/>
      <c r="AY384" s="78"/>
      <c r="AZ384" s="78"/>
      <c r="BA384" s="78"/>
      <c r="BB384" s="78"/>
      <c r="BC384" s="78"/>
    </row>
    <row r="385">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c r="AA385" s="78"/>
      <c r="AB385" s="78"/>
      <c r="AC385" s="78"/>
      <c r="AD385" s="78"/>
      <c r="AE385" s="78"/>
      <c r="AF385" s="78"/>
      <c r="AG385" s="78"/>
      <c r="AH385" s="78"/>
      <c r="AI385" s="78"/>
      <c r="AJ385" s="78"/>
      <c r="AK385" s="78"/>
      <c r="AL385" s="78"/>
      <c r="AM385" s="78"/>
      <c r="AN385" s="78"/>
      <c r="AO385" s="78"/>
      <c r="AP385" s="78"/>
      <c r="AQ385" s="78"/>
      <c r="AR385" s="78"/>
      <c r="AS385" s="78"/>
      <c r="AT385" s="78"/>
      <c r="AU385" s="78"/>
      <c r="AV385" s="78"/>
      <c r="AW385" s="78"/>
      <c r="AX385" s="78"/>
      <c r="AY385" s="78"/>
      <c r="AZ385" s="78"/>
      <c r="BA385" s="78"/>
      <c r="BB385" s="78"/>
      <c r="BC385" s="78"/>
    </row>
    <row r="386">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c r="AA386" s="78"/>
      <c r="AB386" s="78"/>
      <c r="AC386" s="78"/>
      <c r="AD386" s="78"/>
      <c r="AE386" s="78"/>
      <c r="AF386" s="78"/>
      <c r="AG386" s="78"/>
      <c r="AH386" s="78"/>
      <c r="AI386" s="78"/>
      <c r="AJ386" s="78"/>
      <c r="AK386" s="78"/>
      <c r="AL386" s="78"/>
      <c r="AM386" s="78"/>
      <c r="AN386" s="78"/>
      <c r="AO386" s="78"/>
      <c r="AP386" s="78"/>
      <c r="AQ386" s="78"/>
      <c r="AR386" s="78"/>
      <c r="AS386" s="78"/>
      <c r="AT386" s="78"/>
      <c r="AU386" s="78"/>
      <c r="AV386" s="78"/>
      <c r="AW386" s="78"/>
      <c r="AX386" s="78"/>
      <c r="AY386" s="78"/>
      <c r="AZ386" s="78"/>
      <c r="BA386" s="78"/>
      <c r="BB386" s="78"/>
      <c r="BC386" s="78"/>
    </row>
    <row r="387">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c r="AA387" s="78"/>
      <c r="AB387" s="78"/>
      <c r="AC387" s="78"/>
      <c r="AD387" s="78"/>
      <c r="AE387" s="78"/>
      <c r="AF387" s="78"/>
      <c r="AG387" s="78"/>
      <c r="AH387" s="78"/>
      <c r="AI387" s="78"/>
      <c r="AJ387" s="78"/>
      <c r="AK387" s="78"/>
      <c r="AL387" s="78"/>
      <c r="AM387" s="78"/>
      <c r="AN387" s="78"/>
      <c r="AO387" s="78"/>
      <c r="AP387" s="78"/>
      <c r="AQ387" s="78"/>
      <c r="AR387" s="78"/>
      <c r="AS387" s="78"/>
      <c r="AT387" s="78"/>
      <c r="AU387" s="78"/>
      <c r="AV387" s="78"/>
      <c r="AW387" s="78"/>
      <c r="AX387" s="78"/>
      <c r="AY387" s="78"/>
      <c r="AZ387" s="78"/>
      <c r="BA387" s="78"/>
      <c r="BB387" s="78"/>
      <c r="BC387" s="78"/>
    </row>
    <row r="388">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c r="AA388" s="78"/>
      <c r="AB388" s="78"/>
      <c r="AC388" s="78"/>
      <c r="AD388" s="78"/>
      <c r="AE388" s="78"/>
      <c r="AF388" s="78"/>
      <c r="AG388" s="78"/>
      <c r="AH388" s="78"/>
      <c r="AI388" s="78"/>
      <c r="AJ388" s="78"/>
      <c r="AK388" s="78"/>
      <c r="AL388" s="78"/>
      <c r="AM388" s="78"/>
      <c r="AN388" s="78"/>
      <c r="AO388" s="78"/>
      <c r="AP388" s="78"/>
      <c r="AQ388" s="78"/>
      <c r="AR388" s="78"/>
      <c r="AS388" s="78"/>
      <c r="AT388" s="78"/>
      <c r="AU388" s="78"/>
      <c r="AV388" s="78"/>
      <c r="AW388" s="78"/>
      <c r="AX388" s="78"/>
      <c r="AY388" s="78"/>
      <c r="AZ388" s="78"/>
      <c r="BA388" s="78"/>
      <c r="BB388" s="78"/>
      <c r="BC388" s="78"/>
    </row>
    <row r="389">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c r="AA389" s="78"/>
      <c r="AB389" s="78"/>
      <c r="AC389" s="78"/>
      <c r="AD389" s="78"/>
      <c r="AE389" s="78"/>
      <c r="AF389" s="78"/>
      <c r="AG389" s="78"/>
      <c r="AH389" s="78"/>
      <c r="AI389" s="78"/>
      <c r="AJ389" s="78"/>
      <c r="AK389" s="78"/>
      <c r="AL389" s="78"/>
      <c r="AM389" s="78"/>
      <c r="AN389" s="78"/>
      <c r="AO389" s="78"/>
      <c r="AP389" s="78"/>
      <c r="AQ389" s="78"/>
      <c r="AR389" s="78"/>
      <c r="AS389" s="78"/>
      <c r="AT389" s="78"/>
      <c r="AU389" s="78"/>
      <c r="AV389" s="78"/>
      <c r="AW389" s="78"/>
      <c r="AX389" s="78"/>
      <c r="AY389" s="78"/>
      <c r="AZ389" s="78"/>
      <c r="BA389" s="78"/>
      <c r="BB389" s="78"/>
      <c r="BC389" s="78"/>
    </row>
    <row r="390">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c r="AA390" s="78"/>
      <c r="AB390" s="78"/>
      <c r="AC390" s="78"/>
      <c r="AD390" s="78"/>
      <c r="AE390" s="78"/>
      <c r="AF390" s="78"/>
      <c r="AG390" s="78"/>
      <c r="AH390" s="78"/>
      <c r="AI390" s="78"/>
      <c r="AJ390" s="78"/>
      <c r="AK390" s="78"/>
      <c r="AL390" s="78"/>
      <c r="AM390" s="78"/>
      <c r="AN390" s="78"/>
      <c r="AO390" s="78"/>
      <c r="AP390" s="78"/>
      <c r="AQ390" s="78"/>
      <c r="AR390" s="78"/>
      <c r="AS390" s="78"/>
      <c r="AT390" s="78"/>
      <c r="AU390" s="78"/>
      <c r="AV390" s="78"/>
      <c r="AW390" s="78"/>
      <c r="AX390" s="78"/>
      <c r="AY390" s="78"/>
      <c r="AZ390" s="78"/>
      <c r="BA390" s="78"/>
      <c r="BB390" s="78"/>
      <c r="BC390" s="78"/>
    </row>
    <row r="391">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c r="AA391" s="78"/>
      <c r="AB391" s="78"/>
      <c r="AC391" s="78"/>
      <c r="AD391" s="78"/>
      <c r="AE391" s="78"/>
      <c r="AF391" s="78"/>
      <c r="AG391" s="78"/>
      <c r="AH391" s="78"/>
      <c r="AI391" s="78"/>
      <c r="AJ391" s="78"/>
      <c r="AK391" s="78"/>
      <c r="AL391" s="78"/>
      <c r="AM391" s="78"/>
      <c r="AN391" s="78"/>
      <c r="AO391" s="78"/>
      <c r="AP391" s="78"/>
      <c r="AQ391" s="78"/>
      <c r="AR391" s="78"/>
      <c r="AS391" s="78"/>
      <c r="AT391" s="78"/>
      <c r="AU391" s="78"/>
      <c r="AV391" s="78"/>
      <c r="AW391" s="78"/>
      <c r="AX391" s="78"/>
      <c r="AY391" s="78"/>
      <c r="AZ391" s="78"/>
      <c r="BA391" s="78"/>
      <c r="BB391" s="78"/>
      <c r="BC391" s="78"/>
    </row>
    <row r="392">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c r="AA392" s="78"/>
      <c r="AB392" s="78"/>
      <c r="AC392" s="78"/>
      <c r="AD392" s="78"/>
      <c r="AE392" s="78"/>
      <c r="AF392" s="78"/>
      <c r="AG392" s="78"/>
      <c r="AH392" s="78"/>
      <c r="AI392" s="78"/>
      <c r="AJ392" s="78"/>
      <c r="AK392" s="78"/>
      <c r="AL392" s="78"/>
      <c r="AM392" s="78"/>
      <c r="AN392" s="78"/>
      <c r="AO392" s="78"/>
      <c r="AP392" s="78"/>
      <c r="AQ392" s="78"/>
      <c r="AR392" s="78"/>
      <c r="AS392" s="78"/>
      <c r="AT392" s="78"/>
      <c r="AU392" s="78"/>
      <c r="AV392" s="78"/>
      <c r="AW392" s="78"/>
      <c r="AX392" s="78"/>
      <c r="AY392" s="78"/>
      <c r="AZ392" s="78"/>
      <c r="BA392" s="78"/>
      <c r="BB392" s="78"/>
      <c r="BC392" s="78"/>
    </row>
    <row r="393">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row>
    <row r="394">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row>
    <row r="395">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c r="AA395" s="78"/>
      <c r="AB395" s="78"/>
      <c r="AC395" s="78"/>
      <c r="AD395" s="78"/>
      <c r="AE395" s="78"/>
      <c r="AF395" s="78"/>
      <c r="AG395" s="78"/>
      <c r="AH395" s="78"/>
      <c r="AI395" s="78"/>
      <c r="AJ395" s="78"/>
      <c r="AK395" s="78"/>
      <c r="AL395" s="78"/>
      <c r="AM395" s="78"/>
      <c r="AN395" s="78"/>
      <c r="AO395" s="78"/>
      <c r="AP395" s="78"/>
      <c r="AQ395" s="78"/>
      <c r="AR395" s="78"/>
      <c r="AS395" s="78"/>
      <c r="AT395" s="78"/>
      <c r="AU395" s="78"/>
      <c r="AV395" s="78"/>
      <c r="AW395" s="78"/>
      <c r="AX395" s="78"/>
      <c r="AY395" s="78"/>
      <c r="AZ395" s="78"/>
      <c r="BA395" s="78"/>
      <c r="BB395" s="78"/>
      <c r="BC395" s="78"/>
    </row>
    <row r="396">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row>
    <row r="397">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row>
    <row r="398">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row>
    <row r="399">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c r="AA399" s="78"/>
      <c r="AB399" s="78"/>
      <c r="AC399" s="78"/>
      <c r="AD399" s="78"/>
      <c r="AE399" s="78"/>
      <c r="AF399" s="78"/>
      <c r="AG399" s="78"/>
      <c r="AH399" s="78"/>
      <c r="AI399" s="78"/>
      <c r="AJ399" s="78"/>
      <c r="AK399" s="78"/>
      <c r="AL399" s="78"/>
      <c r="AM399" s="78"/>
      <c r="AN399" s="78"/>
      <c r="AO399" s="78"/>
      <c r="AP399" s="78"/>
      <c r="AQ399" s="78"/>
      <c r="AR399" s="78"/>
      <c r="AS399" s="78"/>
      <c r="AT399" s="78"/>
      <c r="AU399" s="78"/>
      <c r="AV399" s="78"/>
      <c r="AW399" s="78"/>
      <c r="AX399" s="78"/>
      <c r="AY399" s="78"/>
      <c r="AZ399" s="78"/>
      <c r="BA399" s="78"/>
      <c r="BB399" s="78"/>
      <c r="BC399" s="78"/>
    </row>
    <row r="400">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row>
    <row r="401">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row>
    <row r="402">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row>
    <row r="403">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c r="AA403" s="78"/>
      <c r="AB403" s="78"/>
      <c r="AC403" s="78"/>
      <c r="AD403" s="78"/>
      <c r="AE403" s="78"/>
      <c r="AF403" s="78"/>
      <c r="AG403" s="78"/>
      <c r="AH403" s="78"/>
      <c r="AI403" s="78"/>
      <c r="AJ403" s="78"/>
      <c r="AK403" s="78"/>
      <c r="AL403" s="78"/>
      <c r="AM403" s="78"/>
      <c r="AN403" s="78"/>
      <c r="AO403" s="78"/>
      <c r="AP403" s="78"/>
      <c r="AQ403" s="78"/>
      <c r="AR403" s="78"/>
      <c r="AS403" s="78"/>
      <c r="AT403" s="78"/>
      <c r="AU403" s="78"/>
      <c r="AV403" s="78"/>
      <c r="AW403" s="78"/>
      <c r="AX403" s="78"/>
      <c r="AY403" s="78"/>
      <c r="AZ403" s="78"/>
      <c r="BA403" s="78"/>
      <c r="BB403" s="78"/>
      <c r="BC403" s="78"/>
    </row>
    <row r="404">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row>
    <row r="405">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row>
    <row r="406">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row>
    <row r="407">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row>
    <row r="408">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c r="AA408" s="78"/>
      <c r="AB408" s="78"/>
      <c r="AC408" s="78"/>
      <c r="AD408" s="78"/>
      <c r="AE408" s="78"/>
      <c r="AF408" s="78"/>
      <c r="AG408" s="78"/>
      <c r="AH408" s="78"/>
      <c r="AI408" s="78"/>
      <c r="AJ408" s="78"/>
      <c r="AK408" s="78"/>
      <c r="AL408" s="78"/>
      <c r="AM408" s="78"/>
      <c r="AN408" s="78"/>
      <c r="AO408" s="78"/>
      <c r="AP408" s="78"/>
      <c r="AQ408" s="78"/>
      <c r="AR408" s="78"/>
      <c r="AS408" s="78"/>
      <c r="AT408" s="78"/>
      <c r="AU408" s="78"/>
      <c r="AV408" s="78"/>
      <c r="AW408" s="78"/>
      <c r="AX408" s="78"/>
      <c r="AY408" s="78"/>
      <c r="AZ408" s="78"/>
      <c r="BA408" s="78"/>
      <c r="BB408" s="78"/>
      <c r="BC408" s="78"/>
    </row>
    <row r="409">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c r="AT409" s="78"/>
      <c r="AU409" s="78"/>
      <c r="AV409" s="78"/>
      <c r="AW409" s="78"/>
      <c r="AX409" s="78"/>
      <c r="AY409" s="78"/>
      <c r="AZ409" s="78"/>
      <c r="BA409" s="78"/>
      <c r="BB409" s="78"/>
      <c r="BC409" s="78"/>
    </row>
    <row r="410">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c r="AA410" s="78"/>
      <c r="AB410" s="78"/>
      <c r="AC410" s="78"/>
      <c r="AD410" s="78"/>
      <c r="AE410" s="78"/>
      <c r="AF410" s="78"/>
      <c r="AG410" s="78"/>
      <c r="AH410" s="78"/>
      <c r="AI410" s="78"/>
      <c r="AJ410" s="78"/>
      <c r="AK410" s="78"/>
      <c r="AL410" s="78"/>
      <c r="AM410" s="78"/>
      <c r="AN410" s="78"/>
      <c r="AO410" s="78"/>
      <c r="AP410" s="78"/>
      <c r="AQ410" s="78"/>
      <c r="AR410" s="78"/>
      <c r="AS410" s="78"/>
      <c r="AT410" s="78"/>
      <c r="AU410" s="78"/>
      <c r="AV410" s="78"/>
      <c r="AW410" s="78"/>
      <c r="AX410" s="78"/>
      <c r="AY410" s="78"/>
      <c r="AZ410" s="78"/>
      <c r="BA410" s="78"/>
      <c r="BB410" s="78"/>
      <c r="BC410" s="78"/>
    </row>
    <row r="411">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c r="AA411" s="78"/>
      <c r="AB411" s="78"/>
      <c r="AC411" s="78"/>
      <c r="AD411" s="78"/>
      <c r="AE411" s="78"/>
      <c r="AF411" s="78"/>
      <c r="AG411" s="78"/>
      <c r="AH411" s="78"/>
      <c r="AI411" s="78"/>
      <c r="AJ411" s="78"/>
      <c r="AK411" s="78"/>
      <c r="AL411" s="78"/>
      <c r="AM411" s="78"/>
      <c r="AN411" s="78"/>
      <c r="AO411" s="78"/>
      <c r="AP411" s="78"/>
      <c r="AQ411" s="78"/>
      <c r="AR411" s="78"/>
      <c r="AS411" s="78"/>
      <c r="AT411" s="78"/>
      <c r="AU411" s="78"/>
      <c r="AV411" s="78"/>
      <c r="AW411" s="78"/>
      <c r="AX411" s="78"/>
      <c r="AY411" s="78"/>
      <c r="AZ411" s="78"/>
      <c r="BA411" s="78"/>
      <c r="BB411" s="78"/>
      <c r="BC411" s="78"/>
    </row>
    <row r="412">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row>
    <row r="413">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c r="AA413" s="78"/>
      <c r="AB413" s="78"/>
      <c r="AC413" s="78"/>
      <c r="AD413" s="78"/>
      <c r="AE413" s="78"/>
      <c r="AF413" s="78"/>
      <c r="AG413" s="78"/>
      <c r="AH413" s="78"/>
      <c r="AI413" s="78"/>
      <c r="AJ413" s="78"/>
      <c r="AK413" s="78"/>
      <c r="AL413" s="78"/>
      <c r="AM413" s="78"/>
      <c r="AN413" s="78"/>
      <c r="AO413" s="78"/>
      <c r="AP413" s="78"/>
      <c r="AQ413" s="78"/>
      <c r="AR413" s="78"/>
      <c r="AS413" s="78"/>
      <c r="AT413" s="78"/>
      <c r="AU413" s="78"/>
      <c r="AV413" s="78"/>
      <c r="AW413" s="78"/>
      <c r="AX413" s="78"/>
      <c r="AY413" s="78"/>
      <c r="AZ413" s="78"/>
      <c r="BA413" s="78"/>
      <c r="BB413" s="78"/>
      <c r="BC413" s="78"/>
    </row>
    <row r="414">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c r="AA414" s="78"/>
      <c r="AB414" s="78"/>
      <c r="AC414" s="78"/>
      <c r="AD414" s="78"/>
      <c r="AE414" s="78"/>
      <c r="AF414" s="78"/>
      <c r="AG414" s="78"/>
      <c r="AH414" s="78"/>
      <c r="AI414" s="78"/>
      <c r="AJ414" s="78"/>
      <c r="AK414" s="78"/>
      <c r="AL414" s="78"/>
      <c r="AM414" s="78"/>
      <c r="AN414" s="78"/>
      <c r="AO414" s="78"/>
      <c r="AP414" s="78"/>
      <c r="AQ414" s="78"/>
      <c r="AR414" s="78"/>
      <c r="AS414" s="78"/>
      <c r="AT414" s="78"/>
      <c r="AU414" s="78"/>
      <c r="AV414" s="78"/>
      <c r="AW414" s="78"/>
      <c r="AX414" s="78"/>
      <c r="AY414" s="78"/>
      <c r="AZ414" s="78"/>
      <c r="BA414" s="78"/>
      <c r="BB414" s="78"/>
      <c r="BC414" s="78"/>
    </row>
    <row r="415">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c r="AA415" s="78"/>
      <c r="AB415" s="78"/>
      <c r="AC415" s="78"/>
      <c r="AD415" s="78"/>
      <c r="AE415" s="78"/>
      <c r="AF415" s="78"/>
      <c r="AG415" s="78"/>
      <c r="AH415" s="78"/>
      <c r="AI415" s="78"/>
      <c r="AJ415" s="78"/>
      <c r="AK415" s="78"/>
      <c r="AL415" s="78"/>
      <c r="AM415" s="78"/>
      <c r="AN415" s="78"/>
      <c r="AO415" s="78"/>
      <c r="AP415" s="78"/>
      <c r="AQ415" s="78"/>
      <c r="AR415" s="78"/>
      <c r="AS415" s="78"/>
      <c r="AT415" s="78"/>
      <c r="AU415" s="78"/>
      <c r="AV415" s="78"/>
      <c r="AW415" s="78"/>
      <c r="AX415" s="78"/>
      <c r="AY415" s="78"/>
      <c r="AZ415" s="78"/>
      <c r="BA415" s="78"/>
      <c r="BB415" s="78"/>
      <c r="BC415" s="78"/>
    </row>
    <row r="416">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c r="AA416" s="78"/>
      <c r="AB416" s="78"/>
      <c r="AC416" s="78"/>
      <c r="AD416" s="78"/>
      <c r="AE416" s="78"/>
      <c r="AF416" s="78"/>
      <c r="AG416" s="78"/>
      <c r="AH416" s="78"/>
      <c r="AI416" s="78"/>
      <c r="AJ416" s="78"/>
      <c r="AK416" s="78"/>
      <c r="AL416" s="78"/>
      <c r="AM416" s="78"/>
      <c r="AN416" s="78"/>
      <c r="AO416" s="78"/>
      <c r="AP416" s="78"/>
      <c r="AQ416" s="78"/>
      <c r="AR416" s="78"/>
      <c r="AS416" s="78"/>
      <c r="AT416" s="78"/>
      <c r="AU416" s="78"/>
      <c r="AV416" s="78"/>
      <c r="AW416" s="78"/>
      <c r="AX416" s="78"/>
      <c r="AY416" s="78"/>
      <c r="AZ416" s="78"/>
      <c r="BA416" s="78"/>
      <c r="BB416" s="78"/>
      <c r="BC416" s="78"/>
    </row>
    <row r="417">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c r="AA417" s="78"/>
      <c r="AB417" s="78"/>
      <c r="AC417" s="78"/>
      <c r="AD417" s="78"/>
      <c r="AE417" s="78"/>
      <c r="AF417" s="78"/>
      <c r="AG417" s="78"/>
      <c r="AH417" s="78"/>
      <c r="AI417" s="78"/>
      <c r="AJ417" s="78"/>
      <c r="AK417" s="78"/>
      <c r="AL417" s="78"/>
      <c r="AM417" s="78"/>
      <c r="AN417" s="78"/>
      <c r="AO417" s="78"/>
      <c r="AP417" s="78"/>
      <c r="AQ417" s="78"/>
      <c r="AR417" s="78"/>
      <c r="AS417" s="78"/>
      <c r="AT417" s="78"/>
      <c r="AU417" s="78"/>
      <c r="AV417" s="78"/>
      <c r="AW417" s="78"/>
      <c r="AX417" s="78"/>
      <c r="AY417" s="78"/>
      <c r="AZ417" s="78"/>
      <c r="BA417" s="78"/>
      <c r="BB417" s="78"/>
      <c r="BC417" s="78"/>
    </row>
    <row r="418">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c r="AA418" s="78"/>
      <c r="AB418" s="78"/>
      <c r="AC418" s="78"/>
      <c r="AD418" s="78"/>
      <c r="AE418" s="78"/>
      <c r="AF418" s="78"/>
      <c r="AG418" s="78"/>
      <c r="AH418" s="78"/>
      <c r="AI418" s="78"/>
      <c r="AJ418" s="78"/>
      <c r="AK418" s="78"/>
      <c r="AL418" s="78"/>
      <c r="AM418" s="78"/>
      <c r="AN418" s="78"/>
      <c r="AO418" s="78"/>
      <c r="AP418" s="78"/>
      <c r="AQ418" s="78"/>
      <c r="AR418" s="78"/>
      <c r="AS418" s="78"/>
      <c r="AT418" s="78"/>
      <c r="AU418" s="78"/>
      <c r="AV418" s="78"/>
      <c r="AW418" s="78"/>
      <c r="AX418" s="78"/>
      <c r="AY418" s="78"/>
      <c r="AZ418" s="78"/>
      <c r="BA418" s="78"/>
      <c r="BB418" s="78"/>
      <c r="BC418" s="78"/>
    </row>
    <row r="419">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c r="AA419" s="78"/>
      <c r="AB419" s="78"/>
      <c r="AC419" s="78"/>
      <c r="AD419" s="78"/>
      <c r="AE419" s="78"/>
      <c r="AF419" s="78"/>
      <c r="AG419" s="78"/>
      <c r="AH419" s="78"/>
      <c r="AI419" s="78"/>
      <c r="AJ419" s="78"/>
      <c r="AK419" s="78"/>
      <c r="AL419" s="78"/>
      <c r="AM419" s="78"/>
      <c r="AN419" s="78"/>
      <c r="AO419" s="78"/>
      <c r="AP419" s="78"/>
      <c r="AQ419" s="78"/>
      <c r="AR419" s="78"/>
      <c r="AS419" s="78"/>
      <c r="AT419" s="78"/>
      <c r="AU419" s="78"/>
      <c r="AV419" s="78"/>
      <c r="AW419" s="78"/>
      <c r="AX419" s="78"/>
      <c r="AY419" s="78"/>
      <c r="AZ419" s="78"/>
      <c r="BA419" s="78"/>
      <c r="BB419" s="78"/>
      <c r="BC419" s="78"/>
    </row>
    <row r="420">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row>
    <row r="421">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c r="AA421" s="78"/>
      <c r="AB421" s="78"/>
      <c r="AC421" s="78"/>
      <c r="AD421" s="78"/>
      <c r="AE421" s="78"/>
      <c r="AF421" s="78"/>
      <c r="AG421" s="78"/>
      <c r="AH421" s="78"/>
      <c r="AI421" s="78"/>
      <c r="AJ421" s="78"/>
      <c r="AK421" s="78"/>
      <c r="AL421" s="78"/>
      <c r="AM421" s="78"/>
      <c r="AN421" s="78"/>
      <c r="AO421" s="78"/>
      <c r="AP421" s="78"/>
      <c r="AQ421" s="78"/>
      <c r="AR421" s="78"/>
      <c r="AS421" s="78"/>
      <c r="AT421" s="78"/>
      <c r="AU421" s="78"/>
      <c r="AV421" s="78"/>
      <c r="AW421" s="78"/>
      <c r="AX421" s="78"/>
      <c r="AY421" s="78"/>
      <c r="AZ421" s="78"/>
      <c r="BA421" s="78"/>
      <c r="BB421" s="78"/>
      <c r="BC421" s="78"/>
    </row>
    <row r="422">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c r="AA422" s="78"/>
      <c r="AB422" s="78"/>
      <c r="AC422" s="78"/>
      <c r="AD422" s="78"/>
      <c r="AE422" s="78"/>
      <c r="AF422" s="78"/>
      <c r="AG422" s="78"/>
      <c r="AH422" s="78"/>
      <c r="AI422" s="78"/>
      <c r="AJ422" s="78"/>
      <c r="AK422" s="78"/>
      <c r="AL422" s="78"/>
      <c r="AM422" s="78"/>
      <c r="AN422" s="78"/>
      <c r="AO422" s="78"/>
      <c r="AP422" s="78"/>
      <c r="AQ422" s="78"/>
      <c r="AR422" s="78"/>
      <c r="AS422" s="78"/>
      <c r="AT422" s="78"/>
      <c r="AU422" s="78"/>
      <c r="AV422" s="78"/>
      <c r="AW422" s="78"/>
      <c r="AX422" s="78"/>
      <c r="AY422" s="78"/>
      <c r="AZ422" s="78"/>
      <c r="BA422" s="78"/>
      <c r="BB422" s="78"/>
      <c r="BC422" s="78"/>
    </row>
    <row r="423">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c r="AA423" s="78"/>
      <c r="AB423" s="78"/>
      <c r="AC423" s="78"/>
      <c r="AD423" s="78"/>
      <c r="AE423" s="78"/>
      <c r="AF423" s="78"/>
      <c r="AG423" s="78"/>
      <c r="AH423" s="78"/>
      <c r="AI423" s="78"/>
      <c r="AJ423" s="78"/>
      <c r="AK423" s="78"/>
      <c r="AL423" s="78"/>
      <c r="AM423" s="78"/>
      <c r="AN423" s="78"/>
      <c r="AO423" s="78"/>
      <c r="AP423" s="78"/>
      <c r="AQ423" s="78"/>
      <c r="AR423" s="78"/>
      <c r="AS423" s="78"/>
      <c r="AT423" s="78"/>
      <c r="AU423" s="78"/>
      <c r="AV423" s="78"/>
      <c r="AW423" s="78"/>
      <c r="AX423" s="78"/>
      <c r="AY423" s="78"/>
      <c r="AZ423" s="78"/>
      <c r="BA423" s="78"/>
      <c r="BB423" s="78"/>
      <c r="BC423" s="78"/>
    </row>
    <row r="424">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c r="AA424" s="78"/>
      <c r="AB424" s="78"/>
      <c r="AC424" s="78"/>
      <c r="AD424" s="78"/>
      <c r="AE424" s="78"/>
      <c r="AF424" s="78"/>
      <c r="AG424" s="78"/>
      <c r="AH424" s="78"/>
      <c r="AI424" s="78"/>
      <c r="AJ424" s="78"/>
      <c r="AK424" s="78"/>
      <c r="AL424" s="78"/>
      <c r="AM424" s="78"/>
      <c r="AN424" s="78"/>
      <c r="AO424" s="78"/>
      <c r="AP424" s="78"/>
      <c r="AQ424" s="78"/>
      <c r="AR424" s="78"/>
      <c r="AS424" s="78"/>
      <c r="AT424" s="78"/>
      <c r="AU424" s="78"/>
      <c r="AV424" s="78"/>
      <c r="AW424" s="78"/>
      <c r="AX424" s="78"/>
      <c r="AY424" s="78"/>
      <c r="AZ424" s="78"/>
      <c r="BA424" s="78"/>
      <c r="BB424" s="78"/>
      <c r="BC424" s="78"/>
    </row>
    <row r="425">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c r="AA425" s="78"/>
      <c r="AB425" s="78"/>
      <c r="AC425" s="78"/>
      <c r="AD425" s="78"/>
      <c r="AE425" s="78"/>
      <c r="AF425" s="78"/>
      <c r="AG425" s="78"/>
      <c r="AH425" s="78"/>
      <c r="AI425" s="78"/>
      <c r="AJ425" s="78"/>
      <c r="AK425" s="78"/>
      <c r="AL425" s="78"/>
      <c r="AM425" s="78"/>
      <c r="AN425" s="78"/>
      <c r="AO425" s="78"/>
      <c r="AP425" s="78"/>
      <c r="AQ425" s="78"/>
      <c r="AR425" s="78"/>
      <c r="AS425" s="78"/>
      <c r="AT425" s="78"/>
      <c r="AU425" s="78"/>
      <c r="AV425" s="78"/>
      <c r="AW425" s="78"/>
      <c r="AX425" s="78"/>
      <c r="AY425" s="78"/>
      <c r="AZ425" s="78"/>
      <c r="BA425" s="78"/>
      <c r="BB425" s="78"/>
      <c r="BC425" s="78"/>
    </row>
    <row r="426">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c r="AA426" s="78"/>
      <c r="AB426" s="78"/>
      <c r="AC426" s="78"/>
      <c r="AD426" s="78"/>
      <c r="AE426" s="78"/>
      <c r="AF426" s="78"/>
      <c r="AG426" s="78"/>
      <c r="AH426" s="78"/>
      <c r="AI426" s="78"/>
      <c r="AJ426" s="78"/>
      <c r="AK426" s="78"/>
      <c r="AL426" s="78"/>
      <c r="AM426" s="78"/>
      <c r="AN426" s="78"/>
      <c r="AO426" s="78"/>
      <c r="AP426" s="78"/>
      <c r="AQ426" s="78"/>
      <c r="AR426" s="78"/>
      <c r="AS426" s="78"/>
      <c r="AT426" s="78"/>
      <c r="AU426" s="78"/>
      <c r="AV426" s="78"/>
      <c r="AW426" s="78"/>
      <c r="AX426" s="78"/>
      <c r="AY426" s="78"/>
      <c r="AZ426" s="78"/>
      <c r="BA426" s="78"/>
      <c r="BB426" s="78"/>
      <c r="BC426" s="78"/>
    </row>
    <row r="427">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c r="AA427" s="78"/>
      <c r="AB427" s="78"/>
      <c r="AC427" s="78"/>
      <c r="AD427" s="78"/>
      <c r="AE427" s="78"/>
      <c r="AF427" s="78"/>
      <c r="AG427" s="78"/>
      <c r="AH427" s="78"/>
      <c r="AI427" s="78"/>
      <c r="AJ427" s="78"/>
      <c r="AK427" s="78"/>
      <c r="AL427" s="78"/>
      <c r="AM427" s="78"/>
      <c r="AN427" s="78"/>
      <c r="AO427" s="78"/>
      <c r="AP427" s="78"/>
      <c r="AQ427" s="78"/>
      <c r="AR427" s="78"/>
      <c r="AS427" s="78"/>
      <c r="AT427" s="78"/>
      <c r="AU427" s="78"/>
      <c r="AV427" s="78"/>
      <c r="AW427" s="78"/>
      <c r="AX427" s="78"/>
      <c r="AY427" s="78"/>
      <c r="AZ427" s="78"/>
      <c r="BA427" s="78"/>
      <c r="BB427" s="78"/>
      <c r="BC427" s="78"/>
    </row>
    <row r="428">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c r="AA428" s="78"/>
      <c r="AB428" s="78"/>
      <c r="AC428" s="78"/>
      <c r="AD428" s="78"/>
      <c r="AE428" s="78"/>
      <c r="AF428" s="78"/>
      <c r="AG428" s="78"/>
      <c r="AH428" s="78"/>
      <c r="AI428" s="78"/>
      <c r="AJ428" s="78"/>
      <c r="AK428" s="78"/>
      <c r="AL428" s="78"/>
      <c r="AM428" s="78"/>
      <c r="AN428" s="78"/>
      <c r="AO428" s="78"/>
      <c r="AP428" s="78"/>
      <c r="AQ428" s="78"/>
      <c r="AR428" s="78"/>
      <c r="AS428" s="78"/>
      <c r="AT428" s="78"/>
      <c r="AU428" s="78"/>
      <c r="AV428" s="78"/>
      <c r="AW428" s="78"/>
      <c r="AX428" s="78"/>
      <c r="AY428" s="78"/>
      <c r="AZ428" s="78"/>
      <c r="BA428" s="78"/>
      <c r="BB428" s="78"/>
      <c r="BC428" s="78"/>
    </row>
    <row r="429">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c r="AA429" s="78"/>
      <c r="AB429" s="78"/>
      <c r="AC429" s="78"/>
      <c r="AD429" s="78"/>
      <c r="AE429" s="78"/>
      <c r="AF429" s="78"/>
      <c r="AG429" s="78"/>
      <c r="AH429" s="78"/>
      <c r="AI429" s="78"/>
      <c r="AJ429" s="78"/>
      <c r="AK429" s="78"/>
      <c r="AL429" s="78"/>
      <c r="AM429" s="78"/>
      <c r="AN429" s="78"/>
      <c r="AO429" s="78"/>
      <c r="AP429" s="78"/>
      <c r="AQ429" s="78"/>
      <c r="AR429" s="78"/>
      <c r="AS429" s="78"/>
      <c r="AT429" s="78"/>
      <c r="AU429" s="78"/>
      <c r="AV429" s="78"/>
      <c r="AW429" s="78"/>
      <c r="AX429" s="78"/>
      <c r="AY429" s="78"/>
      <c r="AZ429" s="78"/>
      <c r="BA429" s="78"/>
      <c r="BB429" s="78"/>
      <c r="BC429" s="78"/>
    </row>
    <row r="430">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c r="AA430" s="78"/>
      <c r="AB430" s="78"/>
      <c r="AC430" s="78"/>
      <c r="AD430" s="78"/>
      <c r="AE430" s="78"/>
      <c r="AF430" s="78"/>
      <c r="AG430" s="78"/>
      <c r="AH430" s="78"/>
      <c r="AI430" s="78"/>
      <c r="AJ430" s="78"/>
      <c r="AK430" s="78"/>
      <c r="AL430" s="78"/>
      <c r="AM430" s="78"/>
      <c r="AN430" s="78"/>
      <c r="AO430" s="78"/>
      <c r="AP430" s="78"/>
      <c r="AQ430" s="78"/>
      <c r="AR430" s="78"/>
      <c r="AS430" s="78"/>
      <c r="AT430" s="78"/>
      <c r="AU430" s="78"/>
      <c r="AV430" s="78"/>
      <c r="AW430" s="78"/>
      <c r="AX430" s="78"/>
      <c r="AY430" s="78"/>
      <c r="AZ430" s="78"/>
      <c r="BA430" s="78"/>
      <c r="BB430" s="78"/>
      <c r="BC430" s="78"/>
    </row>
    <row r="431">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c r="AA431" s="78"/>
      <c r="AB431" s="78"/>
      <c r="AC431" s="78"/>
      <c r="AD431" s="78"/>
      <c r="AE431" s="78"/>
      <c r="AF431" s="78"/>
      <c r="AG431" s="78"/>
      <c r="AH431" s="78"/>
      <c r="AI431" s="78"/>
      <c r="AJ431" s="78"/>
      <c r="AK431" s="78"/>
      <c r="AL431" s="78"/>
      <c r="AM431" s="78"/>
      <c r="AN431" s="78"/>
      <c r="AO431" s="78"/>
      <c r="AP431" s="78"/>
      <c r="AQ431" s="78"/>
      <c r="AR431" s="78"/>
      <c r="AS431" s="78"/>
      <c r="AT431" s="78"/>
      <c r="AU431" s="78"/>
      <c r="AV431" s="78"/>
      <c r="AW431" s="78"/>
      <c r="AX431" s="78"/>
      <c r="AY431" s="78"/>
      <c r="AZ431" s="78"/>
      <c r="BA431" s="78"/>
      <c r="BB431" s="78"/>
      <c r="BC431" s="78"/>
    </row>
    <row r="432">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c r="AA432" s="78"/>
      <c r="AB432" s="78"/>
      <c r="AC432" s="78"/>
      <c r="AD432" s="78"/>
      <c r="AE432" s="78"/>
      <c r="AF432" s="78"/>
      <c r="AG432" s="78"/>
      <c r="AH432" s="78"/>
      <c r="AI432" s="78"/>
      <c r="AJ432" s="78"/>
      <c r="AK432" s="78"/>
      <c r="AL432" s="78"/>
      <c r="AM432" s="78"/>
      <c r="AN432" s="78"/>
      <c r="AO432" s="78"/>
      <c r="AP432" s="78"/>
      <c r="AQ432" s="78"/>
      <c r="AR432" s="78"/>
      <c r="AS432" s="78"/>
      <c r="AT432" s="78"/>
      <c r="AU432" s="78"/>
      <c r="AV432" s="78"/>
      <c r="AW432" s="78"/>
      <c r="AX432" s="78"/>
      <c r="AY432" s="78"/>
      <c r="AZ432" s="78"/>
      <c r="BA432" s="78"/>
      <c r="BB432" s="78"/>
      <c r="BC432" s="78"/>
    </row>
    <row r="433">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c r="AA433" s="78"/>
      <c r="AB433" s="78"/>
      <c r="AC433" s="78"/>
      <c r="AD433" s="78"/>
      <c r="AE433" s="78"/>
      <c r="AF433" s="78"/>
      <c r="AG433" s="78"/>
      <c r="AH433" s="78"/>
      <c r="AI433" s="78"/>
      <c r="AJ433" s="78"/>
      <c r="AK433" s="78"/>
      <c r="AL433" s="78"/>
      <c r="AM433" s="78"/>
      <c r="AN433" s="78"/>
      <c r="AO433" s="78"/>
      <c r="AP433" s="78"/>
      <c r="AQ433" s="78"/>
      <c r="AR433" s="78"/>
      <c r="AS433" s="78"/>
      <c r="AT433" s="78"/>
      <c r="AU433" s="78"/>
      <c r="AV433" s="78"/>
      <c r="AW433" s="78"/>
      <c r="AX433" s="78"/>
      <c r="AY433" s="78"/>
      <c r="AZ433" s="78"/>
      <c r="BA433" s="78"/>
      <c r="BB433" s="78"/>
      <c r="BC433" s="78"/>
    </row>
    <row r="434">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c r="AA434" s="78"/>
      <c r="AB434" s="78"/>
      <c r="AC434" s="78"/>
      <c r="AD434" s="78"/>
      <c r="AE434" s="78"/>
      <c r="AF434" s="78"/>
      <c r="AG434" s="78"/>
      <c r="AH434" s="78"/>
      <c r="AI434" s="78"/>
      <c r="AJ434" s="78"/>
      <c r="AK434" s="78"/>
      <c r="AL434" s="78"/>
      <c r="AM434" s="78"/>
      <c r="AN434" s="78"/>
      <c r="AO434" s="78"/>
      <c r="AP434" s="78"/>
      <c r="AQ434" s="78"/>
      <c r="AR434" s="78"/>
      <c r="AS434" s="78"/>
      <c r="AT434" s="78"/>
      <c r="AU434" s="78"/>
      <c r="AV434" s="78"/>
      <c r="AW434" s="78"/>
      <c r="AX434" s="78"/>
      <c r="AY434" s="78"/>
      <c r="AZ434" s="78"/>
      <c r="BA434" s="78"/>
      <c r="BB434" s="78"/>
      <c r="BC434" s="78"/>
    </row>
    <row r="435">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c r="AA435" s="78"/>
      <c r="AB435" s="78"/>
      <c r="AC435" s="78"/>
      <c r="AD435" s="78"/>
      <c r="AE435" s="78"/>
      <c r="AF435" s="78"/>
      <c r="AG435" s="78"/>
      <c r="AH435" s="78"/>
      <c r="AI435" s="78"/>
      <c r="AJ435" s="78"/>
      <c r="AK435" s="78"/>
      <c r="AL435" s="78"/>
      <c r="AM435" s="78"/>
      <c r="AN435" s="78"/>
      <c r="AO435" s="78"/>
      <c r="AP435" s="78"/>
      <c r="AQ435" s="78"/>
      <c r="AR435" s="78"/>
      <c r="AS435" s="78"/>
      <c r="AT435" s="78"/>
      <c r="AU435" s="78"/>
      <c r="AV435" s="78"/>
      <c r="AW435" s="78"/>
      <c r="AX435" s="78"/>
      <c r="AY435" s="78"/>
      <c r="AZ435" s="78"/>
      <c r="BA435" s="78"/>
      <c r="BB435" s="78"/>
      <c r="BC435" s="78"/>
    </row>
    <row r="436">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c r="AA436" s="78"/>
      <c r="AB436" s="78"/>
      <c r="AC436" s="78"/>
      <c r="AD436" s="78"/>
      <c r="AE436" s="78"/>
      <c r="AF436" s="78"/>
      <c r="AG436" s="78"/>
      <c r="AH436" s="78"/>
      <c r="AI436" s="78"/>
      <c r="AJ436" s="78"/>
      <c r="AK436" s="78"/>
      <c r="AL436" s="78"/>
      <c r="AM436" s="78"/>
      <c r="AN436" s="78"/>
      <c r="AO436" s="78"/>
      <c r="AP436" s="78"/>
      <c r="AQ436" s="78"/>
      <c r="AR436" s="78"/>
      <c r="AS436" s="78"/>
      <c r="AT436" s="78"/>
      <c r="AU436" s="78"/>
      <c r="AV436" s="78"/>
      <c r="AW436" s="78"/>
      <c r="AX436" s="78"/>
      <c r="AY436" s="78"/>
      <c r="AZ436" s="78"/>
      <c r="BA436" s="78"/>
      <c r="BB436" s="78"/>
      <c r="BC436" s="78"/>
    </row>
    <row r="437">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c r="AA437" s="78"/>
      <c r="AB437" s="78"/>
      <c r="AC437" s="78"/>
      <c r="AD437" s="78"/>
      <c r="AE437" s="78"/>
      <c r="AF437" s="78"/>
      <c r="AG437" s="78"/>
      <c r="AH437" s="78"/>
      <c r="AI437" s="78"/>
      <c r="AJ437" s="78"/>
      <c r="AK437" s="78"/>
      <c r="AL437" s="78"/>
      <c r="AM437" s="78"/>
      <c r="AN437" s="78"/>
      <c r="AO437" s="78"/>
      <c r="AP437" s="78"/>
      <c r="AQ437" s="78"/>
      <c r="AR437" s="78"/>
      <c r="AS437" s="78"/>
      <c r="AT437" s="78"/>
      <c r="AU437" s="78"/>
      <c r="AV437" s="78"/>
      <c r="AW437" s="78"/>
      <c r="AX437" s="78"/>
      <c r="AY437" s="78"/>
      <c r="AZ437" s="78"/>
      <c r="BA437" s="78"/>
      <c r="BB437" s="78"/>
      <c r="BC437" s="78"/>
    </row>
    <row r="438">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c r="AA438" s="78"/>
      <c r="AB438" s="78"/>
      <c r="AC438" s="78"/>
      <c r="AD438" s="78"/>
      <c r="AE438" s="78"/>
      <c r="AF438" s="78"/>
      <c r="AG438" s="78"/>
      <c r="AH438" s="78"/>
      <c r="AI438" s="78"/>
      <c r="AJ438" s="78"/>
      <c r="AK438" s="78"/>
      <c r="AL438" s="78"/>
      <c r="AM438" s="78"/>
      <c r="AN438" s="78"/>
      <c r="AO438" s="78"/>
      <c r="AP438" s="78"/>
      <c r="AQ438" s="78"/>
      <c r="AR438" s="78"/>
      <c r="AS438" s="78"/>
      <c r="AT438" s="78"/>
      <c r="AU438" s="78"/>
      <c r="AV438" s="78"/>
      <c r="AW438" s="78"/>
      <c r="AX438" s="78"/>
      <c r="AY438" s="78"/>
      <c r="AZ438" s="78"/>
      <c r="BA438" s="78"/>
      <c r="BB438" s="78"/>
      <c r="BC438" s="78"/>
    </row>
    <row r="439">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c r="AA439" s="78"/>
      <c r="AB439" s="78"/>
      <c r="AC439" s="78"/>
      <c r="AD439" s="78"/>
      <c r="AE439" s="78"/>
      <c r="AF439" s="78"/>
      <c r="AG439" s="78"/>
      <c r="AH439" s="78"/>
      <c r="AI439" s="78"/>
      <c r="AJ439" s="78"/>
      <c r="AK439" s="78"/>
      <c r="AL439" s="78"/>
      <c r="AM439" s="78"/>
      <c r="AN439" s="78"/>
      <c r="AO439" s="78"/>
      <c r="AP439" s="78"/>
      <c r="AQ439" s="78"/>
      <c r="AR439" s="78"/>
      <c r="AS439" s="78"/>
      <c r="AT439" s="78"/>
      <c r="AU439" s="78"/>
      <c r="AV439" s="78"/>
      <c r="AW439" s="78"/>
      <c r="AX439" s="78"/>
      <c r="AY439" s="78"/>
      <c r="AZ439" s="78"/>
      <c r="BA439" s="78"/>
      <c r="BB439" s="78"/>
      <c r="BC439" s="78"/>
    </row>
    <row r="440">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c r="AA440" s="78"/>
      <c r="AB440" s="78"/>
      <c r="AC440" s="78"/>
      <c r="AD440" s="78"/>
      <c r="AE440" s="78"/>
      <c r="AF440" s="78"/>
      <c r="AG440" s="78"/>
      <c r="AH440" s="78"/>
      <c r="AI440" s="78"/>
      <c r="AJ440" s="78"/>
      <c r="AK440" s="78"/>
      <c r="AL440" s="78"/>
      <c r="AM440" s="78"/>
      <c r="AN440" s="78"/>
      <c r="AO440" s="78"/>
      <c r="AP440" s="78"/>
      <c r="AQ440" s="78"/>
      <c r="AR440" s="78"/>
      <c r="AS440" s="78"/>
      <c r="AT440" s="78"/>
      <c r="AU440" s="78"/>
      <c r="AV440" s="78"/>
      <c r="AW440" s="78"/>
      <c r="AX440" s="78"/>
      <c r="AY440" s="78"/>
      <c r="AZ440" s="78"/>
      <c r="BA440" s="78"/>
      <c r="BB440" s="78"/>
      <c r="BC440" s="78"/>
    </row>
    <row r="441">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c r="AA441" s="78"/>
      <c r="AB441" s="78"/>
      <c r="AC441" s="78"/>
      <c r="AD441" s="78"/>
      <c r="AE441" s="78"/>
      <c r="AF441" s="78"/>
      <c r="AG441" s="78"/>
      <c r="AH441" s="78"/>
      <c r="AI441" s="78"/>
      <c r="AJ441" s="78"/>
      <c r="AK441" s="78"/>
      <c r="AL441" s="78"/>
      <c r="AM441" s="78"/>
      <c r="AN441" s="78"/>
      <c r="AO441" s="78"/>
      <c r="AP441" s="78"/>
      <c r="AQ441" s="78"/>
      <c r="AR441" s="78"/>
      <c r="AS441" s="78"/>
      <c r="AT441" s="78"/>
      <c r="AU441" s="78"/>
      <c r="AV441" s="78"/>
      <c r="AW441" s="78"/>
      <c r="AX441" s="78"/>
      <c r="AY441" s="78"/>
      <c r="AZ441" s="78"/>
      <c r="BA441" s="78"/>
      <c r="BB441" s="78"/>
      <c r="BC441" s="78"/>
    </row>
    <row r="442">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c r="AA442" s="78"/>
      <c r="AB442" s="78"/>
      <c r="AC442" s="78"/>
      <c r="AD442" s="78"/>
      <c r="AE442" s="78"/>
      <c r="AF442" s="78"/>
      <c r="AG442" s="78"/>
      <c r="AH442" s="78"/>
      <c r="AI442" s="78"/>
      <c r="AJ442" s="78"/>
      <c r="AK442" s="78"/>
      <c r="AL442" s="78"/>
      <c r="AM442" s="78"/>
      <c r="AN442" s="78"/>
      <c r="AO442" s="78"/>
      <c r="AP442" s="78"/>
      <c r="AQ442" s="78"/>
      <c r="AR442" s="78"/>
      <c r="AS442" s="78"/>
      <c r="AT442" s="78"/>
      <c r="AU442" s="78"/>
      <c r="AV442" s="78"/>
      <c r="AW442" s="78"/>
      <c r="AX442" s="78"/>
      <c r="AY442" s="78"/>
      <c r="AZ442" s="78"/>
      <c r="BA442" s="78"/>
      <c r="BB442" s="78"/>
      <c r="BC442" s="78"/>
    </row>
    <row r="443">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c r="AA443" s="78"/>
      <c r="AB443" s="78"/>
      <c r="AC443" s="78"/>
      <c r="AD443" s="78"/>
      <c r="AE443" s="78"/>
      <c r="AF443" s="78"/>
      <c r="AG443" s="78"/>
      <c r="AH443" s="78"/>
      <c r="AI443" s="78"/>
      <c r="AJ443" s="78"/>
      <c r="AK443" s="78"/>
      <c r="AL443" s="78"/>
      <c r="AM443" s="78"/>
      <c r="AN443" s="78"/>
      <c r="AO443" s="78"/>
      <c r="AP443" s="78"/>
      <c r="AQ443" s="78"/>
      <c r="AR443" s="78"/>
      <c r="AS443" s="78"/>
      <c r="AT443" s="78"/>
      <c r="AU443" s="78"/>
      <c r="AV443" s="78"/>
      <c r="AW443" s="78"/>
      <c r="AX443" s="78"/>
      <c r="AY443" s="78"/>
      <c r="AZ443" s="78"/>
      <c r="BA443" s="78"/>
      <c r="BB443" s="78"/>
      <c r="BC443" s="78"/>
    </row>
    <row r="444">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c r="AA444" s="78"/>
      <c r="AB444" s="78"/>
      <c r="AC444" s="78"/>
      <c r="AD444" s="78"/>
      <c r="AE444" s="78"/>
      <c r="AF444" s="78"/>
      <c r="AG444" s="78"/>
      <c r="AH444" s="78"/>
      <c r="AI444" s="78"/>
      <c r="AJ444" s="78"/>
      <c r="AK444" s="78"/>
      <c r="AL444" s="78"/>
      <c r="AM444" s="78"/>
      <c r="AN444" s="78"/>
      <c r="AO444" s="78"/>
      <c r="AP444" s="78"/>
      <c r="AQ444" s="78"/>
      <c r="AR444" s="78"/>
      <c r="AS444" s="78"/>
      <c r="AT444" s="78"/>
      <c r="AU444" s="78"/>
      <c r="AV444" s="78"/>
      <c r="AW444" s="78"/>
      <c r="AX444" s="78"/>
      <c r="AY444" s="78"/>
      <c r="AZ444" s="78"/>
      <c r="BA444" s="78"/>
      <c r="BB444" s="78"/>
      <c r="BC444" s="78"/>
    </row>
    <row r="445">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c r="AA445" s="78"/>
      <c r="AB445" s="78"/>
      <c r="AC445" s="78"/>
      <c r="AD445" s="78"/>
      <c r="AE445" s="78"/>
      <c r="AF445" s="78"/>
      <c r="AG445" s="78"/>
      <c r="AH445" s="78"/>
      <c r="AI445" s="78"/>
      <c r="AJ445" s="78"/>
      <c r="AK445" s="78"/>
      <c r="AL445" s="78"/>
      <c r="AM445" s="78"/>
      <c r="AN445" s="78"/>
      <c r="AO445" s="78"/>
      <c r="AP445" s="78"/>
      <c r="AQ445" s="78"/>
      <c r="AR445" s="78"/>
      <c r="AS445" s="78"/>
      <c r="AT445" s="78"/>
      <c r="AU445" s="78"/>
      <c r="AV445" s="78"/>
      <c r="AW445" s="78"/>
      <c r="AX445" s="78"/>
      <c r="AY445" s="78"/>
      <c r="AZ445" s="78"/>
      <c r="BA445" s="78"/>
      <c r="BB445" s="78"/>
      <c r="BC445" s="78"/>
    </row>
    <row r="446">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c r="AA446" s="78"/>
      <c r="AB446" s="78"/>
      <c r="AC446" s="78"/>
      <c r="AD446" s="78"/>
      <c r="AE446" s="78"/>
      <c r="AF446" s="78"/>
      <c r="AG446" s="78"/>
      <c r="AH446" s="78"/>
      <c r="AI446" s="78"/>
      <c r="AJ446" s="78"/>
      <c r="AK446" s="78"/>
      <c r="AL446" s="78"/>
      <c r="AM446" s="78"/>
      <c r="AN446" s="78"/>
      <c r="AO446" s="78"/>
      <c r="AP446" s="78"/>
      <c r="AQ446" s="78"/>
      <c r="AR446" s="78"/>
      <c r="AS446" s="78"/>
      <c r="AT446" s="78"/>
      <c r="AU446" s="78"/>
      <c r="AV446" s="78"/>
      <c r="AW446" s="78"/>
      <c r="AX446" s="78"/>
      <c r="AY446" s="78"/>
      <c r="AZ446" s="78"/>
      <c r="BA446" s="78"/>
      <c r="BB446" s="78"/>
      <c r="BC446" s="78"/>
    </row>
    <row r="447">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c r="AA447" s="78"/>
      <c r="AB447" s="78"/>
      <c r="AC447" s="78"/>
      <c r="AD447" s="78"/>
      <c r="AE447" s="78"/>
      <c r="AF447" s="78"/>
      <c r="AG447" s="78"/>
      <c r="AH447" s="78"/>
      <c r="AI447" s="78"/>
      <c r="AJ447" s="78"/>
      <c r="AK447" s="78"/>
      <c r="AL447" s="78"/>
      <c r="AM447" s="78"/>
      <c r="AN447" s="78"/>
      <c r="AO447" s="78"/>
      <c r="AP447" s="78"/>
      <c r="AQ447" s="78"/>
      <c r="AR447" s="78"/>
      <c r="AS447" s="78"/>
      <c r="AT447" s="78"/>
      <c r="AU447" s="78"/>
      <c r="AV447" s="78"/>
      <c r="AW447" s="78"/>
      <c r="AX447" s="78"/>
      <c r="AY447" s="78"/>
      <c r="AZ447" s="78"/>
      <c r="BA447" s="78"/>
      <c r="BB447" s="78"/>
      <c r="BC447" s="78"/>
    </row>
    <row r="448">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c r="AA448" s="78"/>
      <c r="AB448" s="78"/>
      <c r="AC448" s="78"/>
      <c r="AD448" s="78"/>
      <c r="AE448" s="78"/>
      <c r="AF448" s="78"/>
      <c r="AG448" s="78"/>
      <c r="AH448" s="78"/>
      <c r="AI448" s="78"/>
      <c r="AJ448" s="78"/>
      <c r="AK448" s="78"/>
      <c r="AL448" s="78"/>
      <c r="AM448" s="78"/>
      <c r="AN448" s="78"/>
      <c r="AO448" s="78"/>
      <c r="AP448" s="78"/>
      <c r="AQ448" s="78"/>
      <c r="AR448" s="78"/>
      <c r="AS448" s="78"/>
      <c r="AT448" s="78"/>
      <c r="AU448" s="78"/>
      <c r="AV448" s="78"/>
      <c r="AW448" s="78"/>
      <c r="AX448" s="78"/>
      <c r="AY448" s="78"/>
      <c r="AZ448" s="78"/>
      <c r="BA448" s="78"/>
      <c r="BB448" s="78"/>
      <c r="BC448" s="78"/>
    </row>
    <row r="449">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c r="AA449" s="78"/>
      <c r="AB449" s="78"/>
      <c r="AC449" s="78"/>
      <c r="AD449" s="78"/>
      <c r="AE449" s="78"/>
      <c r="AF449" s="78"/>
      <c r="AG449" s="78"/>
      <c r="AH449" s="78"/>
      <c r="AI449" s="78"/>
      <c r="AJ449" s="78"/>
      <c r="AK449" s="78"/>
      <c r="AL449" s="78"/>
      <c r="AM449" s="78"/>
      <c r="AN449" s="78"/>
      <c r="AO449" s="78"/>
      <c r="AP449" s="78"/>
      <c r="AQ449" s="78"/>
      <c r="AR449" s="78"/>
      <c r="AS449" s="78"/>
      <c r="AT449" s="78"/>
      <c r="AU449" s="78"/>
      <c r="AV449" s="78"/>
      <c r="AW449" s="78"/>
      <c r="AX449" s="78"/>
      <c r="AY449" s="78"/>
      <c r="AZ449" s="78"/>
      <c r="BA449" s="78"/>
      <c r="BB449" s="78"/>
      <c r="BC449" s="78"/>
    </row>
    <row r="450">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c r="AA450" s="78"/>
      <c r="AB450" s="78"/>
      <c r="AC450" s="78"/>
      <c r="AD450" s="78"/>
      <c r="AE450" s="78"/>
      <c r="AF450" s="78"/>
      <c r="AG450" s="78"/>
      <c r="AH450" s="78"/>
      <c r="AI450" s="78"/>
      <c r="AJ450" s="78"/>
      <c r="AK450" s="78"/>
      <c r="AL450" s="78"/>
      <c r="AM450" s="78"/>
      <c r="AN450" s="78"/>
      <c r="AO450" s="78"/>
      <c r="AP450" s="78"/>
      <c r="AQ450" s="78"/>
      <c r="AR450" s="78"/>
      <c r="AS450" s="78"/>
      <c r="AT450" s="78"/>
      <c r="AU450" s="78"/>
      <c r="AV450" s="78"/>
      <c r="AW450" s="78"/>
      <c r="AX450" s="78"/>
      <c r="AY450" s="78"/>
      <c r="AZ450" s="78"/>
      <c r="BA450" s="78"/>
      <c r="BB450" s="78"/>
      <c r="BC450" s="78"/>
    </row>
    <row r="451">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c r="AA451" s="78"/>
      <c r="AB451" s="78"/>
      <c r="AC451" s="78"/>
      <c r="AD451" s="78"/>
      <c r="AE451" s="78"/>
      <c r="AF451" s="78"/>
      <c r="AG451" s="78"/>
      <c r="AH451" s="78"/>
      <c r="AI451" s="78"/>
      <c r="AJ451" s="78"/>
      <c r="AK451" s="78"/>
      <c r="AL451" s="78"/>
      <c r="AM451" s="78"/>
      <c r="AN451" s="78"/>
      <c r="AO451" s="78"/>
      <c r="AP451" s="78"/>
      <c r="AQ451" s="78"/>
      <c r="AR451" s="78"/>
      <c r="AS451" s="78"/>
      <c r="AT451" s="78"/>
      <c r="AU451" s="78"/>
      <c r="AV451" s="78"/>
      <c r="AW451" s="78"/>
      <c r="AX451" s="78"/>
      <c r="AY451" s="78"/>
      <c r="AZ451" s="78"/>
      <c r="BA451" s="78"/>
      <c r="BB451" s="78"/>
      <c r="BC451" s="78"/>
    </row>
    <row r="452">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c r="AA452" s="78"/>
      <c r="AB452" s="78"/>
      <c r="AC452" s="78"/>
      <c r="AD452" s="78"/>
      <c r="AE452" s="78"/>
      <c r="AF452" s="78"/>
      <c r="AG452" s="78"/>
      <c r="AH452" s="78"/>
      <c r="AI452" s="78"/>
      <c r="AJ452" s="78"/>
      <c r="AK452" s="78"/>
      <c r="AL452" s="78"/>
      <c r="AM452" s="78"/>
      <c r="AN452" s="78"/>
      <c r="AO452" s="78"/>
      <c r="AP452" s="78"/>
      <c r="AQ452" s="78"/>
      <c r="AR452" s="78"/>
      <c r="AS452" s="78"/>
      <c r="AT452" s="78"/>
      <c r="AU452" s="78"/>
      <c r="AV452" s="78"/>
      <c r="AW452" s="78"/>
      <c r="AX452" s="78"/>
      <c r="AY452" s="78"/>
      <c r="AZ452" s="78"/>
      <c r="BA452" s="78"/>
      <c r="BB452" s="78"/>
      <c r="BC452" s="78"/>
    </row>
    <row r="453">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c r="AA453" s="78"/>
      <c r="AB453" s="78"/>
      <c r="AC453" s="78"/>
      <c r="AD453" s="78"/>
      <c r="AE453" s="78"/>
      <c r="AF453" s="78"/>
      <c r="AG453" s="78"/>
      <c r="AH453" s="78"/>
      <c r="AI453" s="78"/>
      <c r="AJ453" s="78"/>
      <c r="AK453" s="78"/>
      <c r="AL453" s="78"/>
      <c r="AM453" s="78"/>
      <c r="AN453" s="78"/>
      <c r="AO453" s="78"/>
      <c r="AP453" s="78"/>
      <c r="AQ453" s="78"/>
      <c r="AR453" s="78"/>
      <c r="AS453" s="78"/>
      <c r="AT453" s="78"/>
      <c r="AU453" s="78"/>
      <c r="AV453" s="78"/>
      <c r="AW453" s="78"/>
      <c r="AX453" s="78"/>
      <c r="AY453" s="78"/>
      <c r="AZ453" s="78"/>
      <c r="BA453" s="78"/>
      <c r="BB453" s="78"/>
      <c r="BC453" s="78"/>
    </row>
    <row r="454">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c r="AA454" s="78"/>
      <c r="AB454" s="78"/>
      <c r="AC454" s="78"/>
      <c r="AD454" s="78"/>
      <c r="AE454" s="78"/>
      <c r="AF454" s="78"/>
      <c r="AG454" s="78"/>
      <c r="AH454" s="78"/>
      <c r="AI454" s="78"/>
      <c r="AJ454" s="78"/>
      <c r="AK454" s="78"/>
      <c r="AL454" s="78"/>
      <c r="AM454" s="78"/>
      <c r="AN454" s="78"/>
      <c r="AO454" s="78"/>
      <c r="AP454" s="78"/>
      <c r="AQ454" s="78"/>
      <c r="AR454" s="78"/>
      <c r="AS454" s="78"/>
      <c r="AT454" s="78"/>
      <c r="AU454" s="78"/>
      <c r="AV454" s="78"/>
      <c r="AW454" s="78"/>
      <c r="AX454" s="78"/>
      <c r="AY454" s="78"/>
      <c r="AZ454" s="78"/>
      <c r="BA454" s="78"/>
      <c r="BB454" s="78"/>
      <c r="BC454" s="78"/>
    </row>
    <row r="455">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c r="AA455" s="78"/>
      <c r="AB455" s="78"/>
      <c r="AC455" s="78"/>
      <c r="AD455" s="78"/>
      <c r="AE455" s="78"/>
      <c r="AF455" s="78"/>
      <c r="AG455" s="78"/>
      <c r="AH455" s="78"/>
      <c r="AI455" s="78"/>
      <c r="AJ455" s="78"/>
      <c r="AK455" s="78"/>
      <c r="AL455" s="78"/>
      <c r="AM455" s="78"/>
      <c r="AN455" s="78"/>
      <c r="AO455" s="78"/>
      <c r="AP455" s="78"/>
      <c r="AQ455" s="78"/>
      <c r="AR455" s="78"/>
      <c r="AS455" s="78"/>
      <c r="AT455" s="78"/>
      <c r="AU455" s="78"/>
      <c r="AV455" s="78"/>
      <c r="AW455" s="78"/>
      <c r="AX455" s="78"/>
      <c r="AY455" s="78"/>
      <c r="AZ455" s="78"/>
      <c r="BA455" s="78"/>
      <c r="BB455" s="78"/>
      <c r="BC455" s="78"/>
    </row>
    <row r="456">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c r="AA456" s="78"/>
      <c r="AB456" s="78"/>
      <c r="AC456" s="78"/>
      <c r="AD456" s="78"/>
      <c r="AE456" s="78"/>
      <c r="AF456" s="78"/>
      <c r="AG456" s="78"/>
      <c r="AH456" s="78"/>
      <c r="AI456" s="78"/>
      <c r="AJ456" s="78"/>
      <c r="AK456" s="78"/>
      <c r="AL456" s="78"/>
      <c r="AM456" s="78"/>
      <c r="AN456" s="78"/>
      <c r="AO456" s="78"/>
      <c r="AP456" s="78"/>
      <c r="AQ456" s="78"/>
      <c r="AR456" s="78"/>
      <c r="AS456" s="78"/>
      <c r="AT456" s="78"/>
      <c r="AU456" s="78"/>
      <c r="AV456" s="78"/>
      <c r="AW456" s="78"/>
      <c r="AX456" s="78"/>
      <c r="AY456" s="78"/>
      <c r="AZ456" s="78"/>
      <c r="BA456" s="78"/>
      <c r="BB456" s="78"/>
      <c r="BC456" s="78"/>
    </row>
    <row r="457">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c r="AA457" s="78"/>
      <c r="AB457" s="78"/>
      <c r="AC457" s="78"/>
      <c r="AD457" s="78"/>
      <c r="AE457" s="78"/>
      <c r="AF457" s="78"/>
      <c r="AG457" s="78"/>
      <c r="AH457" s="78"/>
      <c r="AI457" s="78"/>
      <c r="AJ457" s="78"/>
      <c r="AK457" s="78"/>
      <c r="AL457" s="78"/>
      <c r="AM457" s="78"/>
      <c r="AN457" s="78"/>
      <c r="AO457" s="78"/>
      <c r="AP457" s="78"/>
      <c r="AQ457" s="78"/>
      <c r="AR457" s="78"/>
      <c r="AS457" s="78"/>
      <c r="AT457" s="78"/>
      <c r="AU457" s="78"/>
      <c r="AV457" s="78"/>
      <c r="AW457" s="78"/>
      <c r="AX457" s="78"/>
      <c r="AY457" s="78"/>
      <c r="AZ457" s="78"/>
      <c r="BA457" s="78"/>
      <c r="BB457" s="78"/>
      <c r="BC457" s="78"/>
    </row>
    <row r="458">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c r="AA458" s="78"/>
      <c r="AB458" s="78"/>
      <c r="AC458" s="78"/>
      <c r="AD458" s="78"/>
      <c r="AE458" s="78"/>
      <c r="AF458" s="78"/>
      <c r="AG458" s="78"/>
      <c r="AH458" s="78"/>
      <c r="AI458" s="78"/>
      <c r="AJ458" s="78"/>
      <c r="AK458" s="78"/>
      <c r="AL458" s="78"/>
      <c r="AM458" s="78"/>
      <c r="AN458" s="78"/>
      <c r="AO458" s="78"/>
      <c r="AP458" s="78"/>
      <c r="AQ458" s="78"/>
      <c r="AR458" s="78"/>
      <c r="AS458" s="78"/>
      <c r="AT458" s="78"/>
      <c r="AU458" s="78"/>
      <c r="AV458" s="78"/>
      <c r="AW458" s="78"/>
      <c r="AX458" s="78"/>
      <c r="AY458" s="78"/>
      <c r="AZ458" s="78"/>
      <c r="BA458" s="78"/>
      <c r="BB458" s="78"/>
      <c r="BC458" s="78"/>
    </row>
    <row r="459">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c r="AA459" s="78"/>
      <c r="AB459" s="78"/>
      <c r="AC459" s="78"/>
      <c r="AD459" s="78"/>
      <c r="AE459" s="78"/>
      <c r="AF459" s="78"/>
      <c r="AG459" s="78"/>
      <c r="AH459" s="78"/>
      <c r="AI459" s="78"/>
      <c r="AJ459" s="78"/>
      <c r="AK459" s="78"/>
      <c r="AL459" s="78"/>
      <c r="AM459" s="78"/>
      <c r="AN459" s="78"/>
      <c r="AO459" s="78"/>
      <c r="AP459" s="78"/>
      <c r="AQ459" s="78"/>
      <c r="AR459" s="78"/>
      <c r="AS459" s="78"/>
      <c r="AT459" s="78"/>
      <c r="AU459" s="78"/>
      <c r="AV459" s="78"/>
      <c r="AW459" s="78"/>
      <c r="AX459" s="78"/>
      <c r="AY459" s="78"/>
      <c r="AZ459" s="78"/>
      <c r="BA459" s="78"/>
      <c r="BB459" s="78"/>
      <c r="BC459" s="78"/>
    </row>
    <row r="460">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c r="AA460" s="78"/>
      <c r="AB460" s="78"/>
      <c r="AC460" s="78"/>
      <c r="AD460" s="78"/>
      <c r="AE460" s="78"/>
      <c r="AF460" s="78"/>
      <c r="AG460" s="78"/>
      <c r="AH460" s="78"/>
      <c r="AI460" s="78"/>
      <c r="AJ460" s="78"/>
      <c r="AK460" s="78"/>
      <c r="AL460" s="78"/>
      <c r="AM460" s="78"/>
      <c r="AN460" s="78"/>
      <c r="AO460" s="78"/>
      <c r="AP460" s="78"/>
      <c r="AQ460" s="78"/>
      <c r="AR460" s="78"/>
      <c r="AS460" s="78"/>
      <c r="AT460" s="78"/>
      <c r="AU460" s="78"/>
      <c r="AV460" s="78"/>
      <c r="AW460" s="78"/>
      <c r="AX460" s="78"/>
      <c r="AY460" s="78"/>
      <c r="AZ460" s="78"/>
      <c r="BA460" s="78"/>
      <c r="BB460" s="78"/>
      <c r="BC460" s="78"/>
    </row>
    <row r="461">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c r="AA461" s="78"/>
      <c r="AB461" s="78"/>
      <c r="AC461" s="78"/>
      <c r="AD461" s="78"/>
      <c r="AE461" s="78"/>
      <c r="AF461" s="78"/>
      <c r="AG461" s="78"/>
      <c r="AH461" s="78"/>
      <c r="AI461" s="78"/>
      <c r="AJ461" s="78"/>
      <c r="AK461" s="78"/>
      <c r="AL461" s="78"/>
      <c r="AM461" s="78"/>
      <c r="AN461" s="78"/>
      <c r="AO461" s="78"/>
      <c r="AP461" s="78"/>
      <c r="AQ461" s="78"/>
      <c r="AR461" s="78"/>
      <c r="AS461" s="78"/>
      <c r="AT461" s="78"/>
      <c r="AU461" s="78"/>
      <c r="AV461" s="78"/>
      <c r="AW461" s="78"/>
      <c r="AX461" s="78"/>
      <c r="AY461" s="78"/>
      <c r="AZ461" s="78"/>
      <c r="BA461" s="78"/>
      <c r="BB461" s="78"/>
      <c r="BC461" s="78"/>
    </row>
    <row r="462">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c r="AA462" s="78"/>
      <c r="AB462" s="78"/>
      <c r="AC462" s="78"/>
      <c r="AD462" s="78"/>
      <c r="AE462" s="78"/>
      <c r="AF462" s="78"/>
      <c r="AG462" s="78"/>
      <c r="AH462" s="78"/>
      <c r="AI462" s="78"/>
      <c r="AJ462" s="78"/>
      <c r="AK462" s="78"/>
      <c r="AL462" s="78"/>
      <c r="AM462" s="78"/>
      <c r="AN462" s="78"/>
      <c r="AO462" s="78"/>
      <c r="AP462" s="78"/>
      <c r="AQ462" s="78"/>
      <c r="AR462" s="78"/>
      <c r="AS462" s="78"/>
      <c r="AT462" s="78"/>
      <c r="AU462" s="78"/>
      <c r="AV462" s="78"/>
      <c r="AW462" s="78"/>
      <c r="AX462" s="78"/>
      <c r="AY462" s="78"/>
      <c r="AZ462" s="78"/>
      <c r="BA462" s="78"/>
      <c r="BB462" s="78"/>
      <c r="BC462" s="78"/>
    </row>
    <row r="463">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c r="AA463" s="78"/>
      <c r="AB463" s="78"/>
      <c r="AC463" s="78"/>
      <c r="AD463" s="78"/>
      <c r="AE463" s="78"/>
      <c r="AF463" s="78"/>
      <c r="AG463" s="78"/>
      <c r="AH463" s="78"/>
      <c r="AI463" s="78"/>
      <c r="AJ463" s="78"/>
      <c r="AK463" s="78"/>
      <c r="AL463" s="78"/>
      <c r="AM463" s="78"/>
      <c r="AN463" s="78"/>
      <c r="AO463" s="78"/>
      <c r="AP463" s="78"/>
      <c r="AQ463" s="78"/>
      <c r="AR463" s="78"/>
      <c r="AS463" s="78"/>
      <c r="AT463" s="78"/>
      <c r="AU463" s="78"/>
      <c r="AV463" s="78"/>
      <c r="AW463" s="78"/>
      <c r="AX463" s="78"/>
      <c r="AY463" s="78"/>
      <c r="AZ463" s="78"/>
      <c r="BA463" s="78"/>
      <c r="BB463" s="78"/>
      <c r="BC463" s="78"/>
    </row>
    <row r="464">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c r="AA464" s="78"/>
      <c r="AB464" s="78"/>
      <c r="AC464" s="78"/>
      <c r="AD464" s="78"/>
      <c r="AE464" s="78"/>
      <c r="AF464" s="78"/>
      <c r="AG464" s="78"/>
      <c r="AH464" s="78"/>
      <c r="AI464" s="78"/>
      <c r="AJ464" s="78"/>
      <c r="AK464" s="78"/>
      <c r="AL464" s="78"/>
      <c r="AM464" s="78"/>
      <c r="AN464" s="78"/>
      <c r="AO464" s="78"/>
      <c r="AP464" s="78"/>
      <c r="AQ464" s="78"/>
      <c r="AR464" s="78"/>
      <c r="AS464" s="78"/>
      <c r="AT464" s="78"/>
      <c r="AU464" s="78"/>
      <c r="AV464" s="78"/>
      <c r="AW464" s="78"/>
      <c r="AX464" s="78"/>
      <c r="AY464" s="78"/>
      <c r="AZ464" s="78"/>
      <c r="BA464" s="78"/>
      <c r="BB464" s="78"/>
      <c r="BC464" s="78"/>
    </row>
    <row r="465">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c r="AA465" s="78"/>
      <c r="AB465" s="78"/>
      <c r="AC465" s="78"/>
      <c r="AD465" s="78"/>
      <c r="AE465" s="78"/>
      <c r="AF465" s="78"/>
      <c r="AG465" s="78"/>
      <c r="AH465" s="78"/>
      <c r="AI465" s="78"/>
      <c r="AJ465" s="78"/>
      <c r="AK465" s="78"/>
      <c r="AL465" s="78"/>
      <c r="AM465" s="78"/>
      <c r="AN465" s="78"/>
      <c r="AO465" s="78"/>
      <c r="AP465" s="78"/>
      <c r="AQ465" s="78"/>
      <c r="AR465" s="78"/>
      <c r="AS465" s="78"/>
      <c r="AT465" s="78"/>
      <c r="AU465" s="78"/>
      <c r="AV465" s="78"/>
      <c r="AW465" s="78"/>
      <c r="AX465" s="78"/>
      <c r="AY465" s="78"/>
      <c r="AZ465" s="78"/>
      <c r="BA465" s="78"/>
      <c r="BB465" s="78"/>
      <c r="BC465" s="78"/>
    </row>
    <row r="466">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c r="AA466" s="78"/>
      <c r="AB466" s="78"/>
      <c r="AC466" s="78"/>
      <c r="AD466" s="78"/>
      <c r="AE466" s="78"/>
      <c r="AF466" s="78"/>
      <c r="AG466" s="78"/>
      <c r="AH466" s="78"/>
      <c r="AI466" s="78"/>
      <c r="AJ466" s="78"/>
      <c r="AK466" s="78"/>
      <c r="AL466" s="78"/>
      <c r="AM466" s="78"/>
      <c r="AN466" s="78"/>
      <c r="AO466" s="78"/>
      <c r="AP466" s="78"/>
      <c r="AQ466" s="78"/>
      <c r="AR466" s="78"/>
      <c r="AS466" s="78"/>
      <c r="AT466" s="78"/>
      <c r="AU466" s="78"/>
      <c r="AV466" s="78"/>
      <c r="AW466" s="78"/>
      <c r="AX466" s="78"/>
      <c r="AY466" s="78"/>
      <c r="AZ466" s="78"/>
      <c r="BA466" s="78"/>
      <c r="BB466" s="78"/>
      <c r="BC466" s="78"/>
    </row>
    <row r="467">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c r="AA467" s="78"/>
      <c r="AB467" s="78"/>
      <c r="AC467" s="78"/>
      <c r="AD467" s="78"/>
      <c r="AE467" s="78"/>
      <c r="AF467" s="78"/>
      <c r="AG467" s="78"/>
      <c r="AH467" s="78"/>
      <c r="AI467" s="78"/>
      <c r="AJ467" s="78"/>
      <c r="AK467" s="78"/>
      <c r="AL467" s="78"/>
      <c r="AM467" s="78"/>
      <c r="AN467" s="78"/>
      <c r="AO467" s="78"/>
      <c r="AP467" s="78"/>
      <c r="AQ467" s="78"/>
      <c r="AR467" s="78"/>
      <c r="AS467" s="78"/>
      <c r="AT467" s="78"/>
      <c r="AU467" s="78"/>
      <c r="AV467" s="78"/>
      <c r="AW467" s="78"/>
      <c r="AX467" s="78"/>
      <c r="AY467" s="78"/>
      <c r="AZ467" s="78"/>
      <c r="BA467" s="78"/>
      <c r="BB467" s="78"/>
      <c r="BC467" s="78"/>
    </row>
    <row r="468">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c r="AA468" s="78"/>
      <c r="AB468" s="78"/>
      <c r="AC468" s="78"/>
      <c r="AD468" s="78"/>
      <c r="AE468" s="78"/>
      <c r="AF468" s="78"/>
      <c r="AG468" s="78"/>
      <c r="AH468" s="78"/>
      <c r="AI468" s="78"/>
      <c r="AJ468" s="78"/>
      <c r="AK468" s="78"/>
      <c r="AL468" s="78"/>
      <c r="AM468" s="78"/>
      <c r="AN468" s="78"/>
      <c r="AO468" s="78"/>
      <c r="AP468" s="78"/>
      <c r="AQ468" s="78"/>
      <c r="AR468" s="78"/>
      <c r="AS468" s="78"/>
      <c r="AT468" s="78"/>
      <c r="AU468" s="78"/>
      <c r="AV468" s="78"/>
      <c r="AW468" s="78"/>
      <c r="AX468" s="78"/>
      <c r="AY468" s="78"/>
      <c r="AZ468" s="78"/>
      <c r="BA468" s="78"/>
      <c r="BB468" s="78"/>
      <c r="BC468" s="78"/>
    </row>
    <row r="469">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c r="AA469" s="78"/>
      <c r="AB469" s="78"/>
      <c r="AC469" s="78"/>
      <c r="AD469" s="78"/>
      <c r="AE469" s="78"/>
      <c r="AF469" s="78"/>
      <c r="AG469" s="78"/>
      <c r="AH469" s="78"/>
      <c r="AI469" s="78"/>
      <c r="AJ469" s="78"/>
      <c r="AK469" s="78"/>
      <c r="AL469" s="78"/>
      <c r="AM469" s="78"/>
      <c r="AN469" s="78"/>
      <c r="AO469" s="78"/>
      <c r="AP469" s="78"/>
      <c r="AQ469" s="78"/>
      <c r="AR469" s="78"/>
      <c r="AS469" s="78"/>
      <c r="AT469" s="78"/>
      <c r="AU469" s="78"/>
      <c r="AV469" s="78"/>
      <c r="AW469" s="78"/>
      <c r="AX469" s="78"/>
      <c r="AY469" s="78"/>
      <c r="AZ469" s="78"/>
      <c r="BA469" s="78"/>
      <c r="BB469" s="78"/>
      <c r="BC469" s="78"/>
    </row>
    <row r="470">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c r="AA470" s="78"/>
      <c r="AB470" s="78"/>
      <c r="AC470" s="78"/>
      <c r="AD470" s="78"/>
      <c r="AE470" s="78"/>
      <c r="AF470" s="78"/>
      <c r="AG470" s="78"/>
      <c r="AH470" s="78"/>
      <c r="AI470" s="78"/>
      <c r="AJ470" s="78"/>
      <c r="AK470" s="78"/>
      <c r="AL470" s="78"/>
      <c r="AM470" s="78"/>
      <c r="AN470" s="78"/>
      <c r="AO470" s="78"/>
      <c r="AP470" s="78"/>
      <c r="AQ470" s="78"/>
      <c r="AR470" s="78"/>
      <c r="AS470" s="78"/>
      <c r="AT470" s="78"/>
      <c r="AU470" s="78"/>
      <c r="AV470" s="78"/>
      <c r="AW470" s="78"/>
      <c r="AX470" s="78"/>
      <c r="AY470" s="78"/>
      <c r="AZ470" s="78"/>
      <c r="BA470" s="78"/>
      <c r="BB470" s="78"/>
      <c r="BC470" s="78"/>
    </row>
    <row r="471">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c r="AA471" s="78"/>
      <c r="AB471" s="78"/>
      <c r="AC471" s="78"/>
      <c r="AD471" s="78"/>
      <c r="AE471" s="78"/>
      <c r="AF471" s="78"/>
      <c r="AG471" s="78"/>
      <c r="AH471" s="78"/>
      <c r="AI471" s="78"/>
      <c r="AJ471" s="78"/>
      <c r="AK471" s="78"/>
      <c r="AL471" s="78"/>
      <c r="AM471" s="78"/>
      <c r="AN471" s="78"/>
      <c r="AO471" s="78"/>
      <c r="AP471" s="78"/>
      <c r="AQ471" s="78"/>
      <c r="AR471" s="78"/>
      <c r="AS471" s="78"/>
      <c r="AT471" s="78"/>
      <c r="AU471" s="78"/>
      <c r="AV471" s="78"/>
      <c r="AW471" s="78"/>
      <c r="AX471" s="78"/>
      <c r="AY471" s="78"/>
      <c r="AZ471" s="78"/>
      <c r="BA471" s="78"/>
      <c r="BB471" s="78"/>
      <c r="BC471" s="78"/>
    </row>
    <row r="472">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c r="AA472" s="78"/>
      <c r="AB472" s="78"/>
      <c r="AC472" s="78"/>
      <c r="AD472" s="78"/>
      <c r="AE472" s="78"/>
      <c r="AF472" s="78"/>
      <c r="AG472" s="78"/>
      <c r="AH472" s="78"/>
      <c r="AI472" s="78"/>
      <c r="AJ472" s="78"/>
      <c r="AK472" s="78"/>
      <c r="AL472" s="78"/>
      <c r="AM472" s="78"/>
      <c r="AN472" s="78"/>
      <c r="AO472" s="78"/>
      <c r="AP472" s="78"/>
      <c r="AQ472" s="78"/>
      <c r="AR472" s="78"/>
      <c r="AS472" s="78"/>
      <c r="AT472" s="78"/>
      <c r="AU472" s="78"/>
      <c r="AV472" s="78"/>
      <c r="AW472" s="78"/>
      <c r="AX472" s="78"/>
      <c r="AY472" s="78"/>
      <c r="AZ472" s="78"/>
      <c r="BA472" s="78"/>
      <c r="BB472" s="78"/>
      <c r="BC472" s="78"/>
    </row>
    <row r="473">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c r="AA473" s="78"/>
      <c r="AB473" s="78"/>
      <c r="AC473" s="78"/>
      <c r="AD473" s="78"/>
      <c r="AE473" s="78"/>
      <c r="AF473" s="78"/>
      <c r="AG473" s="78"/>
      <c r="AH473" s="78"/>
      <c r="AI473" s="78"/>
      <c r="AJ473" s="78"/>
      <c r="AK473" s="78"/>
      <c r="AL473" s="78"/>
      <c r="AM473" s="78"/>
      <c r="AN473" s="78"/>
      <c r="AO473" s="78"/>
      <c r="AP473" s="78"/>
      <c r="AQ473" s="78"/>
      <c r="AR473" s="78"/>
      <c r="AS473" s="78"/>
      <c r="AT473" s="78"/>
      <c r="AU473" s="78"/>
      <c r="AV473" s="78"/>
      <c r="AW473" s="78"/>
      <c r="AX473" s="78"/>
      <c r="AY473" s="78"/>
      <c r="AZ473" s="78"/>
      <c r="BA473" s="78"/>
      <c r="BB473" s="78"/>
      <c r="BC473" s="78"/>
    </row>
    <row r="474">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c r="AA474" s="78"/>
      <c r="AB474" s="78"/>
      <c r="AC474" s="78"/>
      <c r="AD474" s="78"/>
      <c r="AE474" s="78"/>
      <c r="AF474" s="78"/>
      <c r="AG474" s="78"/>
      <c r="AH474" s="78"/>
      <c r="AI474" s="78"/>
      <c r="AJ474" s="78"/>
      <c r="AK474" s="78"/>
      <c r="AL474" s="78"/>
      <c r="AM474" s="78"/>
      <c r="AN474" s="78"/>
      <c r="AO474" s="78"/>
      <c r="AP474" s="78"/>
      <c r="AQ474" s="78"/>
      <c r="AR474" s="78"/>
      <c r="AS474" s="78"/>
      <c r="AT474" s="78"/>
      <c r="AU474" s="78"/>
      <c r="AV474" s="78"/>
      <c r="AW474" s="78"/>
      <c r="AX474" s="78"/>
      <c r="AY474" s="78"/>
      <c r="AZ474" s="78"/>
      <c r="BA474" s="78"/>
      <c r="BB474" s="78"/>
      <c r="BC474" s="78"/>
    </row>
    <row r="475">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c r="AA475" s="78"/>
      <c r="AB475" s="78"/>
      <c r="AC475" s="78"/>
      <c r="AD475" s="78"/>
      <c r="AE475" s="78"/>
      <c r="AF475" s="78"/>
      <c r="AG475" s="78"/>
      <c r="AH475" s="78"/>
      <c r="AI475" s="78"/>
      <c r="AJ475" s="78"/>
      <c r="AK475" s="78"/>
      <c r="AL475" s="78"/>
      <c r="AM475" s="78"/>
      <c r="AN475" s="78"/>
      <c r="AO475" s="78"/>
      <c r="AP475" s="78"/>
      <c r="AQ475" s="78"/>
      <c r="AR475" s="78"/>
      <c r="AS475" s="78"/>
      <c r="AT475" s="78"/>
      <c r="AU475" s="78"/>
      <c r="AV475" s="78"/>
      <c r="AW475" s="78"/>
      <c r="AX475" s="78"/>
      <c r="AY475" s="78"/>
      <c r="AZ475" s="78"/>
      <c r="BA475" s="78"/>
      <c r="BB475" s="78"/>
      <c r="BC475" s="78"/>
    </row>
    <row r="476">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c r="AA476" s="78"/>
      <c r="AB476" s="78"/>
      <c r="AC476" s="78"/>
      <c r="AD476" s="78"/>
      <c r="AE476" s="78"/>
      <c r="AF476" s="78"/>
      <c r="AG476" s="78"/>
      <c r="AH476" s="78"/>
      <c r="AI476" s="78"/>
      <c r="AJ476" s="78"/>
      <c r="AK476" s="78"/>
      <c r="AL476" s="78"/>
      <c r="AM476" s="78"/>
      <c r="AN476" s="78"/>
      <c r="AO476" s="78"/>
      <c r="AP476" s="78"/>
      <c r="AQ476" s="78"/>
      <c r="AR476" s="78"/>
      <c r="AS476" s="78"/>
      <c r="AT476" s="78"/>
      <c r="AU476" s="78"/>
      <c r="AV476" s="78"/>
      <c r="AW476" s="78"/>
      <c r="AX476" s="78"/>
      <c r="AY476" s="78"/>
      <c r="AZ476" s="78"/>
      <c r="BA476" s="78"/>
      <c r="BB476" s="78"/>
      <c r="BC476" s="78"/>
    </row>
    <row r="477">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c r="AA477" s="78"/>
      <c r="AB477" s="78"/>
      <c r="AC477" s="78"/>
      <c r="AD477" s="78"/>
      <c r="AE477" s="78"/>
      <c r="AF477" s="78"/>
      <c r="AG477" s="78"/>
      <c r="AH477" s="78"/>
      <c r="AI477" s="78"/>
      <c r="AJ477" s="78"/>
      <c r="AK477" s="78"/>
      <c r="AL477" s="78"/>
      <c r="AM477" s="78"/>
      <c r="AN477" s="78"/>
      <c r="AO477" s="78"/>
      <c r="AP477" s="78"/>
      <c r="AQ477" s="78"/>
      <c r="AR477" s="78"/>
      <c r="AS477" s="78"/>
      <c r="AT477" s="78"/>
      <c r="AU477" s="78"/>
      <c r="AV477" s="78"/>
      <c r="AW477" s="78"/>
      <c r="AX477" s="78"/>
      <c r="AY477" s="78"/>
      <c r="AZ477" s="78"/>
      <c r="BA477" s="78"/>
      <c r="BB477" s="78"/>
      <c r="BC477" s="78"/>
    </row>
    <row r="478">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c r="AA478" s="78"/>
      <c r="AB478" s="78"/>
      <c r="AC478" s="78"/>
      <c r="AD478" s="78"/>
      <c r="AE478" s="78"/>
      <c r="AF478" s="78"/>
      <c r="AG478" s="78"/>
      <c r="AH478" s="78"/>
      <c r="AI478" s="78"/>
      <c r="AJ478" s="78"/>
      <c r="AK478" s="78"/>
      <c r="AL478" s="78"/>
      <c r="AM478" s="78"/>
      <c r="AN478" s="78"/>
      <c r="AO478" s="78"/>
      <c r="AP478" s="78"/>
      <c r="AQ478" s="78"/>
      <c r="AR478" s="78"/>
      <c r="AS478" s="78"/>
      <c r="AT478" s="78"/>
      <c r="AU478" s="78"/>
      <c r="AV478" s="78"/>
      <c r="AW478" s="78"/>
      <c r="AX478" s="78"/>
      <c r="AY478" s="78"/>
      <c r="AZ478" s="78"/>
      <c r="BA478" s="78"/>
      <c r="BB478" s="78"/>
      <c r="BC478" s="78"/>
    </row>
    <row r="479">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c r="AA479" s="78"/>
      <c r="AB479" s="78"/>
      <c r="AC479" s="78"/>
      <c r="AD479" s="78"/>
      <c r="AE479" s="78"/>
      <c r="AF479" s="78"/>
      <c r="AG479" s="78"/>
      <c r="AH479" s="78"/>
      <c r="AI479" s="78"/>
      <c r="AJ479" s="78"/>
      <c r="AK479" s="78"/>
      <c r="AL479" s="78"/>
      <c r="AM479" s="78"/>
      <c r="AN479" s="78"/>
      <c r="AO479" s="78"/>
      <c r="AP479" s="78"/>
      <c r="AQ479" s="78"/>
      <c r="AR479" s="78"/>
      <c r="AS479" s="78"/>
      <c r="AT479" s="78"/>
      <c r="AU479" s="78"/>
      <c r="AV479" s="78"/>
      <c r="AW479" s="78"/>
      <c r="AX479" s="78"/>
      <c r="AY479" s="78"/>
      <c r="AZ479" s="78"/>
      <c r="BA479" s="78"/>
      <c r="BB479" s="78"/>
      <c r="BC479" s="78"/>
    </row>
    <row r="480">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c r="AA480" s="78"/>
      <c r="AB480" s="78"/>
      <c r="AC480" s="78"/>
      <c r="AD480" s="78"/>
      <c r="AE480" s="78"/>
      <c r="AF480" s="78"/>
      <c r="AG480" s="78"/>
      <c r="AH480" s="78"/>
      <c r="AI480" s="78"/>
      <c r="AJ480" s="78"/>
      <c r="AK480" s="78"/>
      <c r="AL480" s="78"/>
      <c r="AM480" s="78"/>
      <c r="AN480" s="78"/>
      <c r="AO480" s="78"/>
      <c r="AP480" s="78"/>
      <c r="AQ480" s="78"/>
      <c r="AR480" s="78"/>
      <c r="AS480" s="78"/>
      <c r="AT480" s="78"/>
      <c r="AU480" s="78"/>
      <c r="AV480" s="78"/>
      <c r="AW480" s="78"/>
      <c r="AX480" s="78"/>
      <c r="AY480" s="78"/>
      <c r="AZ480" s="78"/>
      <c r="BA480" s="78"/>
      <c r="BB480" s="78"/>
      <c r="BC480" s="78"/>
    </row>
    <row r="481">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c r="AA481" s="78"/>
      <c r="AB481" s="78"/>
      <c r="AC481" s="78"/>
      <c r="AD481" s="78"/>
      <c r="AE481" s="78"/>
      <c r="AF481" s="78"/>
      <c r="AG481" s="78"/>
      <c r="AH481" s="78"/>
      <c r="AI481" s="78"/>
      <c r="AJ481" s="78"/>
      <c r="AK481" s="78"/>
      <c r="AL481" s="78"/>
      <c r="AM481" s="78"/>
      <c r="AN481" s="78"/>
      <c r="AO481" s="78"/>
      <c r="AP481" s="78"/>
      <c r="AQ481" s="78"/>
      <c r="AR481" s="78"/>
      <c r="AS481" s="78"/>
      <c r="AT481" s="78"/>
      <c r="AU481" s="78"/>
      <c r="AV481" s="78"/>
      <c r="AW481" s="78"/>
      <c r="AX481" s="78"/>
      <c r="AY481" s="78"/>
      <c r="AZ481" s="78"/>
      <c r="BA481" s="78"/>
      <c r="BB481" s="78"/>
      <c r="BC481" s="78"/>
    </row>
    <row r="482">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c r="AA482" s="78"/>
      <c r="AB482" s="78"/>
      <c r="AC482" s="78"/>
      <c r="AD482" s="78"/>
      <c r="AE482" s="78"/>
      <c r="AF482" s="78"/>
      <c r="AG482" s="78"/>
      <c r="AH482" s="78"/>
      <c r="AI482" s="78"/>
      <c r="AJ482" s="78"/>
      <c r="AK482" s="78"/>
      <c r="AL482" s="78"/>
      <c r="AM482" s="78"/>
      <c r="AN482" s="78"/>
      <c r="AO482" s="78"/>
      <c r="AP482" s="78"/>
      <c r="AQ482" s="78"/>
      <c r="AR482" s="78"/>
      <c r="AS482" s="78"/>
      <c r="AT482" s="78"/>
      <c r="AU482" s="78"/>
      <c r="AV482" s="78"/>
      <c r="AW482" s="78"/>
      <c r="AX482" s="78"/>
      <c r="AY482" s="78"/>
      <c r="AZ482" s="78"/>
      <c r="BA482" s="78"/>
      <c r="BB482" s="78"/>
      <c r="BC482" s="78"/>
    </row>
    <row r="483">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c r="AA483" s="78"/>
      <c r="AB483" s="78"/>
      <c r="AC483" s="78"/>
      <c r="AD483" s="78"/>
      <c r="AE483" s="78"/>
      <c r="AF483" s="78"/>
      <c r="AG483" s="78"/>
      <c r="AH483" s="78"/>
      <c r="AI483" s="78"/>
      <c r="AJ483" s="78"/>
      <c r="AK483" s="78"/>
      <c r="AL483" s="78"/>
      <c r="AM483" s="78"/>
      <c r="AN483" s="78"/>
      <c r="AO483" s="78"/>
      <c r="AP483" s="78"/>
      <c r="AQ483" s="78"/>
      <c r="AR483" s="78"/>
      <c r="AS483" s="78"/>
      <c r="AT483" s="78"/>
      <c r="AU483" s="78"/>
      <c r="AV483" s="78"/>
      <c r="AW483" s="78"/>
      <c r="AX483" s="78"/>
      <c r="AY483" s="78"/>
      <c r="AZ483" s="78"/>
      <c r="BA483" s="78"/>
      <c r="BB483" s="78"/>
      <c r="BC483" s="78"/>
    </row>
    <row r="484">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c r="AA484" s="78"/>
      <c r="AB484" s="78"/>
      <c r="AC484" s="78"/>
      <c r="AD484" s="78"/>
      <c r="AE484" s="78"/>
      <c r="AF484" s="78"/>
      <c r="AG484" s="78"/>
      <c r="AH484" s="78"/>
      <c r="AI484" s="78"/>
      <c r="AJ484" s="78"/>
      <c r="AK484" s="78"/>
      <c r="AL484" s="78"/>
      <c r="AM484" s="78"/>
      <c r="AN484" s="78"/>
      <c r="AO484" s="78"/>
      <c r="AP484" s="78"/>
      <c r="AQ484" s="78"/>
      <c r="AR484" s="78"/>
      <c r="AS484" s="78"/>
      <c r="AT484" s="78"/>
      <c r="AU484" s="78"/>
      <c r="AV484" s="78"/>
      <c r="AW484" s="78"/>
      <c r="AX484" s="78"/>
      <c r="AY484" s="78"/>
      <c r="AZ484" s="78"/>
      <c r="BA484" s="78"/>
      <c r="BB484" s="78"/>
      <c r="BC484" s="78"/>
    </row>
    <row r="485">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c r="AA485" s="78"/>
      <c r="AB485" s="78"/>
      <c r="AC485" s="78"/>
      <c r="AD485" s="78"/>
      <c r="AE485" s="78"/>
      <c r="AF485" s="78"/>
      <c r="AG485" s="78"/>
      <c r="AH485" s="78"/>
      <c r="AI485" s="78"/>
      <c r="AJ485" s="78"/>
      <c r="AK485" s="78"/>
      <c r="AL485" s="78"/>
      <c r="AM485" s="78"/>
      <c r="AN485" s="78"/>
      <c r="AO485" s="78"/>
      <c r="AP485" s="78"/>
      <c r="AQ485" s="78"/>
      <c r="AR485" s="78"/>
      <c r="AS485" s="78"/>
      <c r="AT485" s="78"/>
      <c r="AU485" s="78"/>
      <c r="AV485" s="78"/>
      <c r="AW485" s="78"/>
      <c r="AX485" s="78"/>
      <c r="AY485" s="78"/>
      <c r="AZ485" s="78"/>
      <c r="BA485" s="78"/>
      <c r="BB485" s="78"/>
      <c r="BC485" s="78"/>
    </row>
    <row r="486">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c r="AA486" s="78"/>
      <c r="AB486" s="78"/>
      <c r="AC486" s="78"/>
      <c r="AD486" s="78"/>
      <c r="AE486" s="78"/>
      <c r="AF486" s="78"/>
      <c r="AG486" s="78"/>
      <c r="AH486" s="78"/>
      <c r="AI486" s="78"/>
      <c r="AJ486" s="78"/>
      <c r="AK486" s="78"/>
      <c r="AL486" s="78"/>
      <c r="AM486" s="78"/>
      <c r="AN486" s="78"/>
      <c r="AO486" s="78"/>
      <c r="AP486" s="78"/>
      <c r="AQ486" s="78"/>
      <c r="AR486" s="78"/>
      <c r="AS486" s="78"/>
      <c r="AT486" s="78"/>
      <c r="AU486" s="78"/>
      <c r="AV486" s="78"/>
      <c r="AW486" s="78"/>
      <c r="AX486" s="78"/>
      <c r="AY486" s="78"/>
      <c r="AZ486" s="78"/>
      <c r="BA486" s="78"/>
      <c r="BB486" s="78"/>
      <c r="BC486" s="78"/>
    </row>
    <row r="487">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c r="AA487" s="78"/>
      <c r="AB487" s="78"/>
      <c r="AC487" s="78"/>
      <c r="AD487" s="78"/>
      <c r="AE487" s="78"/>
      <c r="AF487" s="78"/>
      <c r="AG487" s="78"/>
      <c r="AH487" s="78"/>
      <c r="AI487" s="78"/>
      <c r="AJ487" s="78"/>
      <c r="AK487" s="78"/>
      <c r="AL487" s="78"/>
      <c r="AM487" s="78"/>
      <c r="AN487" s="78"/>
      <c r="AO487" s="78"/>
      <c r="AP487" s="78"/>
      <c r="AQ487" s="78"/>
      <c r="AR487" s="78"/>
      <c r="AS487" s="78"/>
      <c r="AT487" s="78"/>
      <c r="AU487" s="78"/>
      <c r="AV487" s="78"/>
      <c r="AW487" s="78"/>
      <c r="AX487" s="78"/>
      <c r="AY487" s="78"/>
      <c r="AZ487" s="78"/>
      <c r="BA487" s="78"/>
      <c r="BB487" s="78"/>
      <c r="BC487" s="78"/>
    </row>
    <row r="488">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c r="AA488" s="78"/>
      <c r="AB488" s="78"/>
      <c r="AC488" s="78"/>
      <c r="AD488" s="78"/>
      <c r="AE488" s="78"/>
      <c r="AF488" s="78"/>
      <c r="AG488" s="78"/>
      <c r="AH488" s="78"/>
      <c r="AI488" s="78"/>
      <c r="AJ488" s="78"/>
      <c r="AK488" s="78"/>
      <c r="AL488" s="78"/>
      <c r="AM488" s="78"/>
      <c r="AN488" s="78"/>
      <c r="AO488" s="78"/>
      <c r="AP488" s="78"/>
      <c r="AQ488" s="78"/>
      <c r="AR488" s="78"/>
      <c r="AS488" s="78"/>
      <c r="AT488" s="78"/>
      <c r="AU488" s="78"/>
      <c r="AV488" s="78"/>
      <c r="AW488" s="78"/>
      <c r="AX488" s="78"/>
      <c r="AY488" s="78"/>
      <c r="AZ488" s="78"/>
      <c r="BA488" s="78"/>
      <c r="BB488" s="78"/>
      <c r="BC488" s="78"/>
    </row>
    <row r="489">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c r="AA489" s="78"/>
      <c r="AB489" s="78"/>
      <c r="AC489" s="78"/>
      <c r="AD489" s="78"/>
      <c r="AE489" s="78"/>
      <c r="AF489" s="78"/>
      <c r="AG489" s="78"/>
      <c r="AH489" s="78"/>
      <c r="AI489" s="78"/>
      <c r="AJ489" s="78"/>
      <c r="AK489" s="78"/>
      <c r="AL489" s="78"/>
      <c r="AM489" s="78"/>
      <c r="AN489" s="78"/>
      <c r="AO489" s="78"/>
      <c r="AP489" s="78"/>
      <c r="AQ489" s="78"/>
      <c r="AR489" s="78"/>
      <c r="AS489" s="78"/>
      <c r="AT489" s="78"/>
      <c r="AU489" s="78"/>
      <c r="AV489" s="78"/>
      <c r="AW489" s="78"/>
      <c r="AX489" s="78"/>
      <c r="AY489" s="78"/>
      <c r="AZ489" s="78"/>
      <c r="BA489" s="78"/>
      <c r="BB489" s="78"/>
      <c r="BC489" s="78"/>
    </row>
    <row r="490">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c r="AA490" s="78"/>
      <c r="AB490" s="78"/>
      <c r="AC490" s="78"/>
      <c r="AD490" s="78"/>
      <c r="AE490" s="78"/>
      <c r="AF490" s="78"/>
      <c r="AG490" s="78"/>
      <c r="AH490" s="78"/>
      <c r="AI490" s="78"/>
      <c r="AJ490" s="78"/>
      <c r="AK490" s="78"/>
      <c r="AL490" s="78"/>
      <c r="AM490" s="78"/>
      <c r="AN490" s="78"/>
      <c r="AO490" s="78"/>
      <c r="AP490" s="78"/>
      <c r="AQ490" s="78"/>
      <c r="AR490" s="78"/>
      <c r="AS490" s="78"/>
      <c r="AT490" s="78"/>
      <c r="AU490" s="78"/>
      <c r="AV490" s="78"/>
      <c r="AW490" s="78"/>
      <c r="AX490" s="78"/>
      <c r="AY490" s="78"/>
      <c r="AZ490" s="78"/>
      <c r="BA490" s="78"/>
      <c r="BB490" s="78"/>
      <c r="BC490" s="78"/>
    </row>
    <row r="491">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c r="AA491" s="78"/>
      <c r="AB491" s="78"/>
      <c r="AC491" s="78"/>
      <c r="AD491" s="78"/>
      <c r="AE491" s="78"/>
      <c r="AF491" s="78"/>
      <c r="AG491" s="78"/>
      <c r="AH491" s="78"/>
      <c r="AI491" s="78"/>
      <c r="AJ491" s="78"/>
      <c r="AK491" s="78"/>
      <c r="AL491" s="78"/>
      <c r="AM491" s="78"/>
      <c r="AN491" s="78"/>
      <c r="AO491" s="78"/>
      <c r="AP491" s="78"/>
      <c r="AQ491" s="78"/>
      <c r="AR491" s="78"/>
      <c r="AS491" s="78"/>
      <c r="AT491" s="78"/>
      <c r="AU491" s="78"/>
      <c r="AV491" s="78"/>
      <c r="AW491" s="78"/>
      <c r="AX491" s="78"/>
      <c r="AY491" s="78"/>
      <c r="AZ491" s="78"/>
      <c r="BA491" s="78"/>
      <c r="BB491" s="78"/>
      <c r="BC491" s="78"/>
    </row>
    <row r="492">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c r="AA492" s="78"/>
      <c r="AB492" s="78"/>
      <c r="AC492" s="78"/>
      <c r="AD492" s="78"/>
      <c r="AE492" s="78"/>
      <c r="AF492" s="78"/>
      <c r="AG492" s="78"/>
      <c r="AH492" s="78"/>
      <c r="AI492" s="78"/>
      <c r="AJ492" s="78"/>
      <c r="AK492" s="78"/>
      <c r="AL492" s="78"/>
      <c r="AM492" s="78"/>
      <c r="AN492" s="78"/>
      <c r="AO492" s="78"/>
      <c r="AP492" s="78"/>
      <c r="AQ492" s="78"/>
      <c r="AR492" s="78"/>
      <c r="AS492" s="78"/>
      <c r="AT492" s="78"/>
      <c r="AU492" s="78"/>
      <c r="AV492" s="78"/>
      <c r="AW492" s="78"/>
      <c r="AX492" s="78"/>
      <c r="AY492" s="78"/>
      <c r="AZ492" s="78"/>
      <c r="BA492" s="78"/>
      <c r="BB492" s="78"/>
      <c r="BC492" s="78"/>
    </row>
    <row r="493">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c r="AA493" s="78"/>
      <c r="AB493" s="78"/>
      <c r="AC493" s="78"/>
      <c r="AD493" s="78"/>
      <c r="AE493" s="78"/>
      <c r="AF493" s="78"/>
      <c r="AG493" s="78"/>
      <c r="AH493" s="78"/>
      <c r="AI493" s="78"/>
      <c r="AJ493" s="78"/>
      <c r="AK493" s="78"/>
      <c r="AL493" s="78"/>
      <c r="AM493" s="78"/>
      <c r="AN493" s="78"/>
      <c r="AO493" s="78"/>
      <c r="AP493" s="78"/>
      <c r="AQ493" s="78"/>
      <c r="AR493" s="78"/>
      <c r="AS493" s="78"/>
      <c r="AT493" s="78"/>
      <c r="AU493" s="78"/>
      <c r="AV493" s="78"/>
      <c r="AW493" s="78"/>
      <c r="AX493" s="78"/>
      <c r="AY493" s="78"/>
      <c r="AZ493" s="78"/>
      <c r="BA493" s="78"/>
      <c r="BB493" s="78"/>
      <c r="BC493" s="78"/>
    </row>
    <row r="494">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c r="AA494" s="78"/>
      <c r="AB494" s="78"/>
      <c r="AC494" s="78"/>
      <c r="AD494" s="78"/>
      <c r="AE494" s="78"/>
      <c r="AF494" s="78"/>
      <c r="AG494" s="78"/>
      <c r="AH494" s="78"/>
      <c r="AI494" s="78"/>
      <c r="AJ494" s="78"/>
      <c r="AK494" s="78"/>
      <c r="AL494" s="78"/>
      <c r="AM494" s="78"/>
      <c r="AN494" s="78"/>
      <c r="AO494" s="78"/>
      <c r="AP494" s="78"/>
      <c r="AQ494" s="78"/>
      <c r="AR494" s="78"/>
      <c r="AS494" s="78"/>
      <c r="AT494" s="78"/>
      <c r="AU494" s="78"/>
      <c r="AV494" s="78"/>
      <c r="AW494" s="78"/>
      <c r="AX494" s="78"/>
      <c r="AY494" s="78"/>
      <c r="AZ494" s="78"/>
      <c r="BA494" s="78"/>
      <c r="BB494" s="78"/>
      <c r="BC494" s="78"/>
    </row>
    <row r="495">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c r="AA495" s="78"/>
      <c r="AB495" s="78"/>
      <c r="AC495" s="78"/>
      <c r="AD495" s="78"/>
      <c r="AE495" s="78"/>
      <c r="AF495" s="78"/>
      <c r="AG495" s="78"/>
      <c r="AH495" s="78"/>
      <c r="AI495" s="78"/>
      <c r="AJ495" s="78"/>
      <c r="AK495" s="78"/>
      <c r="AL495" s="78"/>
      <c r="AM495" s="78"/>
      <c r="AN495" s="78"/>
      <c r="AO495" s="78"/>
      <c r="AP495" s="78"/>
      <c r="AQ495" s="78"/>
      <c r="AR495" s="78"/>
      <c r="AS495" s="78"/>
      <c r="AT495" s="78"/>
      <c r="AU495" s="78"/>
      <c r="AV495" s="78"/>
      <c r="AW495" s="78"/>
      <c r="AX495" s="78"/>
      <c r="AY495" s="78"/>
      <c r="AZ495" s="78"/>
      <c r="BA495" s="78"/>
      <c r="BB495" s="78"/>
      <c r="BC495" s="78"/>
    </row>
    <row r="496">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c r="AA496" s="78"/>
      <c r="AB496" s="78"/>
      <c r="AC496" s="78"/>
      <c r="AD496" s="78"/>
      <c r="AE496" s="78"/>
      <c r="AF496" s="78"/>
      <c r="AG496" s="78"/>
      <c r="AH496" s="78"/>
      <c r="AI496" s="78"/>
      <c r="AJ496" s="78"/>
      <c r="AK496" s="78"/>
      <c r="AL496" s="78"/>
      <c r="AM496" s="78"/>
      <c r="AN496" s="78"/>
      <c r="AO496" s="78"/>
      <c r="AP496" s="78"/>
      <c r="AQ496" s="78"/>
      <c r="AR496" s="78"/>
      <c r="AS496" s="78"/>
      <c r="AT496" s="78"/>
      <c r="AU496" s="78"/>
      <c r="AV496" s="78"/>
      <c r="AW496" s="78"/>
      <c r="AX496" s="78"/>
      <c r="AY496" s="78"/>
      <c r="AZ496" s="78"/>
      <c r="BA496" s="78"/>
      <c r="BB496" s="78"/>
      <c r="BC496" s="78"/>
    </row>
    <row r="497">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c r="AA497" s="78"/>
      <c r="AB497" s="78"/>
      <c r="AC497" s="78"/>
      <c r="AD497" s="78"/>
      <c r="AE497" s="78"/>
      <c r="AF497" s="78"/>
      <c r="AG497" s="78"/>
      <c r="AH497" s="78"/>
      <c r="AI497" s="78"/>
      <c r="AJ497" s="78"/>
      <c r="AK497" s="78"/>
      <c r="AL497" s="78"/>
      <c r="AM497" s="78"/>
      <c r="AN497" s="78"/>
      <c r="AO497" s="78"/>
      <c r="AP497" s="78"/>
      <c r="AQ497" s="78"/>
      <c r="AR497" s="78"/>
      <c r="AS497" s="78"/>
      <c r="AT497" s="78"/>
      <c r="AU497" s="78"/>
      <c r="AV497" s="78"/>
      <c r="AW497" s="78"/>
      <c r="AX497" s="78"/>
      <c r="AY497" s="78"/>
      <c r="AZ497" s="78"/>
      <c r="BA497" s="78"/>
      <c r="BB497" s="78"/>
      <c r="BC497" s="78"/>
    </row>
    <row r="498">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c r="AA498" s="78"/>
      <c r="AB498" s="78"/>
      <c r="AC498" s="78"/>
      <c r="AD498" s="78"/>
      <c r="AE498" s="78"/>
      <c r="AF498" s="78"/>
      <c r="AG498" s="78"/>
      <c r="AH498" s="78"/>
      <c r="AI498" s="78"/>
      <c r="AJ498" s="78"/>
      <c r="AK498" s="78"/>
      <c r="AL498" s="78"/>
      <c r="AM498" s="78"/>
      <c r="AN498" s="78"/>
      <c r="AO498" s="78"/>
      <c r="AP498" s="78"/>
      <c r="AQ498" s="78"/>
      <c r="AR498" s="78"/>
      <c r="AS498" s="78"/>
      <c r="AT498" s="78"/>
      <c r="AU498" s="78"/>
      <c r="AV498" s="78"/>
      <c r="AW498" s="78"/>
      <c r="AX498" s="78"/>
      <c r="AY498" s="78"/>
      <c r="AZ498" s="78"/>
      <c r="BA498" s="78"/>
      <c r="BB498" s="78"/>
      <c r="BC498" s="78"/>
    </row>
    <row r="499">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c r="AA499" s="78"/>
      <c r="AB499" s="78"/>
      <c r="AC499" s="78"/>
      <c r="AD499" s="78"/>
      <c r="AE499" s="78"/>
      <c r="AF499" s="78"/>
      <c r="AG499" s="78"/>
      <c r="AH499" s="78"/>
      <c r="AI499" s="78"/>
      <c r="AJ499" s="78"/>
      <c r="AK499" s="78"/>
      <c r="AL499" s="78"/>
      <c r="AM499" s="78"/>
      <c r="AN499" s="78"/>
      <c r="AO499" s="78"/>
      <c r="AP499" s="78"/>
      <c r="AQ499" s="78"/>
      <c r="AR499" s="78"/>
      <c r="AS499" s="78"/>
      <c r="AT499" s="78"/>
      <c r="AU499" s="78"/>
      <c r="AV499" s="78"/>
      <c r="AW499" s="78"/>
      <c r="AX499" s="78"/>
      <c r="AY499" s="78"/>
      <c r="AZ499" s="78"/>
      <c r="BA499" s="78"/>
      <c r="BB499" s="78"/>
      <c r="BC499" s="78"/>
    </row>
    <row r="500">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c r="AA500" s="78"/>
      <c r="AB500" s="78"/>
      <c r="AC500" s="78"/>
      <c r="AD500" s="78"/>
      <c r="AE500" s="78"/>
      <c r="AF500" s="78"/>
      <c r="AG500" s="78"/>
      <c r="AH500" s="78"/>
      <c r="AI500" s="78"/>
      <c r="AJ500" s="78"/>
      <c r="AK500" s="78"/>
      <c r="AL500" s="78"/>
      <c r="AM500" s="78"/>
      <c r="AN500" s="78"/>
      <c r="AO500" s="78"/>
      <c r="AP500" s="78"/>
      <c r="AQ500" s="78"/>
      <c r="AR500" s="78"/>
      <c r="AS500" s="78"/>
      <c r="AT500" s="78"/>
      <c r="AU500" s="78"/>
      <c r="AV500" s="78"/>
      <c r="AW500" s="78"/>
      <c r="AX500" s="78"/>
      <c r="AY500" s="78"/>
      <c r="AZ500" s="78"/>
      <c r="BA500" s="78"/>
      <c r="BB500" s="78"/>
      <c r="BC500" s="78"/>
    </row>
    <row r="501">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c r="AA501" s="78"/>
      <c r="AB501" s="78"/>
      <c r="AC501" s="78"/>
      <c r="AD501" s="78"/>
      <c r="AE501" s="78"/>
      <c r="AF501" s="78"/>
      <c r="AG501" s="78"/>
      <c r="AH501" s="78"/>
      <c r="AI501" s="78"/>
      <c r="AJ501" s="78"/>
      <c r="AK501" s="78"/>
      <c r="AL501" s="78"/>
      <c r="AM501" s="78"/>
      <c r="AN501" s="78"/>
      <c r="AO501" s="78"/>
      <c r="AP501" s="78"/>
      <c r="AQ501" s="78"/>
      <c r="AR501" s="78"/>
      <c r="AS501" s="78"/>
      <c r="AT501" s="78"/>
      <c r="AU501" s="78"/>
      <c r="AV501" s="78"/>
      <c r="AW501" s="78"/>
      <c r="AX501" s="78"/>
      <c r="AY501" s="78"/>
      <c r="AZ501" s="78"/>
      <c r="BA501" s="78"/>
      <c r="BB501" s="78"/>
      <c r="BC501" s="78"/>
    </row>
    <row r="502">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c r="AA502" s="78"/>
      <c r="AB502" s="78"/>
      <c r="AC502" s="78"/>
      <c r="AD502" s="78"/>
      <c r="AE502" s="78"/>
      <c r="AF502" s="78"/>
      <c r="AG502" s="78"/>
      <c r="AH502" s="78"/>
      <c r="AI502" s="78"/>
      <c r="AJ502" s="78"/>
      <c r="AK502" s="78"/>
      <c r="AL502" s="78"/>
      <c r="AM502" s="78"/>
      <c r="AN502" s="78"/>
      <c r="AO502" s="78"/>
      <c r="AP502" s="78"/>
      <c r="AQ502" s="78"/>
      <c r="AR502" s="78"/>
      <c r="AS502" s="78"/>
      <c r="AT502" s="78"/>
      <c r="AU502" s="78"/>
      <c r="AV502" s="78"/>
      <c r="AW502" s="78"/>
      <c r="AX502" s="78"/>
      <c r="AY502" s="78"/>
      <c r="AZ502" s="78"/>
      <c r="BA502" s="78"/>
      <c r="BB502" s="78"/>
      <c r="BC502" s="78"/>
    </row>
    <row r="503">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c r="AA503" s="78"/>
      <c r="AB503" s="78"/>
      <c r="AC503" s="78"/>
      <c r="AD503" s="78"/>
      <c r="AE503" s="78"/>
      <c r="AF503" s="78"/>
      <c r="AG503" s="78"/>
      <c r="AH503" s="78"/>
      <c r="AI503" s="78"/>
      <c r="AJ503" s="78"/>
      <c r="AK503" s="78"/>
      <c r="AL503" s="78"/>
      <c r="AM503" s="78"/>
      <c r="AN503" s="78"/>
      <c r="AO503" s="78"/>
      <c r="AP503" s="78"/>
      <c r="AQ503" s="78"/>
      <c r="AR503" s="78"/>
      <c r="AS503" s="78"/>
      <c r="AT503" s="78"/>
      <c r="AU503" s="78"/>
      <c r="AV503" s="78"/>
      <c r="AW503" s="78"/>
      <c r="AX503" s="78"/>
      <c r="AY503" s="78"/>
      <c r="AZ503" s="78"/>
      <c r="BA503" s="78"/>
      <c r="BB503" s="78"/>
      <c r="BC503" s="78"/>
    </row>
    <row r="504">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c r="AA504" s="78"/>
      <c r="AB504" s="78"/>
      <c r="AC504" s="78"/>
      <c r="AD504" s="78"/>
      <c r="AE504" s="78"/>
      <c r="AF504" s="78"/>
      <c r="AG504" s="78"/>
      <c r="AH504" s="78"/>
      <c r="AI504" s="78"/>
      <c r="AJ504" s="78"/>
      <c r="AK504" s="78"/>
      <c r="AL504" s="78"/>
      <c r="AM504" s="78"/>
      <c r="AN504" s="78"/>
      <c r="AO504" s="78"/>
      <c r="AP504" s="78"/>
      <c r="AQ504" s="78"/>
      <c r="AR504" s="78"/>
      <c r="AS504" s="78"/>
      <c r="AT504" s="78"/>
      <c r="AU504" s="78"/>
      <c r="AV504" s="78"/>
      <c r="AW504" s="78"/>
      <c r="AX504" s="78"/>
      <c r="AY504" s="78"/>
      <c r="AZ504" s="78"/>
      <c r="BA504" s="78"/>
      <c r="BB504" s="78"/>
      <c r="BC504" s="78"/>
    </row>
    <row r="505">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c r="AA505" s="78"/>
      <c r="AB505" s="78"/>
      <c r="AC505" s="78"/>
      <c r="AD505" s="78"/>
      <c r="AE505" s="78"/>
      <c r="AF505" s="78"/>
      <c r="AG505" s="78"/>
      <c r="AH505" s="78"/>
      <c r="AI505" s="78"/>
      <c r="AJ505" s="78"/>
      <c r="AK505" s="78"/>
      <c r="AL505" s="78"/>
      <c r="AM505" s="78"/>
      <c r="AN505" s="78"/>
      <c r="AO505" s="78"/>
      <c r="AP505" s="78"/>
      <c r="AQ505" s="78"/>
      <c r="AR505" s="78"/>
      <c r="AS505" s="78"/>
      <c r="AT505" s="78"/>
      <c r="AU505" s="78"/>
      <c r="AV505" s="78"/>
      <c r="AW505" s="78"/>
      <c r="AX505" s="78"/>
      <c r="AY505" s="78"/>
      <c r="AZ505" s="78"/>
      <c r="BA505" s="78"/>
      <c r="BB505" s="78"/>
      <c r="BC505" s="78"/>
    </row>
    <row r="506">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c r="AA506" s="78"/>
      <c r="AB506" s="78"/>
      <c r="AC506" s="78"/>
      <c r="AD506" s="78"/>
      <c r="AE506" s="78"/>
      <c r="AF506" s="78"/>
      <c r="AG506" s="78"/>
      <c r="AH506" s="78"/>
      <c r="AI506" s="78"/>
      <c r="AJ506" s="78"/>
      <c r="AK506" s="78"/>
      <c r="AL506" s="78"/>
      <c r="AM506" s="78"/>
      <c r="AN506" s="78"/>
      <c r="AO506" s="78"/>
      <c r="AP506" s="78"/>
      <c r="AQ506" s="78"/>
      <c r="AR506" s="78"/>
      <c r="AS506" s="78"/>
      <c r="AT506" s="78"/>
      <c r="AU506" s="78"/>
      <c r="AV506" s="78"/>
      <c r="AW506" s="78"/>
      <c r="AX506" s="78"/>
      <c r="AY506" s="78"/>
      <c r="AZ506" s="78"/>
      <c r="BA506" s="78"/>
      <c r="BB506" s="78"/>
      <c r="BC506" s="78"/>
    </row>
    <row r="507">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c r="AA507" s="78"/>
      <c r="AB507" s="78"/>
      <c r="AC507" s="78"/>
      <c r="AD507" s="78"/>
      <c r="AE507" s="78"/>
      <c r="AF507" s="78"/>
      <c r="AG507" s="78"/>
      <c r="AH507" s="78"/>
      <c r="AI507" s="78"/>
      <c r="AJ507" s="78"/>
      <c r="AK507" s="78"/>
      <c r="AL507" s="78"/>
      <c r="AM507" s="78"/>
      <c r="AN507" s="78"/>
      <c r="AO507" s="78"/>
      <c r="AP507" s="78"/>
      <c r="AQ507" s="78"/>
      <c r="AR507" s="78"/>
      <c r="AS507" s="78"/>
      <c r="AT507" s="78"/>
      <c r="AU507" s="78"/>
      <c r="AV507" s="78"/>
      <c r="AW507" s="78"/>
      <c r="AX507" s="78"/>
      <c r="AY507" s="78"/>
      <c r="AZ507" s="78"/>
      <c r="BA507" s="78"/>
      <c r="BB507" s="78"/>
      <c r="BC507" s="78"/>
    </row>
    <row r="508">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c r="AA508" s="78"/>
      <c r="AB508" s="78"/>
      <c r="AC508" s="78"/>
      <c r="AD508" s="78"/>
      <c r="AE508" s="78"/>
      <c r="AF508" s="78"/>
      <c r="AG508" s="78"/>
      <c r="AH508" s="78"/>
      <c r="AI508" s="78"/>
      <c r="AJ508" s="78"/>
      <c r="AK508" s="78"/>
      <c r="AL508" s="78"/>
      <c r="AM508" s="78"/>
      <c r="AN508" s="78"/>
      <c r="AO508" s="78"/>
      <c r="AP508" s="78"/>
      <c r="AQ508" s="78"/>
      <c r="AR508" s="78"/>
      <c r="AS508" s="78"/>
      <c r="AT508" s="78"/>
      <c r="AU508" s="78"/>
      <c r="AV508" s="78"/>
      <c r="AW508" s="78"/>
      <c r="AX508" s="78"/>
      <c r="AY508" s="78"/>
      <c r="AZ508" s="78"/>
      <c r="BA508" s="78"/>
      <c r="BB508" s="78"/>
      <c r="BC508" s="78"/>
    </row>
    <row r="509">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c r="AA509" s="78"/>
      <c r="AB509" s="78"/>
      <c r="AC509" s="78"/>
      <c r="AD509" s="78"/>
      <c r="AE509" s="78"/>
      <c r="AF509" s="78"/>
      <c r="AG509" s="78"/>
      <c r="AH509" s="78"/>
      <c r="AI509" s="78"/>
      <c r="AJ509" s="78"/>
      <c r="AK509" s="78"/>
      <c r="AL509" s="78"/>
      <c r="AM509" s="78"/>
      <c r="AN509" s="78"/>
      <c r="AO509" s="78"/>
      <c r="AP509" s="78"/>
      <c r="AQ509" s="78"/>
      <c r="AR509" s="78"/>
      <c r="AS509" s="78"/>
      <c r="AT509" s="78"/>
      <c r="AU509" s="78"/>
      <c r="AV509" s="78"/>
      <c r="AW509" s="78"/>
      <c r="AX509" s="78"/>
      <c r="AY509" s="78"/>
      <c r="AZ509" s="78"/>
      <c r="BA509" s="78"/>
      <c r="BB509" s="78"/>
      <c r="BC509" s="78"/>
    </row>
    <row r="510">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c r="AA510" s="78"/>
      <c r="AB510" s="78"/>
      <c r="AC510" s="78"/>
      <c r="AD510" s="78"/>
      <c r="AE510" s="78"/>
      <c r="AF510" s="78"/>
      <c r="AG510" s="78"/>
      <c r="AH510" s="78"/>
      <c r="AI510" s="78"/>
      <c r="AJ510" s="78"/>
      <c r="AK510" s="78"/>
      <c r="AL510" s="78"/>
      <c r="AM510" s="78"/>
      <c r="AN510" s="78"/>
      <c r="AO510" s="78"/>
      <c r="AP510" s="78"/>
      <c r="AQ510" s="78"/>
      <c r="AR510" s="78"/>
      <c r="AS510" s="78"/>
      <c r="AT510" s="78"/>
      <c r="AU510" s="78"/>
      <c r="AV510" s="78"/>
      <c r="AW510" s="78"/>
      <c r="AX510" s="78"/>
      <c r="AY510" s="78"/>
      <c r="AZ510" s="78"/>
      <c r="BA510" s="78"/>
      <c r="BB510" s="78"/>
      <c r="BC510" s="78"/>
    </row>
    <row r="511">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c r="AA511" s="78"/>
      <c r="AB511" s="78"/>
      <c r="AC511" s="78"/>
      <c r="AD511" s="78"/>
      <c r="AE511" s="78"/>
      <c r="AF511" s="78"/>
      <c r="AG511" s="78"/>
      <c r="AH511" s="78"/>
      <c r="AI511" s="78"/>
      <c r="AJ511" s="78"/>
      <c r="AK511" s="78"/>
      <c r="AL511" s="78"/>
      <c r="AM511" s="78"/>
      <c r="AN511" s="78"/>
      <c r="AO511" s="78"/>
      <c r="AP511" s="78"/>
      <c r="AQ511" s="78"/>
      <c r="AR511" s="78"/>
      <c r="AS511" s="78"/>
      <c r="AT511" s="78"/>
      <c r="AU511" s="78"/>
      <c r="AV511" s="78"/>
      <c r="AW511" s="78"/>
      <c r="AX511" s="78"/>
      <c r="AY511" s="78"/>
      <c r="AZ511" s="78"/>
      <c r="BA511" s="78"/>
      <c r="BB511" s="78"/>
      <c r="BC511" s="78"/>
    </row>
    <row r="512">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c r="AA512" s="78"/>
      <c r="AB512" s="78"/>
      <c r="AC512" s="78"/>
      <c r="AD512" s="78"/>
      <c r="AE512" s="78"/>
      <c r="AF512" s="78"/>
      <c r="AG512" s="78"/>
      <c r="AH512" s="78"/>
      <c r="AI512" s="78"/>
      <c r="AJ512" s="78"/>
      <c r="AK512" s="78"/>
      <c r="AL512" s="78"/>
      <c r="AM512" s="78"/>
      <c r="AN512" s="78"/>
      <c r="AO512" s="78"/>
      <c r="AP512" s="78"/>
      <c r="AQ512" s="78"/>
      <c r="AR512" s="78"/>
      <c r="AS512" s="78"/>
      <c r="AT512" s="78"/>
      <c r="AU512" s="78"/>
      <c r="AV512" s="78"/>
      <c r="AW512" s="78"/>
      <c r="AX512" s="78"/>
      <c r="AY512" s="78"/>
      <c r="AZ512" s="78"/>
      <c r="BA512" s="78"/>
      <c r="BB512" s="78"/>
      <c r="BC512" s="78"/>
    </row>
    <row r="513">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c r="AA513" s="78"/>
      <c r="AB513" s="78"/>
      <c r="AC513" s="78"/>
      <c r="AD513" s="78"/>
      <c r="AE513" s="78"/>
      <c r="AF513" s="78"/>
      <c r="AG513" s="78"/>
      <c r="AH513" s="78"/>
      <c r="AI513" s="78"/>
      <c r="AJ513" s="78"/>
      <c r="AK513" s="78"/>
      <c r="AL513" s="78"/>
      <c r="AM513" s="78"/>
      <c r="AN513" s="78"/>
      <c r="AO513" s="78"/>
      <c r="AP513" s="78"/>
      <c r="AQ513" s="78"/>
      <c r="AR513" s="78"/>
      <c r="AS513" s="78"/>
      <c r="AT513" s="78"/>
      <c r="AU513" s="78"/>
      <c r="AV513" s="78"/>
      <c r="AW513" s="78"/>
      <c r="AX513" s="78"/>
      <c r="AY513" s="78"/>
      <c r="AZ513" s="78"/>
      <c r="BA513" s="78"/>
      <c r="BB513" s="78"/>
      <c r="BC513" s="78"/>
    </row>
    <row r="514">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c r="AA514" s="78"/>
      <c r="AB514" s="78"/>
      <c r="AC514" s="78"/>
      <c r="AD514" s="78"/>
      <c r="AE514" s="78"/>
      <c r="AF514" s="78"/>
      <c r="AG514" s="78"/>
      <c r="AH514" s="78"/>
      <c r="AI514" s="78"/>
      <c r="AJ514" s="78"/>
      <c r="AK514" s="78"/>
      <c r="AL514" s="78"/>
      <c r="AM514" s="78"/>
      <c r="AN514" s="78"/>
      <c r="AO514" s="78"/>
      <c r="AP514" s="78"/>
      <c r="AQ514" s="78"/>
      <c r="AR514" s="78"/>
      <c r="AS514" s="78"/>
      <c r="AT514" s="78"/>
      <c r="AU514" s="78"/>
      <c r="AV514" s="78"/>
      <c r="AW514" s="78"/>
      <c r="AX514" s="78"/>
      <c r="AY514" s="78"/>
      <c r="AZ514" s="78"/>
      <c r="BA514" s="78"/>
      <c r="BB514" s="78"/>
      <c r="BC514" s="78"/>
    </row>
    <row r="515">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c r="AA515" s="78"/>
      <c r="AB515" s="78"/>
      <c r="AC515" s="78"/>
      <c r="AD515" s="78"/>
      <c r="AE515" s="78"/>
      <c r="AF515" s="78"/>
      <c r="AG515" s="78"/>
      <c r="AH515" s="78"/>
      <c r="AI515" s="78"/>
      <c r="AJ515" s="78"/>
      <c r="AK515" s="78"/>
      <c r="AL515" s="78"/>
      <c r="AM515" s="78"/>
      <c r="AN515" s="78"/>
      <c r="AO515" s="78"/>
      <c r="AP515" s="78"/>
      <c r="AQ515" s="78"/>
      <c r="AR515" s="78"/>
      <c r="AS515" s="78"/>
      <c r="AT515" s="78"/>
      <c r="AU515" s="78"/>
      <c r="AV515" s="78"/>
      <c r="AW515" s="78"/>
      <c r="AX515" s="78"/>
      <c r="AY515" s="78"/>
      <c r="AZ515" s="78"/>
      <c r="BA515" s="78"/>
      <c r="BB515" s="78"/>
      <c r="BC515" s="78"/>
    </row>
    <row r="516">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c r="AA516" s="78"/>
      <c r="AB516" s="78"/>
      <c r="AC516" s="78"/>
      <c r="AD516" s="78"/>
      <c r="AE516" s="78"/>
      <c r="AF516" s="78"/>
      <c r="AG516" s="78"/>
      <c r="AH516" s="78"/>
      <c r="AI516" s="78"/>
      <c r="AJ516" s="78"/>
      <c r="AK516" s="78"/>
      <c r="AL516" s="78"/>
      <c r="AM516" s="78"/>
      <c r="AN516" s="78"/>
      <c r="AO516" s="78"/>
      <c r="AP516" s="78"/>
      <c r="AQ516" s="78"/>
      <c r="AR516" s="78"/>
      <c r="AS516" s="78"/>
      <c r="AT516" s="78"/>
      <c r="AU516" s="78"/>
      <c r="AV516" s="78"/>
      <c r="AW516" s="78"/>
      <c r="AX516" s="78"/>
      <c r="AY516" s="78"/>
      <c r="AZ516" s="78"/>
      <c r="BA516" s="78"/>
      <c r="BB516" s="78"/>
      <c r="BC516" s="78"/>
    </row>
    <row r="517">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c r="AA517" s="78"/>
      <c r="AB517" s="78"/>
      <c r="AC517" s="78"/>
      <c r="AD517" s="78"/>
      <c r="AE517" s="78"/>
      <c r="AF517" s="78"/>
      <c r="AG517" s="78"/>
      <c r="AH517" s="78"/>
      <c r="AI517" s="78"/>
      <c r="AJ517" s="78"/>
      <c r="AK517" s="78"/>
      <c r="AL517" s="78"/>
      <c r="AM517" s="78"/>
      <c r="AN517" s="78"/>
      <c r="AO517" s="78"/>
      <c r="AP517" s="78"/>
      <c r="AQ517" s="78"/>
      <c r="AR517" s="78"/>
      <c r="AS517" s="78"/>
      <c r="AT517" s="78"/>
      <c r="AU517" s="78"/>
      <c r="AV517" s="78"/>
      <c r="AW517" s="78"/>
      <c r="AX517" s="78"/>
      <c r="AY517" s="78"/>
      <c r="AZ517" s="78"/>
      <c r="BA517" s="78"/>
      <c r="BB517" s="78"/>
      <c r="BC517" s="78"/>
    </row>
    <row r="518">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c r="AA518" s="78"/>
      <c r="AB518" s="78"/>
      <c r="AC518" s="78"/>
      <c r="AD518" s="78"/>
      <c r="AE518" s="78"/>
      <c r="AF518" s="78"/>
      <c r="AG518" s="78"/>
      <c r="AH518" s="78"/>
      <c r="AI518" s="78"/>
      <c r="AJ518" s="78"/>
      <c r="AK518" s="78"/>
      <c r="AL518" s="78"/>
      <c r="AM518" s="78"/>
      <c r="AN518" s="78"/>
      <c r="AO518" s="78"/>
      <c r="AP518" s="78"/>
      <c r="AQ518" s="78"/>
      <c r="AR518" s="78"/>
      <c r="AS518" s="78"/>
      <c r="AT518" s="78"/>
      <c r="AU518" s="78"/>
      <c r="AV518" s="78"/>
      <c r="AW518" s="78"/>
      <c r="AX518" s="78"/>
      <c r="AY518" s="78"/>
      <c r="AZ518" s="78"/>
      <c r="BA518" s="78"/>
      <c r="BB518" s="78"/>
      <c r="BC518" s="78"/>
    </row>
    <row r="519">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c r="AA519" s="78"/>
      <c r="AB519" s="78"/>
      <c r="AC519" s="78"/>
      <c r="AD519" s="78"/>
      <c r="AE519" s="78"/>
      <c r="AF519" s="78"/>
      <c r="AG519" s="78"/>
      <c r="AH519" s="78"/>
      <c r="AI519" s="78"/>
      <c r="AJ519" s="78"/>
      <c r="AK519" s="78"/>
      <c r="AL519" s="78"/>
      <c r="AM519" s="78"/>
      <c r="AN519" s="78"/>
      <c r="AO519" s="78"/>
      <c r="AP519" s="78"/>
      <c r="AQ519" s="78"/>
      <c r="AR519" s="78"/>
      <c r="AS519" s="78"/>
      <c r="AT519" s="78"/>
      <c r="AU519" s="78"/>
      <c r="AV519" s="78"/>
      <c r="AW519" s="78"/>
      <c r="AX519" s="78"/>
      <c r="AY519" s="78"/>
      <c r="AZ519" s="78"/>
      <c r="BA519" s="78"/>
      <c r="BB519" s="78"/>
      <c r="BC519" s="78"/>
    </row>
    <row r="520">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c r="AA520" s="78"/>
      <c r="AB520" s="78"/>
      <c r="AC520" s="78"/>
      <c r="AD520" s="78"/>
      <c r="AE520" s="78"/>
      <c r="AF520" s="78"/>
      <c r="AG520" s="78"/>
      <c r="AH520" s="78"/>
      <c r="AI520" s="78"/>
      <c r="AJ520" s="78"/>
      <c r="AK520" s="78"/>
      <c r="AL520" s="78"/>
      <c r="AM520" s="78"/>
      <c r="AN520" s="78"/>
      <c r="AO520" s="78"/>
      <c r="AP520" s="78"/>
      <c r="AQ520" s="78"/>
      <c r="AR520" s="78"/>
      <c r="AS520" s="78"/>
      <c r="AT520" s="78"/>
      <c r="AU520" s="78"/>
      <c r="AV520" s="78"/>
      <c r="AW520" s="78"/>
      <c r="AX520" s="78"/>
      <c r="AY520" s="78"/>
      <c r="AZ520" s="78"/>
      <c r="BA520" s="78"/>
      <c r="BB520" s="78"/>
      <c r="BC520" s="78"/>
    </row>
    <row r="521">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c r="AA521" s="78"/>
      <c r="AB521" s="78"/>
      <c r="AC521" s="78"/>
      <c r="AD521" s="78"/>
      <c r="AE521" s="78"/>
      <c r="AF521" s="78"/>
      <c r="AG521" s="78"/>
      <c r="AH521" s="78"/>
      <c r="AI521" s="78"/>
      <c r="AJ521" s="78"/>
      <c r="AK521" s="78"/>
      <c r="AL521" s="78"/>
      <c r="AM521" s="78"/>
      <c r="AN521" s="78"/>
      <c r="AO521" s="78"/>
      <c r="AP521" s="78"/>
      <c r="AQ521" s="78"/>
      <c r="AR521" s="78"/>
      <c r="AS521" s="78"/>
      <c r="AT521" s="78"/>
      <c r="AU521" s="78"/>
      <c r="AV521" s="78"/>
      <c r="AW521" s="78"/>
      <c r="AX521" s="78"/>
      <c r="AY521" s="78"/>
      <c r="AZ521" s="78"/>
      <c r="BA521" s="78"/>
      <c r="BB521" s="78"/>
      <c r="BC521" s="78"/>
    </row>
    <row r="522">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c r="AA522" s="78"/>
      <c r="AB522" s="78"/>
      <c r="AC522" s="78"/>
      <c r="AD522" s="78"/>
      <c r="AE522" s="78"/>
      <c r="AF522" s="78"/>
      <c r="AG522" s="78"/>
      <c r="AH522" s="78"/>
      <c r="AI522" s="78"/>
      <c r="AJ522" s="78"/>
      <c r="AK522" s="78"/>
      <c r="AL522" s="78"/>
      <c r="AM522" s="78"/>
      <c r="AN522" s="78"/>
      <c r="AO522" s="78"/>
      <c r="AP522" s="78"/>
      <c r="AQ522" s="78"/>
      <c r="AR522" s="78"/>
      <c r="AS522" s="78"/>
      <c r="AT522" s="78"/>
      <c r="AU522" s="78"/>
      <c r="AV522" s="78"/>
      <c r="AW522" s="78"/>
      <c r="AX522" s="78"/>
      <c r="AY522" s="78"/>
      <c r="AZ522" s="78"/>
      <c r="BA522" s="78"/>
      <c r="BB522" s="78"/>
      <c r="BC522" s="78"/>
    </row>
    <row r="523">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c r="AA523" s="78"/>
      <c r="AB523" s="78"/>
      <c r="AC523" s="78"/>
      <c r="AD523" s="78"/>
      <c r="AE523" s="78"/>
      <c r="AF523" s="78"/>
      <c r="AG523" s="78"/>
      <c r="AH523" s="78"/>
      <c r="AI523" s="78"/>
      <c r="AJ523" s="78"/>
      <c r="AK523" s="78"/>
      <c r="AL523" s="78"/>
      <c r="AM523" s="78"/>
      <c r="AN523" s="78"/>
      <c r="AO523" s="78"/>
      <c r="AP523" s="78"/>
      <c r="AQ523" s="78"/>
      <c r="AR523" s="78"/>
      <c r="AS523" s="78"/>
      <c r="AT523" s="78"/>
      <c r="AU523" s="78"/>
      <c r="AV523" s="78"/>
      <c r="AW523" s="78"/>
      <c r="AX523" s="78"/>
      <c r="AY523" s="78"/>
      <c r="AZ523" s="78"/>
      <c r="BA523" s="78"/>
      <c r="BB523" s="78"/>
      <c r="BC523" s="78"/>
    </row>
    <row r="524">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c r="AA524" s="78"/>
      <c r="AB524" s="78"/>
      <c r="AC524" s="78"/>
      <c r="AD524" s="78"/>
      <c r="AE524" s="78"/>
      <c r="AF524" s="78"/>
      <c r="AG524" s="78"/>
      <c r="AH524" s="78"/>
      <c r="AI524" s="78"/>
      <c r="AJ524" s="78"/>
      <c r="AK524" s="78"/>
      <c r="AL524" s="78"/>
      <c r="AM524" s="78"/>
      <c r="AN524" s="78"/>
      <c r="AO524" s="78"/>
      <c r="AP524" s="78"/>
      <c r="AQ524" s="78"/>
      <c r="AR524" s="78"/>
      <c r="AS524" s="78"/>
      <c r="AT524" s="78"/>
      <c r="AU524" s="78"/>
      <c r="AV524" s="78"/>
      <c r="AW524" s="78"/>
      <c r="AX524" s="78"/>
      <c r="AY524" s="78"/>
      <c r="AZ524" s="78"/>
      <c r="BA524" s="78"/>
      <c r="BB524" s="78"/>
      <c r="BC524" s="78"/>
    </row>
    <row r="525">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c r="AA525" s="78"/>
      <c r="AB525" s="78"/>
      <c r="AC525" s="78"/>
      <c r="AD525" s="78"/>
      <c r="AE525" s="78"/>
      <c r="AF525" s="78"/>
      <c r="AG525" s="78"/>
      <c r="AH525" s="78"/>
      <c r="AI525" s="78"/>
      <c r="AJ525" s="78"/>
      <c r="AK525" s="78"/>
      <c r="AL525" s="78"/>
      <c r="AM525" s="78"/>
      <c r="AN525" s="78"/>
      <c r="AO525" s="78"/>
      <c r="AP525" s="78"/>
      <c r="AQ525" s="78"/>
      <c r="AR525" s="78"/>
      <c r="AS525" s="78"/>
      <c r="AT525" s="78"/>
      <c r="AU525" s="78"/>
      <c r="AV525" s="78"/>
      <c r="AW525" s="78"/>
      <c r="AX525" s="78"/>
      <c r="AY525" s="78"/>
      <c r="AZ525" s="78"/>
      <c r="BA525" s="78"/>
      <c r="BB525" s="78"/>
      <c r="BC525" s="78"/>
    </row>
    <row r="526">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c r="AA526" s="78"/>
      <c r="AB526" s="78"/>
      <c r="AC526" s="78"/>
      <c r="AD526" s="78"/>
      <c r="AE526" s="78"/>
      <c r="AF526" s="78"/>
      <c r="AG526" s="78"/>
      <c r="AH526" s="78"/>
      <c r="AI526" s="78"/>
      <c r="AJ526" s="78"/>
      <c r="AK526" s="78"/>
      <c r="AL526" s="78"/>
      <c r="AM526" s="78"/>
      <c r="AN526" s="78"/>
      <c r="AO526" s="78"/>
      <c r="AP526" s="78"/>
      <c r="AQ526" s="78"/>
      <c r="AR526" s="78"/>
      <c r="AS526" s="78"/>
      <c r="AT526" s="78"/>
      <c r="AU526" s="78"/>
      <c r="AV526" s="78"/>
      <c r="AW526" s="78"/>
      <c r="AX526" s="78"/>
      <c r="AY526" s="78"/>
      <c r="AZ526" s="78"/>
      <c r="BA526" s="78"/>
      <c r="BB526" s="78"/>
      <c r="BC526" s="78"/>
    </row>
    <row r="527">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c r="AA527" s="78"/>
      <c r="AB527" s="78"/>
      <c r="AC527" s="78"/>
      <c r="AD527" s="78"/>
      <c r="AE527" s="78"/>
      <c r="AF527" s="78"/>
      <c r="AG527" s="78"/>
      <c r="AH527" s="78"/>
      <c r="AI527" s="78"/>
      <c r="AJ527" s="78"/>
      <c r="AK527" s="78"/>
      <c r="AL527" s="78"/>
      <c r="AM527" s="78"/>
      <c r="AN527" s="78"/>
      <c r="AO527" s="78"/>
      <c r="AP527" s="78"/>
      <c r="AQ527" s="78"/>
      <c r="AR527" s="78"/>
      <c r="AS527" s="78"/>
      <c r="AT527" s="78"/>
      <c r="AU527" s="78"/>
      <c r="AV527" s="78"/>
      <c r="AW527" s="78"/>
      <c r="AX527" s="78"/>
      <c r="AY527" s="78"/>
      <c r="AZ527" s="78"/>
      <c r="BA527" s="78"/>
      <c r="BB527" s="78"/>
      <c r="BC527" s="78"/>
    </row>
    <row r="528">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c r="AA528" s="78"/>
      <c r="AB528" s="78"/>
      <c r="AC528" s="78"/>
      <c r="AD528" s="78"/>
      <c r="AE528" s="78"/>
      <c r="AF528" s="78"/>
      <c r="AG528" s="78"/>
      <c r="AH528" s="78"/>
      <c r="AI528" s="78"/>
      <c r="AJ528" s="78"/>
      <c r="AK528" s="78"/>
      <c r="AL528" s="78"/>
      <c r="AM528" s="78"/>
      <c r="AN528" s="78"/>
      <c r="AO528" s="78"/>
      <c r="AP528" s="78"/>
      <c r="AQ528" s="78"/>
      <c r="AR528" s="78"/>
      <c r="AS528" s="78"/>
      <c r="AT528" s="78"/>
      <c r="AU528" s="78"/>
      <c r="AV528" s="78"/>
      <c r="AW528" s="78"/>
      <c r="AX528" s="78"/>
      <c r="AY528" s="78"/>
      <c r="AZ528" s="78"/>
      <c r="BA528" s="78"/>
      <c r="BB528" s="78"/>
      <c r="BC528" s="78"/>
    </row>
    <row r="529">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c r="AA529" s="78"/>
      <c r="AB529" s="78"/>
      <c r="AC529" s="78"/>
      <c r="AD529" s="78"/>
      <c r="AE529" s="78"/>
      <c r="AF529" s="78"/>
      <c r="AG529" s="78"/>
      <c r="AH529" s="78"/>
      <c r="AI529" s="78"/>
      <c r="AJ529" s="78"/>
      <c r="AK529" s="78"/>
      <c r="AL529" s="78"/>
      <c r="AM529" s="78"/>
      <c r="AN529" s="78"/>
      <c r="AO529" s="78"/>
      <c r="AP529" s="78"/>
      <c r="AQ529" s="78"/>
      <c r="AR529" s="78"/>
      <c r="AS529" s="78"/>
      <c r="AT529" s="78"/>
      <c r="AU529" s="78"/>
      <c r="AV529" s="78"/>
      <c r="AW529" s="78"/>
      <c r="AX529" s="78"/>
      <c r="AY529" s="78"/>
      <c r="AZ529" s="78"/>
      <c r="BA529" s="78"/>
      <c r="BB529" s="78"/>
      <c r="BC529" s="78"/>
    </row>
    <row r="530">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c r="AA530" s="78"/>
      <c r="AB530" s="78"/>
      <c r="AC530" s="78"/>
      <c r="AD530" s="78"/>
      <c r="AE530" s="78"/>
      <c r="AF530" s="78"/>
      <c r="AG530" s="78"/>
      <c r="AH530" s="78"/>
      <c r="AI530" s="78"/>
      <c r="AJ530" s="78"/>
      <c r="AK530" s="78"/>
      <c r="AL530" s="78"/>
      <c r="AM530" s="78"/>
      <c r="AN530" s="78"/>
      <c r="AO530" s="78"/>
      <c r="AP530" s="78"/>
      <c r="AQ530" s="78"/>
      <c r="AR530" s="78"/>
      <c r="AS530" s="78"/>
      <c r="AT530" s="78"/>
      <c r="AU530" s="78"/>
      <c r="AV530" s="78"/>
      <c r="AW530" s="78"/>
      <c r="AX530" s="78"/>
      <c r="AY530" s="78"/>
      <c r="AZ530" s="78"/>
      <c r="BA530" s="78"/>
      <c r="BB530" s="78"/>
      <c r="BC530" s="78"/>
    </row>
    <row r="531">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c r="AA531" s="78"/>
      <c r="AB531" s="78"/>
      <c r="AC531" s="78"/>
      <c r="AD531" s="78"/>
      <c r="AE531" s="78"/>
      <c r="AF531" s="78"/>
      <c r="AG531" s="78"/>
      <c r="AH531" s="78"/>
      <c r="AI531" s="78"/>
      <c r="AJ531" s="78"/>
      <c r="AK531" s="78"/>
      <c r="AL531" s="78"/>
      <c r="AM531" s="78"/>
      <c r="AN531" s="78"/>
      <c r="AO531" s="78"/>
      <c r="AP531" s="78"/>
      <c r="AQ531" s="78"/>
      <c r="AR531" s="78"/>
      <c r="AS531" s="78"/>
      <c r="AT531" s="78"/>
      <c r="AU531" s="78"/>
      <c r="AV531" s="78"/>
      <c r="AW531" s="78"/>
      <c r="AX531" s="78"/>
      <c r="AY531" s="78"/>
      <c r="AZ531" s="78"/>
      <c r="BA531" s="78"/>
      <c r="BB531" s="78"/>
      <c r="BC531" s="78"/>
    </row>
    <row r="532">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c r="AA532" s="78"/>
      <c r="AB532" s="78"/>
      <c r="AC532" s="78"/>
      <c r="AD532" s="78"/>
      <c r="AE532" s="78"/>
      <c r="AF532" s="78"/>
      <c r="AG532" s="78"/>
      <c r="AH532" s="78"/>
      <c r="AI532" s="78"/>
      <c r="AJ532" s="78"/>
      <c r="AK532" s="78"/>
      <c r="AL532" s="78"/>
      <c r="AM532" s="78"/>
      <c r="AN532" s="78"/>
      <c r="AO532" s="78"/>
      <c r="AP532" s="78"/>
      <c r="AQ532" s="78"/>
      <c r="AR532" s="78"/>
      <c r="AS532" s="78"/>
      <c r="AT532" s="78"/>
      <c r="AU532" s="78"/>
      <c r="AV532" s="78"/>
      <c r="AW532" s="78"/>
      <c r="AX532" s="78"/>
      <c r="AY532" s="78"/>
      <c r="AZ532" s="78"/>
      <c r="BA532" s="78"/>
      <c r="BB532" s="78"/>
      <c r="BC532" s="78"/>
    </row>
    <row r="533">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c r="AA533" s="78"/>
      <c r="AB533" s="78"/>
      <c r="AC533" s="78"/>
      <c r="AD533" s="78"/>
      <c r="AE533" s="78"/>
      <c r="AF533" s="78"/>
      <c r="AG533" s="78"/>
      <c r="AH533" s="78"/>
      <c r="AI533" s="78"/>
      <c r="AJ533" s="78"/>
      <c r="AK533" s="78"/>
      <c r="AL533" s="78"/>
      <c r="AM533" s="78"/>
      <c r="AN533" s="78"/>
      <c r="AO533" s="78"/>
      <c r="AP533" s="78"/>
      <c r="AQ533" s="78"/>
      <c r="AR533" s="78"/>
      <c r="AS533" s="78"/>
      <c r="AT533" s="78"/>
      <c r="AU533" s="78"/>
      <c r="AV533" s="78"/>
      <c r="AW533" s="78"/>
      <c r="AX533" s="78"/>
      <c r="AY533" s="78"/>
      <c r="AZ533" s="78"/>
      <c r="BA533" s="78"/>
      <c r="BB533" s="78"/>
      <c r="BC533" s="78"/>
    </row>
    <row r="534">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c r="AA534" s="78"/>
      <c r="AB534" s="78"/>
      <c r="AC534" s="78"/>
      <c r="AD534" s="78"/>
      <c r="AE534" s="78"/>
      <c r="AF534" s="78"/>
      <c r="AG534" s="78"/>
      <c r="AH534" s="78"/>
      <c r="AI534" s="78"/>
      <c r="AJ534" s="78"/>
      <c r="AK534" s="78"/>
      <c r="AL534" s="78"/>
      <c r="AM534" s="78"/>
      <c r="AN534" s="78"/>
      <c r="AO534" s="78"/>
      <c r="AP534" s="78"/>
      <c r="AQ534" s="78"/>
      <c r="AR534" s="78"/>
      <c r="AS534" s="78"/>
      <c r="AT534" s="78"/>
      <c r="AU534" s="78"/>
      <c r="AV534" s="78"/>
      <c r="AW534" s="78"/>
      <c r="AX534" s="78"/>
      <c r="AY534" s="78"/>
      <c r="AZ534" s="78"/>
      <c r="BA534" s="78"/>
      <c r="BB534" s="78"/>
      <c r="BC534" s="78"/>
    </row>
    <row r="535">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c r="AA535" s="78"/>
      <c r="AB535" s="78"/>
      <c r="AC535" s="78"/>
      <c r="AD535" s="78"/>
      <c r="AE535" s="78"/>
      <c r="AF535" s="78"/>
      <c r="AG535" s="78"/>
      <c r="AH535" s="78"/>
      <c r="AI535" s="78"/>
      <c r="AJ535" s="78"/>
      <c r="AK535" s="78"/>
      <c r="AL535" s="78"/>
      <c r="AM535" s="78"/>
      <c r="AN535" s="78"/>
      <c r="AO535" s="78"/>
      <c r="AP535" s="78"/>
      <c r="AQ535" s="78"/>
      <c r="AR535" s="78"/>
      <c r="AS535" s="78"/>
      <c r="AT535" s="78"/>
      <c r="AU535" s="78"/>
      <c r="AV535" s="78"/>
      <c r="AW535" s="78"/>
      <c r="AX535" s="78"/>
      <c r="AY535" s="78"/>
      <c r="AZ535" s="78"/>
      <c r="BA535" s="78"/>
      <c r="BB535" s="78"/>
      <c r="BC535" s="78"/>
    </row>
    <row r="536">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c r="AA536" s="78"/>
      <c r="AB536" s="78"/>
      <c r="AC536" s="78"/>
      <c r="AD536" s="78"/>
      <c r="AE536" s="78"/>
      <c r="AF536" s="78"/>
      <c r="AG536" s="78"/>
      <c r="AH536" s="78"/>
      <c r="AI536" s="78"/>
      <c r="AJ536" s="78"/>
      <c r="AK536" s="78"/>
      <c r="AL536" s="78"/>
      <c r="AM536" s="78"/>
      <c r="AN536" s="78"/>
      <c r="AO536" s="78"/>
      <c r="AP536" s="78"/>
      <c r="AQ536" s="78"/>
      <c r="AR536" s="78"/>
      <c r="AS536" s="78"/>
      <c r="AT536" s="78"/>
      <c r="AU536" s="78"/>
      <c r="AV536" s="78"/>
      <c r="AW536" s="78"/>
      <c r="AX536" s="78"/>
      <c r="AY536" s="78"/>
      <c r="AZ536" s="78"/>
      <c r="BA536" s="78"/>
      <c r="BB536" s="78"/>
      <c r="BC536" s="78"/>
    </row>
    <row r="537">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c r="AA537" s="78"/>
      <c r="AB537" s="78"/>
      <c r="AC537" s="78"/>
      <c r="AD537" s="78"/>
      <c r="AE537" s="78"/>
      <c r="AF537" s="78"/>
      <c r="AG537" s="78"/>
      <c r="AH537" s="78"/>
      <c r="AI537" s="78"/>
      <c r="AJ537" s="78"/>
      <c r="AK537" s="78"/>
      <c r="AL537" s="78"/>
      <c r="AM537" s="78"/>
      <c r="AN537" s="78"/>
      <c r="AO537" s="78"/>
      <c r="AP537" s="78"/>
      <c r="AQ537" s="78"/>
      <c r="AR537" s="78"/>
      <c r="AS537" s="78"/>
      <c r="AT537" s="78"/>
      <c r="AU537" s="78"/>
      <c r="AV537" s="78"/>
      <c r="AW537" s="78"/>
      <c r="AX537" s="78"/>
      <c r="AY537" s="78"/>
      <c r="AZ537" s="78"/>
      <c r="BA537" s="78"/>
      <c r="BB537" s="78"/>
      <c r="BC537" s="78"/>
    </row>
    <row r="538">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c r="AA538" s="78"/>
      <c r="AB538" s="78"/>
      <c r="AC538" s="78"/>
      <c r="AD538" s="78"/>
      <c r="AE538" s="78"/>
      <c r="AF538" s="78"/>
      <c r="AG538" s="78"/>
      <c r="AH538" s="78"/>
      <c r="AI538" s="78"/>
      <c r="AJ538" s="78"/>
      <c r="AK538" s="78"/>
      <c r="AL538" s="78"/>
      <c r="AM538" s="78"/>
      <c r="AN538" s="78"/>
      <c r="AO538" s="78"/>
      <c r="AP538" s="78"/>
      <c r="AQ538" s="78"/>
      <c r="AR538" s="78"/>
      <c r="AS538" s="78"/>
      <c r="AT538" s="78"/>
      <c r="AU538" s="78"/>
      <c r="AV538" s="78"/>
      <c r="AW538" s="78"/>
      <c r="AX538" s="78"/>
      <c r="AY538" s="78"/>
      <c r="AZ538" s="78"/>
      <c r="BA538" s="78"/>
      <c r="BB538" s="78"/>
      <c r="BC538" s="78"/>
    </row>
    <row r="539">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c r="AA539" s="78"/>
      <c r="AB539" s="78"/>
      <c r="AC539" s="78"/>
      <c r="AD539" s="78"/>
      <c r="AE539" s="78"/>
      <c r="AF539" s="78"/>
      <c r="AG539" s="78"/>
      <c r="AH539" s="78"/>
      <c r="AI539" s="78"/>
      <c r="AJ539" s="78"/>
      <c r="AK539" s="78"/>
      <c r="AL539" s="78"/>
      <c r="AM539" s="78"/>
      <c r="AN539" s="78"/>
      <c r="AO539" s="78"/>
      <c r="AP539" s="78"/>
      <c r="AQ539" s="78"/>
      <c r="AR539" s="78"/>
      <c r="AS539" s="78"/>
      <c r="AT539" s="78"/>
      <c r="AU539" s="78"/>
      <c r="AV539" s="78"/>
      <c r="AW539" s="78"/>
      <c r="AX539" s="78"/>
      <c r="AY539" s="78"/>
      <c r="AZ539" s="78"/>
      <c r="BA539" s="78"/>
      <c r="BB539" s="78"/>
      <c r="BC539" s="78"/>
    </row>
    <row r="540">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c r="AA540" s="78"/>
      <c r="AB540" s="78"/>
      <c r="AC540" s="78"/>
      <c r="AD540" s="78"/>
      <c r="AE540" s="78"/>
      <c r="AF540" s="78"/>
      <c r="AG540" s="78"/>
      <c r="AH540" s="78"/>
      <c r="AI540" s="78"/>
      <c r="AJ540" s="78"/>
      <c r="AK540" s="78"/>
      <c r="AL540" s="78"/>
      <c r="AM540" s="78"/>
      <c r="AN540" s="78"/>
      <c r="AO540" s="78"/>
      <c r="AP540" s="78"/>
      <c r="AQ540" s="78"/>
      <c r="AR540" s="78"/>
      <c r="AS540" s="78"/>
      <c r="AT540" s="78"/>
      <c r="AU540" s="78"/>
      <c r="AV540" s="78"/>
      <c r="AW540" s="78"/>
      <c r="AX540" s="78"/>
      <c r="AY540" s="78"/>
      <c r="AZ540" s="78"/>
      <c r="BA540" s="78"/>
      <c r="BB540" s="78"/>
      <c r="BC540" s="78"/>
    </row>
    <row r="541">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c r="AA541" s="78"/>
      <c r="AB541" s="78"/>
      <c r="AC541" s="78"/>
      <c r="AD541" s="78"/>
      <c r="AE541" s="78"/>
      <c r="AF541" s="78"/>
      <c r="AG541" s="78"/>
      <c r="AH541" s="78"/>
      <c r="AI541" s="78"/>
      <c r="AJ541" s="78"/>
      <c r="AK541" s="78"/>
      <c r="AL541" s="78"/>
      <c r="AM541" s="78"/>
      <c r="AN541" s="78"/>
      <c r="AO541" s="78"/>
      <c r="AP541" s="78"/>
      <c r="AQ541" s="78"/>
      <c r="AR541" s="78"/>
      <c r="AS541" s="78"/>
      <c r="AT541" s="78"/>
      <c r="AU541" s="78"/>
      <c r="AV541" s="78"/>
      <c r="AW541" s="78"/>
      <c r="AX541" s="78"/>
      <c r="AY541" s="78"/>
      <c r="AZ541" s="78"/>
      <c r="BA541" s="78"/>
      <c r="BB541" s="78"/>
      <c r="BC541" s="78"/>
    </row>
    <row r="542">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c r="AA542" s="78"/>
      <c r="AB542" s="78"/>
      <c r="AC542" s="78"/>
      <c r="AD542" s="78"/>
      <c r="AE542" s="78"/>
      <c r="AF542" s="78"/>
      <c r="AG542" s="78"/>
      <c r="AH542" s="78"/>
      <c r="AI542" s="78"/>
      <c r="AJ542" s="78"/>
      <c r="AK542" s="78"/>
      <c r="AL542" s="78"/>
      <c r="AM542" s="78"/>
      <c r="AN542" s="78"/>
      <c r="AO542" s="78"/>
      <c r="AP542" s="78"/>
      <c r="AQ542" s="78"/>
      <c r="AR542" s="78"/>
      <c r="AS542" s="78"/>
      <c r="AT542" s="78"/>
      <c r="AU542" s="78"/>
      <c r="AV542" s="78"/>
      <c r="AW542" s="78"/>
      <c r="AX542" s="78"/>
      <c r="AY542" s="78"/>
      <c r="AZ542" s="78"/>
      <c r="BA542" s="78"/>
      <c r="BB542" s="78"/>
      <c r="BC542" s="78"/>
    </row>
    <row r="543">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c r="AA543" s="78"/>
      <c r="AB543" s="78"/>
      <c r="AC543" s="78"/>
      <c r="AD543" s="78"/>
      <c r="AE543" s="78"/>
      <c r="AF543" s="78"/>
      <c r="AG543" s="78"/>
      <c r="AH543" s="78"/>
      <c r="AI543" s="78"/>
      <c r="AJ543" s="78"/>
      <c r="AK543" s="78"/>
      <c r="AL543" s="78"/>
      <c r="AM543" s="78"/>
      <c r="AN543" s="78"/>
      <c r="AO543" s="78"/>
      <c r="AP543" s="78"/>
      <c r="AQ543" s="78"/>
      <c r="AR543" s="78"/>
      <c r="AS543" s="78"/>
      <c r="AT543" s="78"/>
      <c r="AU543" s="78"/>
      <c r="AV543" s="78"/>
      <c r="AW543" s="78"/>
      <c r="AX543" s="78"/>
      <c r="AY543" s="78"/>
      <c r="AZ543" s="78"/>
      <c r="BA543" s="78"/>
      <c r="BB543" s="78"/>
      <c r="BC543" s="78"/>
    </row>
    <row r="544">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c r="AA544" s="78"/>
      <c r="AB544" s="78"/>
      <c r="AC544" s="78"/>
      <c r="AD544" s="78"/>
      <c r="AE544" s="78"/>
      <c r="AF544" s="78"/>
      <c r="AG544" s="78"/>
      <c r="AH544" s="78"/>
      <c r="AI544" s="78"/>
      <c r="AJ544" s="78"/>
      <c r="AK544" s="78"/>
      <c r="AL544" s="78"/>
      <c r="AM544" s="78"/>
      <c r="AN544" s="78"/>
      <c r="AO544" s="78"/>
      <c r="AP544" s="78"/>
      <c r="AQ544" s="78"/>
      <c r="AR544" s="78"/>
      <c r="AS544" s="78"/>
      <c r="AT544" s="78"/>
      <c r="AU544" s="78"/>
      <c r="AV544" s="78"/>
      <c r="AW544" s="78"/>
      <c r="AX544" s="78"/>
      <c r="AY544" s="78"/>
      <c r="AZ544" s="78"/>
      <c r="BA544" s="78"/>
      <c r="BB544" s="78"/>
      <c r="BC544" s="78"/>
    </row>
    <row r="545">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c r="AA545" s="78"/>
      <c r="AB545" s="78"/>
      <c r="AC545" s="78"/>
      <c r="AD545" s="78"/>
      <c r="AE545" s="78"/>
      <c r="AF545" s="78"/>
      <c r="AG545" s="78"/>
      <c r="AH545" s="78"/>
      <c r="AI545" s="78"/>
      <c r="AJ545" s="78"/>
      <c r="AK545" s="78"/>
      <c r="AL545" s="78"/>
      <c r="AM545" s="78"/>
      <c r="AN545" s="78"/>
      <c r="AO545" s="78"/>
      <c r="AP545" s="78"/>
      <c r="AQ545" s="78"/>
      <c r="AR545" s="78"/>
      <c r="AS545" s="78"/>
      <c r="AT545" s="78"/>
      <c r="AU545" s="78"/>
      <c r="AV545" s="78"/>
      <c r="AW545" s="78"/>
      <c r="AX545" s="78"/>
      <c r="AY545" s="78"/>
      <c r="AZ545" s="78"/>
      <c r="BA545" s="78"/>
      <c r="BB545" s="78"/>
      <c r="BC545" s="78"/>
    </row>
    <row r="546">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c r="AA546" s="78"/>
      <c r="AB546" s="78"/>
      <c r="AC546" s="78"/>
      <c r="AD546" s="78"/>
      <c r="AE546" s="78"/>
      <c r="AF546" s="78"/>
      <c r="AG546" s="78"/>
      <c r="AH546" s="78"/>
      <c r="AI546" s="78"/>
      <c r="AJ546" s="78"/>
      <c r="AK546" s="78"/>
      <c r="AL546" s="78"/>
      <c r="AM546" s="78"/>
      <c r="AN546" s="78"/>
      <c r="AO546" s="78"/>
      <c r="AP546" s="78"/>
      <c r="AQ546" s="78"/>
      <c r="AR546" s="78"/>
      <c r="AS546" s="78"/>
      <c r="AT546" s="78"/>
      <c r="AU546" s="78"/>
      <c r="AV546" s="78"/>
      <c r="AW546" s="78"/>
      <c r="AX546" s="78"/>
      <c r="AY546" s="78"/>
      <c r="AZ546" s="78"/>
      <c r="BA546" s="78"/>
      <c r="BB546" s="78"/>
      <c r="BC546" s="78"/>
    </row>
    <row r="547">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c r="AA547" s="78"/>
      <c r="AB547" s="78"/>
      <c r="AC547" s="78"/>
      <c r="AD547" s="78"/>
      <c r="AE547" s="78"/>
      <c r="AF547" s="78"/>
      <c r="AG547" s="78"/>
      <c r="AH547" s="78"/>
      <c r="AI547" s="78"/>
      <c r="AJ547" s="78"/>
      <c r="AK547" s="78"/>
      <c r="AL547" s="78"/>
      <c r="AM547" s="78"/>
      <c r="AN547" s="78"/>
      <c r="AO547" s="78"/>
      <c r="AP547" s="78"/>
      <c r="AQ547" s="78"/>
      <c r="AR547" s="78"/>
      <c r="AS547" s="78"/>
      <c r="AT547" s="78"/>
      <c r="AU547" s="78"/>
      <c r="AV547" s="78"/>
      <c r="AW547" s="78"/>
      <c r="AX547" s="78"/>
      <c r="AY547" s="78"/>
      <c r="AZ547" s="78"/>
      <c r="BA547" s="78"/>
      <c r="BB547" s="78"/>
      <c r="BC547" s="78"/>
    </row>
    <row r="548">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c r="AA548" s="78"/>
      <c r="AB548" s="78"/>
      <c r="AC548" s="78"/>
      <c r="AD548" s="78"/>
      <c r="AE548" s="78"/>
      <c r="AF548" s="78"/>
      <c r="AG548" s="78"/>
      <c r="AH548" s="78"/>
      <c r="AI548" s="78"/>
      <c r="AJ548" s="78"/>
      <c r="AK548" s="78"/>
      <c r="AL548" s="78"/>
      <c r="AM548" s="78"/>
      <c r="AN548" s="78"/>
      <c r="AO548" s="78"/>
      <c r="AP548" s="78"/>
      <c r="AQ548" s="78"/>
      <c r="AR548" s="78"/>
      <c r="AS548" s="78"/>
      <c r="AT548" s="78"/>
      <c r="AU548" s="78"/>
      <c r="AV548" s="78"/>
      <c r="AW548" s="78"/>
      <c r="AX548" s="78"/>
      <c r="AY548" s="78"/>
      <c r="AZ548" s="78"/>
      <c r="BA548" s="78"/>
      <c r="BB548" s="78"/>
      <c r="BC548" s="78"/>
    </row>
    <row r="549">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c r="AA549" s="78"/>
      <c r="AB549" s="78"/>
      <c r="AC549" s="78"/>
      <c r="AD549" s="78"/>
      <c r="AE549" s="78"/>
      <c r="AF549" s="78"/>
      <c r="AG549" s="78"/>
      <c r="AH549" s="78"/>
      <c r="AI549" s="78"/>
      <c r="AJ549" s="78"/>
      <c r="AK549" s="78"/>
      <c r="AL549" s="78"/>
      <c r="AM549" s="78"/>
      <c r="AN549" s="78"/>
      <c r="AO549" s="78"/>
      <c r="AP549" s="78"/>
      <c r="AQ549" s="78"/>
      <c r="AR549" s="78"/>
      <c r="AS549" s="78"/>
      <c r="AT549" s="78"/>
      <c r="AU549" s="78"/>
      <c r="AV549" s="78"/>
      <c r="AW549" s="78"/>
      <c r="AX549" s="78"/>
      <c r="AY549" s="78"/>
      <c r="AZ549" s="78"/>
      <c r="BA549" s="78"/>
      <c r="BB549" s="78"/>
      <c r="BC549" s="78"/>
    </row>
    <row r="550">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c r="AA550" s="78"/>
      <c r="AB550" s="78"/>
      <c r="AC550" s="78"/>
      <c r="AD550" s="78"/>
      <c r="AE550" s="78"/>
      <c r="AF550" s="78"/>
      <c r="AG550" s="78"/>
      <c r="AH550" s="78"/>
      <c r="AI550" s="78"/>
      <c r="AJ550" s="78"/>
      <c r="AK550" s="78"/>
      <c r="AL550" s="78"/>
      <c r="AM550" s="78"/>
      <c r="AN550" s="78"/>
      <c r="AO550" s="78"/>
      <c r="AP550" s="78"/>
      <c r="AQ550" s="78"/>
      <c r="AR550" s="78"/>
      <c r="AS550" s="78"/>
      <c r="AT550" s="78"/>
      <c r="AU550" s="78"/>
      <c r="AV550" s="78"/>
      <c r="AW550" s="78"/>
      <c r="AX550" s="78"/>
      <c r="AY550" s="78"/>
      <c r="AZ550" s="78"/>
      <c r="BA550" s="78"/>
      <c r="BB550" s="78"/>
      <c r="BC550" s="78"/>
    </row>
    <row r="551">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c r="AA551" s="78"/>
      <c r="AB551" s="78"/>
      <c r="AC551" s="78"/>
      <c r="AD551" s="78"/>
      <c r="AE551" s="78"/>
      <c r="AF551" s="78"/>
      <c r="AG551" s="78"/>
      <c r="AH551" s="78"/>
      <c r="AI551" s="78"/>
      <c r="AJ551" s="78"/>
      <c r="AK551" s="78"/>
      <c r="AL551" s="78"/>
      <c r="AM551" s="78"/>
      <c r="AN551" s="78"/>
      <c r="AO551" s="78"/>
      <c r="AP551" s="78"/>
      <c r="AQ551" s="78"/>
      <c r="AR551" s="78"/>
      <c r="AS551" s="78"/>
      <c r="AT551" s="78"/>
      <c r="AU551" s="78"/>
      <c r="AV551" s="78"/>
      <c r="AW551" s="78"/>
      <c r="AX551" s="78"/>
      <c r="AY551" s="78"/>
      <c r="AZ551" s="78"/>
      <c r="BA551" s="78"/>
      <c r="BB551" s="78"/>
      <c r="BC551" s="78"/>
    </row>
    <row r="552">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c r="AA552" s="78"/>
      <c r="AB552" s="78"/>
      <c r="AC552" s="78"/>
      <c r="AD552" s="78"/>
      <c r="AE552" s="78"/>
      <c r="AF552" s="78"/>
      <c r="AG552" s="78"/>
      <c r="AH552" s="78"/>
      <c r="AI552" s="78"/>
      <c r="AJ552" s="78"/>
      <c r="AK552" s="78"/>
      <c r="AL552" s="78"/>
      <c r="AM552" s="78"/>
      <c r="AN552" s="78"/>
      <c r="AO552" s="78"/>
      <c r="AP552" s="78"/>
      <c r="AQ552" s="78"/>
      <c r="AR552" s="78"/>
      <c r="AS552" s="78"/>
      <c r="AT552" s="78"/>
      <c r="AU552" s="78"/>
      <c r="AV552" s="78"/>
      <c r="AW552" s="78"/>
      <c r="AX552" s="78"/>
      <c r="AY552" s="78"/>
      <c r="AZ552" s="78"/>
      <c r="BA552" s="78"/>
      <c r="BB552" s="78"/>
      <c r="BC552" s="78"/>
    </row>
    <row r="553">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c r="AA553" s="78"/>
      <c r="AB553" s="78"/>
      <c r="AC553" s="78"/>
      <c r="AD553" s="78"/>
      <c r="AE553" s="78"/>
      <c r="AF553" s="78"/>
      <c r="AG553" s="78"/>
      <c r="AH553" s="78"/>
      <c r="AI553" s="78"/>
      <c r="AJ553" s="78"/>
      <c r="AK553" s="78"/>
      <c r="AL553" s="78"/>
      <c r="AM553" s="78"/>
      <c r="AN553" s="78"/>
      <c r="AO553" s="78"/>
      <c r="AP553" s="78"/>
      <c r="AQ553" s="78"/>
      <c r="AR553" s="78"/>
      <c r="AS553" s="78"/>
      <c r="AT553" s="78"/>
      <c r="AU553" s="78"/>
      <c r="AV553" s="78"/>
      <c r="AW553" s="78"/>
      <c r="AX553" s="78"/>
      <c r="AY553" s="78"/>
      <c r="AZ553" s="78"/>
      <c r="BA553" s="78"/>
      <c r="BB553" s="78"/>
      <c r="BC553" s="78"/>
    </row>
    <row r="554">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c r="AA554" s="78"/>
      <c r="AB554" s="78"/>
      <c r="AC554" s="78"/>
      <c r="AD554" s="78"/>
      <c r="AE554" s="78"/>
      <c r="AF554" s="78"/>
      <c r="AG554" s="78"/>
      <c r="AH554" s="78"/>
      <c r="AI554" s="78"/>
      <c r="AJ554" s="78"/>
      <c r="AK554" s="78"/>
      <c r="AL554" s="78"/>
      <c r="AM554" s="78"/>
      <c r="AN554" s="78"/>
      <c r="AO554" s="78"/>
      <c r="AP554" s="78"/>
      <c r="AQ554" s="78"/>
      <c r="AR554" s="78"/>
      <c r="AS554" s="78"/>
      <c r="AT554" s="78"/>
      <c r="AU554" s="78"/>
      <c r="AV554" s="78"/>
      <c r="AW554" s="78"/>
      <c r="AX554" s="78"/>
      <c r="AY554" s="78"/>
      <c r="AZ554" s="78"/>
      <c r="BA554" s="78"/>
      <c r="BB554" s="78"/>
      <c r="BC554" s="78"/>
    </row>
    <row r="555">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c r="AA555" s="78"/>
      <c r="AB555" s="78"/>
      <c r="AC555" s="78"/>
      <c r="AD555" s="78"/>
      <c r="AE555" s="78"/>
      <c r="AF555" s="78"/>
      <c r="AG555" s="78"/>
      <c r="AH555" s="78"/>
      <c r="AI555" s="78"/>
      <c r="AJ555" s="78"/>
      <c r="AK555" s="78"/>
      <c r="AL555" s="78"/>
      <c r="AM555" s="78"/>
      <c r="AN555" s="78"/>
      <c r="AO555" s="78"/>
      <c r="AP555" s="78"/>
      <c r="AQ555" s="78"/>
      <c r="AR555" s="78"/>
      <c r="AS555" s="78"/>
      <c r="AT555" s="78"/>
      <c r="AU555" s="78"/>
      <c r="AV555" s="78"/>
      <c r="AW555" s="78"/>
      <c r="AX555" s="78"/>
      <c r="AY555" s="78"/>
      <c r="AZ555" s="78"/>
      <c r="BA555" s="78"/>
      <c r="BB555" s="78"/>
      <c r="BC555" s="78"/>
    </row>
    <row r="556">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c r="AA556" s="78"/>
      <c r="AB556" s="78"/>
      <c r="AC556" s="78"/>
      <c r="AD556" s="78"/>
      <c r="AE556" s="78"/>
      <c r="AF556" s="78"/>
      <c r="AG556" s="78"/>
      <c r="AH556" s="78"/>
      <c r="AI556" s="78"/>
      <c r="AJ556" s="78"/>
      <c r="AK556" s="78"/>
      <c r="AL556" s="78"/>
      <c r="AM556" s="78"/>
      <c r="AN556" s="78"/>
      <c r="AO556" s="78"/>
      <c r="AP556" s="78"/>
      <c r="AQ556" s="78"/>
      <c r="AR556" s="78"/>
      <c r="AS556" s="78"/>
      <c r="AT556" s="78"/>
      <c r="AU556" s="78"/>
      <c r="AV556" s="78"/>
      <c r="AW556" s="78"/>
      <c r="AX556" s="78"/>
      <c r="AY556" s="78"/>
      <c r="AZ556" s="78"/>
      <c r="BA556" s="78"/>
      <c r="BB556" s="78"/>
      <c r="BC556" s="78"/>
    </row>
    <row r="557">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c r="AA557" s="78"/>
      <c r="AB557" s="78"/>
      <c r="AC557" s="78"/>
      <c r="AD557" s="78"/>
      <c r="AE557" s="78"/>
      <c r="AF557" s="78"/>
      <c r="AG557" s="78"/>
      <c r="AH557" s="78"/>
      <c r="AI557" s="78"/>
      <c r="AJ557" s="78"/>
      <c r="AK557" s="78"/>
      <c r="AL557" s="78"/>
      <c r="AM557" s="78"/>
      <c r="AN557" s="78"/>
      <c r="AO557" s="78"/>
      <c r="AP557" s="78"/>
      <c r="AQ557" s="78"/>
      <c r="AR557" s="78"/>
      <c r="AS557" s="78"/>
      <c r="AT557" s="78"/>
      <c r="AU557" s="78"/>
      <c r="AV557" s="78"/>
      <c r="AW557" s="78"/>
      <c r="AX557" s="78"/>
      <c r="AY557" s="78"/>
      <c r="AZ557" s="78"/>
      <c r="BA557" s="78"/>
      <c r="BB557" s="78"/>
      <c r="BC557" s="78"/>
    </row>
    <row r="558">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c r="AA558" s="78"/>
      <c r="AB558" s="78"/>
      <c r="AC558" s="78"/>
      <c r="AD558" s="78"/>
      <c r="AE558" s="78"/>
      <c r="AF558" s="78"/>
      <c r="AG558" s="78"/>
      <c r="AH558" s="78"/>
      <c r="AI558" s="78"/>
      <c r="AJ558" s="78"/>
      <c r="AK558" s="78"/>
      <c r="AL558" s="78"/>
      <c r="AM558" s="78"/>
      <c r="AN558" s="78"/>
      <c r="AO558" s="78"/>
      <c r="AP558" s="78"/>
      <c r="AQ558" s="78"/>
      <c r="AR558" s="78"/>
      <c r="AS558" s="78"/>
      <c r="AT558" s="78"/>
      <c r="AU558" s="78"/>
      <c r="AV558" s="78"/>
      <c r="AW558" s="78"/>
      <c r="AX558" s="78"/>
      <c r="AY558" s="78"/>
      <c r="AZ558" s="78"/>
      <c r="BA558" s="78"/>
      <c r="BB558" s="78"/>
      <c r="BC558" s="78"/>
    </row>
    <row r="559">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c r="AA559" s="78"/>
      <c r="AB559" s="78"/>
      <c r="AC559" s="78"/>
      <c r="AD559" s="78"/>
      <c r="AE559" s="78"/>
      <c r="AF559" s="78"/>
      <c r="AG559" s="78"/>
      <c r="AH559" s="78"/>
      <c r="AI559" s="78"/>
      <c r="AJ559" s="78"/>
      <c r="AK559" s="78"/>
      <c r="AL559" s="78"/>
      <c r="AM559" s="78"/>
      <c r="AN559" s="78"/>
      <c r="AO559" s="78"/>
      <c r="AP559" s="78"/>
      <c r="AQ559" s="78"/>
      <c r="AR559" s="78"/>
      <c r="AS559" s="78"/>
      <c r="AT559" s="78"/>
      <c r="AU559" s="78"/>
      <c r="AV559" s="78"/>
      <c r="AW559" s="78"/>
      <c r="AX559" s="78"/>
      <c r="AY559" s="78"/>
      <c r="AZ559" s="78"/>
      <c r="BA559" s="78"/>
      <c r="BB559" s="78"/>
      <c r="BC559" s="78"/>
    </row>
    <row r="560">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c r="AA560" s="78"/>
      <c r="AB560" s="78"/>
      <c r="AC560" s="78"/>
      <c r="AD560" s="78"/>
      <c r="AE560" s="78"/>
      <c r="AF560" s="78"/>
      <c r="AG560" s="78"/>
      <c r="AH560" s="78"/>
      <c r="AI560" s="78"/>
      <c r="AJ560" s="78"/>
      <c r="AK560" s="78"/>
      <c r="AL560" s="78"/>
      <c r="AM560" s="78"/>
      <c r="AN560" s="78"/>
      <c r="AO560" s="78"/>
      <c r="AP560" s="78"/>
      <c r="AQ560" s="78"/>
      <c r="AR560" s="78"/>
      <c r="AS560" s="78"/>
      <c r="AT560" s="78"/>
      <c r="AU560" s="78"/>
      <c r="AV560" s="78"/>
      <c r="AW560" s="78"/>
      <c r="AX560" s="78"/>
      <c r="AY560" s="78"/>
      <c r="AZ560" s="78"/>
      <c r="BA560" s="78"/>
      <c r="BB560" s="78"/>
      <c r="BC560" s="78"/>
    </row>
    <row r="561">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c r="AA561" s="78"/>
      <c r="AB561" s="78"/>
      <c r="AC561" s="78"/>
      <c r="AD561" s="78"/>
      <c r="AE561" s="78"/>
      <c r="AF561" s="78"/>
      <c r="AG561" s="78"/>
      <c r="AH561" s="78"/>
      <c r="AI561" s="78"/>
      <c r="AJ561" s="78"/>
      <c r="AK561" s="78"/>
      <c r="AL561" s="78"/>
      <c r="AM561" s="78"/>
      <c r="AN561" s="78"/>
      <c r="AO561" s="78"/>
      <c r="AP561" s="78"/>
      <c r="AQ561" s="78"/>
      <c r="AR561" s="78"/>
      <c r="AS561" s="78"/>
      <c r="AT561" s="78"/>
      <c r="AU561" s="78"/>
      <c r="AV561" s="78"/>
      <c r="AW561" s="78"/>
      <c r="AX561" s="78"/>
      <c r="AY561" s="78"/>
      <c r="AZ561" s="78"/>
      <c r="BA561" s="78"/>
      <c r="BB561" s="78"/>
      <c r="BC561" s="78"/>
    </row>
    <row r="562">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c r="AA562" s="78"/>
      <c r="AB562" s="78"/>
      <c r="AC562" s="78"/>
      <c r="AD562" s="78"/>
      <c r="AE562" s="78"/>
      <c r="AF562" s="78"/>
      <c r="AG562" s="78"/>
      <c r="AH562" s="78"/>
      <c r="AI562" s="78"/>
      <c r="AJ562" s="78"/>
      <c r="AK562" s="78"/>
      <c r="AL562" s="78"/>
      <c r="AM562" s="78"/>
      <c r="AN562" s="78"/>
      <c r="AO562" s="78"/>
      <c r="AP562" s="78"/>
      <c r="AQ562" s="78"/>
      <c r="AR562" s="78"/>
      <c r="AS562" s="78"/>
      <c r="AT562" s="78"/>
      <c r="AU562" s="78"/>
      <c r="AV562" s="78"/>
      <c r="AW562" s="78"/>
      <c r="AX562" s="78"/>
      <c r="AY562" s="78"/>
      <c r="AZ562" s="78"/>
      <c r="BA562" s="78"/>
      <c r="BB562" s="78"/>
      <c r="BC562" s="78"/>
    </row>
    <row r="563">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c r="AA563" s="78"/>
      <c r="AB563" s="78"/>
      <c r="AC563" s="78"/>
      <c r="AD563" s="78"/>
      <c r="AE563" s="78"/>
      <c r="AF563" s="78"/>
      <c r="AG563" s="78"/>
      <c r="AH563" s="78"/>
      <c r="AI563" s="78"/>
      <c r="AJ563" s="78"/>
      <c r="AK563" s="78"/>
      <c r="AL563" s="78"/>
      <c r="AM563" s="78"/>
      <c r="AN563" s="78"/>
      <c r="AO563" s="78"/>
      <c r="AP563" s="78"/>
      <c r="AQ563" s="78"/>
      <c r="AR563" s="78"/>
      <c r="AS563" s="78"/>
      <c r="AT563" s="78"/>
      <c r="AU563" s="78"/>
      <c r="AV563" s="78"/>
      <c r="AW563" s="78"/>
      <c r="AX563" s="78"/>
      <c r="AY563" s="78"/>
      <c r="AZ563" s="78"/>
      <c r="BA563" s="78"/>
      <c r="BB563" s="78"/>
      <c r="BC563" s="78"/>
    </row>
    <row r="564">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c r="AA564" s="78"/>
      <c r="AB564" s="78"/>
      <c r="AC564" s="78"/>
      <c r="AD564" s="78"/>
      <c r="AE564" s="78"/>
      <c r="AF564" s="78"/>
      <c r="AG564" s="78"/>
      <c r="AH564" s="78"/>
      <c r="AI564" s="78"/>
      <c r="AJ564" s="78"/>
      <c r="AK564" s="78"/>
      <c r="AL564" s="78"/>
      <c r="AM564" s="78"/>
      <c r="AN564" s="78"/>
      <c r="AO564" s="78"/>
      <c r="AP564" s="78"/>
      <c r="AQ564" s="78"/>
      <c r="AR564" s="78"/>
      <c r="AS564" s="78"/>
      <c r="AT564" s="78"/>
      <c r="AU564" s="78"/>
      <c r="AV564" s="78"/>
      <c r="AW564" s="78"/>
      <c r="AX564" s="78"/>
      <c r="AY564" s="78"/>
      <c r="AZ564" s="78"/>
      <c r="BA564" s="78"/>
      <c r="BB564" s="78"/>
      <c r="BC564" s="78"/>
    </row>
    <row r="565">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c r="AA565" s="78"/>
      <c r="AB565" s="78"/>
      <c r="AC565" s="78"/>
      <c r="AD565" s="78"/>
      <c r="AE565" s="78"/>
      <c r="AF565" s="78"/>
      <c r="AG565" s="78"/>
      <c r="AH565" s="78"/>
      <c r="AI565" s="78"/>
      <c r="AJ565" s="78"/>
      <c r="AK565" s="78"/>
      <c r="AL565" s="78"/>
      <c r="AM565" s="78"/>
      <c r="AN565" s="78"/>
      <c r="AO565" s="78"/>
      <c r="AP565" s="78"/>
      <c r="AQ565" s="78"/>
      <c r="AR565" s="78"/>
      <c r="AS565" s="78"/>
      <c r="AT565" s="78"/>
      <c r="AU565" s="78"/>
      <c r="AV565" s="78"/>
      <c r="AW565" s="78"/>
      <c r="AX565" s="78"/>
      <c r="AY565" s="78"/>
      <c r="AZ565" s="78"/>
      <c r="BA565" s="78"/>
      <c r="BB565" s="78"/>
      <c r="BC565" s="78"/>
    </row>
    <row r="566">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c r="AA566" s="78"/>
      <c r="AB566" s="78"/>
      <c r="AC566" s="78"/>
      <c r="AD566" s="78"/>
      <c r="AE566" s="78"/>
      <c r="AF566" s="78"/>
      <c r="AG566" s="78"/>
      <c r="AH566" s="78"/>
      <c r="AI566" s="78"/>
      <c r="AJ566" s="78"/>
      <c r="AK566" s="78"/>
      <c r="AL566" s="78"/>
      <c r="AM566" s="78"/>
      <c r="AN566" s="78"/>
      <c r="AO566" s="78"/>
      <c r="AP566" s="78"/>
      <c r="AQ566" s="78"/>
      <c r="AR566" s="78"/>
      <c r="AS566" s="78"/>
      <c r="AT566" s="78"/>
      <c r="AU566" s="78"/>
      <c r="AV566" s="78"/>
      <c r="AW566" s="78"/>
      <c r="AX566" s="78"/>
      <c r="AY566" s="78"/>
      <c r="AZ566" s="78"/>
      <c r="BA566" s="78"/>
      <c r="BB566" s="78"/>
      <c r="BC566" s="78"/>
    </row>
    <row r="567">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c r="AA567" s="78"/>
      <c r="AB567" s="78"/>
      <c r="AC567" s="78"/>
      <c r="AD567" s="78"/>
      <c r="AE567" s="78"/>
      <c r="AF567" s="78"/>
      <c r="AG567" s="78"/>
      <c r="AH567" s="78"/>
      <c r="AI567" s="78"/>
      <c r="AJ567" s="78"/>
      <c r="AK567" s="78"/>
      <c r="AL567" s="78"/>
      <c r="AM567" s="78"/>
      <c r="AN567" s="78"/>
      <c r="AO567" s="78"/>
      <c r="AP567" s="78"/>
      <c r="AQ567" s="78"/>
      <c r="AR567" s="78"/>
      <c r="AS567" s="78"/>
      <c r="AT567" s="78"/>
      <c r="AU567" s="78"/>
      <c r="AV567" s="78"/>
      <c r="AW567" s="78"/>
      <c r="AX567" s="78"/>
      <c r="AY567" s="78"/>
      <c r="AZ567" s="78"/>
      <c r="BA567" s="78"/>
      <c r="BB567" s="78"/>
      <c r="BC567" s="78"/>
    </row>
    <row r="568">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c r="AA568" s="78"/>
      <c r="AB568" s="78"/>
      <c r="AC568" s="78"/>
      <c r="AD568" s="78"/>
      <c r="AE568" s="78"/>
      <c r="AF568" s="78"/>
      <c r="AG568" s="78"/>
      <c r="AH568" s="78"/>
      <c r="AI568" s="78"/>
      <c r="AJ568" s="78"/>
      <c r="AK568" s="78"/>
      <c r="AL568" s="78"/>
      <c r="AM568" s="78"/>
      <c r="AN568" s="78"/>
      <c r="AO568" s="78"/>
      <c r="AP568" s="78"/>
      <c r="AQ568" s="78"/>
      <c r="AR568" s="78"/>
      <c r="AS568" s="78"/>
      <c r="AT568" s="78"/>
      <c r="AU568" s="78"/>
      <c r="AV568" s="78"/>
      <c r="AW568" s="78"/>
      <c r="AX568" s="78"/>
      <c r="AY568" s="78"/>
      <c r="AZ568" s="78"/>
      <c r="BA568" s="78"/>
      <c r="BB568" s="78"/>
      <c r="BC568" s="78"/>
    </row>
    <row r="569">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c r="AA569" s="78"/>
      <c r="AB569" s="78"/>
      <c r="AC569" s="78"/>
      <c r="AD569" s="78"/>
      <c r="AE569" s="78"/>
      <c r="AF569" s="78"/>
      <c r="AG569" s="78"/>
      <c r="AH569" s="78"/>
      <c r="AI569" s="78"/>
      <c r="AJ569" s="78"/>
      <c r="AK569" s="78"/>
      <c r="AL569" s="78"/>
      <c r="AM569" s="78"/>
      <c r="AN569" s="78"/>
      <c r="AO569" s="78"/>
      <c r="AP569" s="78"/>
      <c r="AQ569" s="78"/>
      <c r="AR569" s="78"/>
      <c r="AS569" s="78"/>
      <c r="AT569" s="78"/>
      <c r="AU569" s="78"/>
      <c r="AV569" s="78"/>
      <c r="AW569" s="78"/>
      <c r="AX569" s="78"/>
      <c r="AY569" s="78"/>
      <c r="AZ569" s="78"/>
      <c r="BA569" s="78"/>
      <c r="BB569" s="78"/>
      <c r="BC569" s="78"/>
    </row>
    <row r="570">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c r="AA570" s="78"/>
      <c r="AB570" s="78"/>
      <c r="AC570" s="78"/>
      <c r="AD570" s="78"/>
      <c r="AE570" s="78"/>
      <c r="AF570" s="78"/>
      <c r="AG570" s="78"/>
      <c r="AH570" s="78"/>
      <c r="AI570" s="78"/>
      <c r="AJ570" s="78"/>
      <c r="AK570" s="78"/>
      <c r="AL570" s="78"/>
      <c r="AM570" s="78"/>
      <c r="AN570" s="78"/>
      <c r="AO570" s="78"/>
      <c r="AP570" s="78"/>
      <c r="AQ570" s="78"/>
      <c r="AR570" s="78"/>
      <c r="AS570" s="78"/>
      <c r="AT570" s="78"/>
      <c r="AU570" s="78"/>
      <c r="AV570" s="78"/>
      <c r="AW570" s="78"/>
      <c r="AX570" s="78"/>
      <c r="AY570" s="78"/>
      <c r="AZ570" s="78"/>
      <c r="BA570" s="78"/>
      <c r="BB570" s="78"/>
      <c r="BC570" s="78"/>
    </row>
    <row r="571">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c r="AA571" s="78"/>
      <c r="AB571" s="78"/>
      <c r="AC571" s="78"/>
      <c r="AD571" s="78"/>
      <c r="AE571" s="78"/>
      <c r="AF571" s="78"/>
      <c r="AG571" s="78"/>
      <c r="AH571" s="78"/>
      <c r="AI571" s="78"/>
      <c r="AJ571" s="78"/>
      <c r="AK571" s="78"/>
      <c r="AL571" s="78"/>
      <c r="AM571" s="78"/>
      <c r="AN571" s="78"/>
      <c r="AO571" s="78"/>
      <c r="AP571" s="78"/>
      <c r="AQ571" s="78"/>
      <c r="AR571" s="78"/>
      <c r="AS571" s="78"/>
      <c r="AT571" s="78"/>
      <c r="AU571" s="78"/>
      <c r="AV571" s="78"/>
      <c r="AW571" s="78"/>
      <c r="AX571" s="78"/>
      <c r="AY571" s="78"/>
      <c r="AZ571" s="78"/>
      <c r="BA571" s="78"/>
      <c r="BB571" s="78"/>
      <c r="BC571" s="78"/>
    </row>
    <row r="572">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c r="AA572" s="78"/>
      <c r="AB572" s="78"/>
      <c r="AC572" s="78"/>
      <c r="AD572" s="78"/>
      <c r="AE572" s="78"/>
      <c r="AF572" s="78"/>
      <c r="AG572" s="78"/>
      <c r="AH572" s="78"/>
      <c r="AI572" s="78"/>
      <c r="AJ572" s="78"/>
      <c r="AK572" s="78"/>
      <c r="AL572" s="78"/>
      <c r="AM572" s="78"/>
      <c r="AN572" s="78"/>
      <c r="AO572" s="78"/>
      <c r="AP572" s="78"/>
      <c r="AQ572" s="78"/>
      <c r="AR572" s="78"/>
      <c r="AS572" s="78"/>
      <c r="AT572" s="78"/>
      <c r="AU572" s="78"/>
      <c r="AV572" s="78"/>
      <c r="AW572" s="78"/>
      <c r="AX572" s="78"/>
      <c r="AY572" s="78"/>
      <c r="AZ572" s="78"/>
      <c r="BA572" s="78"/>
      <c r="BB572" s="78"/>
      <c r="BC572" s="78"/>
    </row>
    <row r="573">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c r="AA573" s="78"/>
      <c r="AB573" s="78"/>
      <c r="AC573" s="78"/>
      <c r="AD573" s="78"/>
      <c r="AE573" s="78"/>
      <c r="AF573" s="78"/>
      <c r="AG573" s="78"/>
      <c r="AH573" s="78"/>
      <c r="AI573" s="78"/>
      <c r="AJ573" s="78"/>
      <c r="AK573" s="78"/>
      <c r="AL573" s="78"/>
      <c r="AM573" s="78"/>
      <c r="AN573" s="78"/>
      <c r="AO573" s="78"/>
      <c r="AP573" s="78"/>
      <c r="AQ573" s="78"/>
      <c r="AR573" s="78"/>
      <c r="AS573" s="78"/>
      <c r="AT573" s="78"/>
      <c r="AU573" s="78"/>
      <c r="AV573" s="78"/>
      <c r="AW573" s="78"/>
      <c r="AX573" s="78"/>
      <c r="AY573" s="78"/>
      <c r="AZ573" s="78"/>
      <c r="BA573" s="78"/>
      <c r="BB573" s="78"/>
      <c r="BC573" s="78"/>
    </row>
    <row r="574">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c r="AA574" s="78"/>
      <c r="AB574" s="78"/>
      <c r="AC574" s="78"/>
      <c r="AD574" s="78"/>
      <c r="AE574" s="78"/>
      <c r="AF574" s="78"/>
      <c r="AG574" s="78"/>
      <c r="AH574" s="78"/>
      <c r="AI574" s="78"/>
      <c r="AJ574" s="78"/>
      <c r="AK574" s="78"/>
      <c r="AL574" s="78"/>
      <c r="AM574" s="78"/>
      <c r="AN574" s="78"/>
      <c r="AO574" s="78"/>
      <c r="AP574" s="78"/>
      <c r="AQ574" s="78"/>
      <c r="AR574" s="78"/>
      <c r="AS574" s="78"/>
      <c r="AT574" s="78"/>
      <c r="AU574" s="78"/>
      <c r="AV574" s="78"/>
      <c r="AW574" s="78"/>
      <c r="AX574" s="78"/>
      <c r="AY574" s="78"/>
      <c r="AZ574" s="78"/>
      <c r="BA574" s="78"/>
      <c r="BB574" s="78"/>
      <c r="BC574" s="78"/>
    </row>
    <row r="575">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c r="AA575" s="78"/>
      <c r="AB575" s="78"/>
      <c r="AC575" s="78"/>
      <c r="AD575" s="78"/>
      <c r="AE575" s="78"/>
      <c r="AF575" s="78"/>
      <c r="AG575" s="78"/>
      <c r="AH575" s="78"/>
      <c r="AI575" s="78"/>
      <c r="AJ575" s="78"/>
      <c r="AK575" s="78"/>
      <c r="AL575" s="78"/>
      <c r="AM575" s="78"/>
      <c r="AN575" s="78"/>
      <c r="AO575" s="78"/>
      <c r="AP575" s="78"/>
      <c r="AQ575" s="78"/>
      <c r="AR575" s="78"/>
      <c r="AS575" s="78"/>
      <c r="AT575" s="78"/>
      <c r="AU575" s="78"/>
      <c r="AV575" s="78"/>
      <c r="AW575" s="78"/>
      <c r="AX575" s="78"/>
      <c r="AY575" s="78"/>
      <c r="AZ575" s="78"/>
      <c r="BA575" s="78"/>
      <c r="BB575" s="78"/>
      <c r="BC575" s="78"/>
    </row>
    <row r="576">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c r="AA576" s="78"/>
      <c r="AB576" s="78"/>
      <c r="AC576" s="78"/>
      <c r="AD576" s="78"/>
      <c r="AE576" s="78"/>
      <c r="AF576" s="78"/>
      <c r="AG576" s="78"/>
      <c r="AH576" s="78"/>
      <c r="AI576" s="78"/>
      <c r="AJ576" s="78"/>
      <c r="AK576" s="78"/>
      <c r="AL576" s="78"/>
      <c r="AM576" s="78"/>
      <c r="AN576" s="78"/>
      <c r="AO576" s="78"/>
      <c r="AP576" s="78"/>
      <c r="AQ576" s="78"/>
      <c r="AR576" s="78"/>
      <c r="AS576" s="78"/>
      <c r="AT576" s="78"/>
      <c r="AU576" s="78"/>
      <c r="AV576" s="78"/>
      <c r="AW576" s="78"/>
      <c r="AX576" s="78"/>
      <c r="AY576" s="78"/>
      <c r="AZ576" s="78"/>
      <c r="BA576" s="78"/>
      <c r="BB576" s="78"/>
      <c r="BC576" s="78"/>
    </row>
    <row r="577">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c r="AA577" s="78"/>
      <c r="AB577" s="78"/>
      <c r="AC577" s="78"/>
      <c r="AD577" s="78"/>
      <c r="AE577" s="78"/>
      <c r="AF577" s="78"/>
      <c r="AG577" s="78"/>
      <c r="AH577" s="78"/>
      <c r="AI577" s="78"/>
      <c r="AJ577" s="78"/>
      <c r="AK577" s="78"/>
      <c r="AL577" s="78"/>
      <c r="AM577" s="78"/>
      <c r="AN577" s="78"/>
      <c r="AO577" s="78"/>
      <c r="AP577" s="78"/>
      <c r="AQ577" s="78"/>
      <c r="AR577" s="78"/>
      <c r="AS577" s="78"/>
      <c r="AT577" s="78"/>
      <c r="AU577" s="78"/>
      <c r="AV577" s="78"/>
      <c r="AW577" s="78"/>
      <c r="AX577" s="78"/>
      <c r="AY577" s="78"/>
      <c r="AZ577" s="78"/>
      <c r="BA577" s="78"/>
      <c r="BB577" s="78"/>
      <c r="BC577" s="78"/>
    </row>
    <row r="578">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c r="AA578" s="78"/>
      <c r="AB578" s="78"/>
      <c r="AC578" s="78"/>
      <c r="AD578" s="78"/>
      <c r="AE578" s="78"/>
      <c r="AF578" s="78"/>
      <c r="AG578" s="78"/>
      <c r="AH578" s="78"/>
      <c r="AI578" s="78"/>
      <c r="AJ578" s="78"/>
      <c r="AK578" s="78"/>
      <c r="AL578" s="78"/>
      <c r="AM578" s="78"/>
      <c r="AN578" s="78"/>
      <c r="AO578" s="78"/>
      <c r="AP578" s="78"/>
      <c r="AQ578" s="78"/>
      <c r="AR578" s="78"/>
      <c r="AS578" s="78"/>
      <c r="AT578" s="78"/>
      <c r="AU578" s="78"/>
      <c r="AV578" s="78"/>
      <c r="AW578" s="78"/>
      <c r="AX578" s="78"/>
      <c r="AY578" s="78"/>
      <c r="AZ578" s="78"/>
      <c r="BA578" s="78"/>
      <c r="BB578" s="78"/>
      <c r="BC578" s="78"/>
    </row>
    <row r="579">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c r="AA579" s="78"/>
      <c r="AB579" s="78"/>
      <c r="AC579" s="78"/>
      <c r="AD579" s="78"/>
      <c r="AE579" s="78"/>
      <c r="AF579" s="78"/>
      <c r="AG579" s="78"/>
      <c r="AH579" s="78"/>
      <c r="AI579" s="78"/>
      <c r="AJ579" s="78"/>
      <c r="AK579" s="78"/>
      <c r="AL579" s="78"/>
      <c r="AM579" s="78"/>
      <c r="AN579" s="78"/>
      <c r="AO579" s="78"/>
      <c r="AP579" s="78"/>
      <c r="AQ579" s="78"/>
      <c r="AR579" s="78"/>
      <c r="AS579" s="78"/>
      <c r="AT579" s="78"/>
      <c r="AU579" s="78"/>
      <c r="AV579" s="78"/>
      <c r="AW579" s="78"/>
      <c r="AX579" s="78"/>
      <c r="AY579" s="78"/>
      <c r="AZ579" s="78"/>
      <c r="BA579" s="78"/>
      <c r="BB579" s="78"/>
      <c r="BC579" s="78"/>
    </row>
    <row r="580">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c r="AA580" s="78"/>
      <c r="AB580" s="78"/>
      <c r="AC580" s="78"/>
      <c r="AD580" s="78"/>
      <c r="AE580" s="78"/>
      <c r="AF580" s="78"/>
      <c r="AG580" s="78"/>
      <c r="AH580" s="78"/>
      <c r="AI580" s="78"/>
      <c r="AJ580" s="78"/>
      <c r="AK580" s="78"/>
      <c r="AL580" s="78"/>
      <c r="AM580" s="78"/>
      <c r="AN580" s="78"/>
      <c r="AO580" s="78"/>
      <c r="AP580" s="78"/>
      <c r="AQ580" s="78"/>
      <c r="AR580" s="78"/>
      <c r="AS580" s="78"/>
      <c r="AT580" s="78"/>
      <c r="AU580" s="78"/>
      <c r="AV580" s="78"/>
      <c r="AW580" s="78"/>
      <c r="AX580" s="78"/>
      <c r="AY580" s="78"/>
      <c r="AZ580" s="78"/>
      <c r="BA580" s="78"/>
      <c r="BB580" s="78"/>
      <c r="BC580" s="78"/>
    </row>
    <row r="581">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c r="AA581" s="78"/>
      <c r="AB581" s="78"/>
      <c r="AC581" s="78"/>
      <c r="AD581" s="78"/>
      <c r="AE581" s="78"/>
      <c r="AF581" s="78"/>
      <c r="AG581" s="78"/>
      <c r="AH581" s="78"/>
      <c r="AI581" s="78"/>
      <c r="AJ581" s="78"/>
      <c r="AK581" s="78"/>
      <c r="AL581" s="78"/>
      <c r="AM581" s="78"/>
      <c r="AN581" s="78"/>
      <c r="AO581" s="78"/>
      <c r="AP581" s="78"/>
      <c r="AQ581" s="78"/>
      <c r="AR581" s="78"/>
      <c r="AS581" s="78"/>
      <c r="AT581" s="78"/>
      <c r="AU581" s="78"/>
      <c r="AV581" s="78"/>
      <c r="AW581" s="78"/>
      <c r="AX581" s="78"/>
      <c r="AY581" s="78"/>
      <c r="AZ581" s="78"/>
      <c r="BA581" s="78"/>
      <c r="BB581" s="78"/>
      <c r="BC581" s="78"/>
    </row>
    <row r="582">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c r="AA582" s="78"/>
      <c r="AB582" s="78"/>
      <c r="AC582" s="78"/>
      <c r="AD582" s="78"/>
      <c r="AE582" s="78"/>
      <c r="AF582" s="78"/>
      <c r="AG582" s="78"/>
      <c r="AH582" s="78"/>
      <c r="AI582" s="78"/>
      <c r="AJ582" s="78"/>
      <c r="AK582" s="78"/>
      <c r="AL582" s="78"/>
      <c r="AM582" s="78"/>
      <c r="AN582" s="78"/>
      <c r="AO582" s="78"/>
      <c r="AP582" s="78"/>
      <c r="AQ582" s="78"/>
      <c r="AR582" s="78"/>
      <c r="AS582" s="78"/>
      <c r="AT582" s="78"/>
      <c r="AU582" s="78"/>
      <c r="AV582" s="78"/>
      <c r="AW582" s="78"/>
      <c r="AX582" s="78"/>
      <c r="AY582" s="78"/>
      <c r="AZ582" s="78"/>
      <c r="BA582" s="78"/>
      <c r="BB582" s="78"/>
      <c r="BC582" s="78"/>
    </row>
    <row r="583">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c r="AA583" s="78"/>
      <c r="AB583" s="78"/>
      <c r="AC583" s="78"/>
      <c r="AD583" s="78"/>
      <c r="AE583" s="78"/>
      <c r="AF583" s="78"/>
      <c r="AG583" s="78"/>
      <c r="AH583" s="78"/>
      <c r="AI583" s="78"/>
      <c r="AJ583" s="78"/>
      <c r="AK583" s="78"/>
      <c r="AL583" s="78"/>
      <c r="AM583" s="78"/>
      <c r="AN583" s="78"/>
      <c r="AO583" s="78"/>
      <c r="AP583" s="78"/>
      <c r="AQ583" s="78"/>
      <c r="AR583" s="78"/>
      <c r="AS583" s="78"/>
      <c r="AT583" s="78"/>
      <c r="AU583" s="78"/>
      <c r="AV583" s="78"/>
      <c r="AW583" s="78"/>
      <c r="AX583" s="78"/>
      <c r="AY583" s="78"/>
      <c r="AZ583" s="78"/>
      <c r="BA583" s="78"/>
      <c r="BB583" s="78"/>
      <c r="BC583" s="78"/>
    </row>
    <row r="584">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c r="AA584" s="78"/>
      <c r="AB584" s="78"/>
      <c r="AC584" s="78"/>
      <c r="AD584" s="78"/>
      <c r="AE584" s="78"/>
      <c r="AF584" s="78"/>
      <c r="AG584" s="78"/>
      <c r="AH584" s="78"/>
      <c r="AI584" s="78"/>
      <c r="AJ584" s="78"/>
      <c r="AK584" s="78"/>
      <c r="AL584" s="78"/>
      <c r="AM584" s="78"/>
      <c r="AN584" s="78"/>
      <c r="AO584" s="78"/>
      <c r="AP584" s="78"/>
      <c r="AQ584" s="78"/>
      <c r="AR584" s="78"/>
      <c r="AS584" s="78"/>
      <c r="AT584" s="78"/>
      <c r="AU584" s="78"/>
      <c r="AV584" s="78"/>
      <c r="AW584" s="78"/>
      <c r="AX584" s="78"/>
      <c r="AY584" s="78"/>
      <c r="AZ584" s="78"/>
      <c r="BA584" s="78"/>
      <c r="BB584" s="78"/>
      <c r="BC584" s="78"/>
    </row>
    <row r="585">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c r="AA585" s="78"/>
      <c r="AB585" s="78"/>
      <c r="AC585" s="78"/>
      <c r="AD585" s="78"/>
      <c r="AE585" s="78"/>
      <c r="AF585" s="78"/>
      <c r="AG585" s="78"/>
      <c r="AH585" s="78"/>
      <c r="AI585" s="78"/>
      <c r="AJ585" s="78"/>
      <c r="AK585" s="78"/>
      <c r="AL585" s="78"/>
      <c r="AM585" s="78"/>
      <c r="AN585" s="78"/>
      <c r="AO585" s="78"/>
      <c r="AP585" s="78"/>
      <c r="AQ585" s="78"/>
      <c r="AR585" s="78"/>
      <c r="AS585" s="78"/>
      <c r="AT585" s="78"/>
      <c r="AU585" s="78"/>
      <c r="AV585" s="78"/>
      <c r="AW585" s="78"/>
      <c r="AX585" s="78"/>
      <c r="AY585" s="78"/>
      <c r="AZ585" s="78"/>
      <c r="BA585" s="78"/>
      <c r="BB585" s="78"/>
      <c r="BC585" s="78"/>
    </row>
    <row r="586">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c r="AA586" s="78"/>
      <c r="AB586" s="78"/>
      <c r="AC586" s="78"/>
      <c r="AD586" s="78"/>
      <c r="AE586" s="78"/>
      <c r="AF586" s="78"/>
      <c r="AG586" s="78"/>
      <c r="AH586" s="78"/>
      <c r="AI586" s="78"/>
      <c r="AJ586" s="78"/>
      <c r="AK586" s="78"/>
      <c r="AL586" s="78"/>
      <c r="AM586" s="78"/>
      <c r="AN586" s="78"/>
      <c r="AO586" s="78"/>
      <c r="AP586" s="78"/>
      <c r="AQ586" s="78"/>
      <c r="AR586" s="78"/>
      <c r="AS586" s="78"/>
      <c r="AT586" s="78"/>
      <c r="AU586" s="78"/>
      <c r="AV586" s="78"/>
      <c r="AW586" s="78"/>
      <c r="AX586" s="78"/>
      <c r="AY586" s="78"/>
      <c r="AZ586" s="78"/>
      <c r="BA586" s="78"/>
      <c r="BB586" s="78"/>
      <c r="BC586" s="78"/>
    </row>
    <row r="587">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c r="AA587" s="78"/>
      <c r="AB587" s="78"/>
      <c r="AC587" s="78"/>
      <c r="AD587" s="78"/>
      <c r="AE587" s="78"/>
      <c r="AF587" s="78"/>
      <c r="AG587" s="78"/>
      <c r="AH587" s="78"/>
      <c r="AI587" s="78"/>
      <c r="AJ587" s="78"/>
      <c r="AK587" s="78"/>
      <c r="AL587" s="78"/>
      <c r="AM587" s="78"/>
      <c r="AN587" s="78"/>
      <c r="AO587" s="78"/>
      <c r="AP587" s="78"/>
      <c r="AQ587" s="78"/>
      <c r="AR587" s="78"/>
      <c r="AS587" s="78"/>
      <c r="AT587" s="78"/>
      <c r="AU587" s="78"/>
      <c r="AV587" s="78"/>
      <c r="AW587" s="78"/>
      <c r="AX587" s="78"/>
      <c r="AY587" s="78"/>
      <c r="AZ587" s="78"/>
      <c r="BA587" s="78"/>
      <c r="BB587" s="78"/>
      <c r="BC587" s="78"/>
    </row>
    <row r="588">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c r="AA588" s="78"/>
      <c r="AB588" s="78"/>
      <c r="AC588" s="78"/>
      <c r="AD588" s="78"/>
      <c r="AE588" s="78"/>
      <c r="AF588" s="78"/>
      <c r="AG588" s="78"/>
      <c r="AH588" s="78"/>
      <c r="AI588" s="78"/>
      <c r="AJ588" s="78"/>
      <c r="AK588" s="78"/>
      <c r="AL588" s="78"/>
      <c r="AM588" s="78"/>
      <c r="AN588" s="78"/>
      <c r="AO588" s="78"/>
      <c r="AP588" s="78"/>
      <c r="AQ588" s="78"/>
      <c r="AR588" s="78"/>
      <c r="AS588" s="78"/>
      <c r="AT588" s="78"/>
      <c r="AU588" s="78"/>
      <c r="AV588" s="78"/>
      <c r="AW588" s="78"/>
      <c r="AX588" s="78"/>
      <c r="AY588" s="78"/>
      <c r="AZ588" s="78"/>
      <c r="BA588" s="78"/>
      <c r="BB588" s="78"/>
      <c r="BC588" s="78"/>
    </row>
    <row r="589">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c r="AA589" s="78"/>
      <c r="AB589" s="78"/>
      <c r="AC589" s="78"/>
      <c r="AD589" s="78"/>
      <c r="AE589" s="78"/>
      <c r="AF589" s="78"/>
      <c r="AG589" s="78"/>
      <c r="AH589" s="78"/>
      <c r="AI589" s="78"/>
      <c r="AJ589" s="78"/>
      <c r="AK589" s="78"/>
      <c r="AL589" s="78"/>
      <c r="AM589" s="78"/>
      <c r="AN589" s="78"/>
      <c r="AO589" s="78"/>
      <c r="AP589" s="78"/>
      <c r="AQ589" s="78"/>
      <c r="AR589" s="78"/>
      <c r="AS589" s="78"/>
      <c r="AT589" s="78"/>
      <c r="AU589" s="78"/>
      <c r="AV589" s="78"/>
      <c r="AW589" s="78"/>
      <c r="AX589" s="78"/>
      <c r="AY589" s="78"/>
      <c r="AZ589" s="78"/>
      <c r="BA589" s="78"/>
      <c r="BB589" s="78"/>
      <c r="BC589" s="78"/>
    </row>
    <row r="590">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c r="AA590" s="78"/>
      <c r="AB590" s="78"/>
      <c r="AC590" s="78"/>
      <c r="AD590" s="78"/>
      <c r="AE590" s="78"/>
      <c r="AF590" s="78"/>
      <c r="AG590" s="78"/>
      <c r="AH590" s="78"/>
      <c r="AI590" s="78"/>
      <c r="AJ590" s="78"/>
      <c r="AK590" s="78"/>
      <c r="AL590" s="78"/>
      <c r="AM590" s="78"/>
      <c r="AN590" s="78"/>
      <c r="AO590" s="78"/>
      <c r="AP590" s="78"/>
      <c r="AQ590" s="78"/>
      <c r="AR590" s="78"/>
      <c r="AS590" s="78"/>
      <c r="AT590" s="78"/>
      <c r="AU590" s="78"/>
      <c r="AV590" s="78"/>
      <c r="AW590" s="78"/>
      <c r="AX590" s="78"/>
      <c r="AY590" s="78"/>
      <c r="AZ590" s="78"/>
      <c r="BA590" s="78"/>
      <c r="BB590" s="78"/>
      <c r="BC590" s="78"/>
    </row>
    <row r="591">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c r="AA591" s="78"/>
      <c r="AB591" s="78"/>
      <c r="AC591" s="78"/>
      <c r="AD591" s="78"/>
      <c r="AE591" s="78"/>
      <c r="AF591" s="78"/>
      <c r="AG591" s="78"/>
      <c r="AH591" s="78"/>
      <c r="AI591" s="78"/>
      <c r="AJ591" s="78"/>
      <c r="AK591" s="78"/>
      <c r="AL591" s="78"/>
      <c r="AM591" s="78"/>
      <c r="AN591" s="78"/>
      <c r="AO591" s="78"/>
      <c r="AP591" s="78"/>
      <c r="AQ591" s="78"/>
      <c r="AR591" s="78"/>
      <c r="AS591" s="78"/>
      <c r="AT591" s="78"/>
      <c r="AU591" s="78"/>
      <c r="AV591" s="78"/>
      <c r="AW591" s="78"/>
      <c r="AX591" s="78"/>
      <c r="AY591" s="78"/>
      <c r="AZ591" s="78"/>
      <c r="BA591" s="78"/>
      <c r="BB591" s="78"/>
      <c r="BC591" s="78"/>
    </row>
    <row r="592">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c r="AA592" s="78"/>
      <c r="AB592" s="78"/>
      <c r="AC592" s="78"/>
      <c r="AD592" s="78"/>
      <c r="AE592" s="78"/>
      <c r="AF592" s="78"/>
      <c r="AG592" s="78"/>
      <c r="AH592" s="78"/>
      <c r="AI592" s="78"/>
      <c r="AJ592" s="78"/>
      <c r="AK592" s="78"/>
      <c r="AL592" s="78"/>
      <c r="AM592" s="78"/>
      <c r="AN592" s="78"/>
      <c r="AO592" s="78"/>
      <c r="AP592" s="78"/>
      <c r="AQ592" s="78"/>
      <c r="AR592" s="78"/>
      <c r="AS592" s="78"/>
      <c r="AT592" s="78"/>
      <c r="AU592" s="78"/>
      <c r="AV592" s="78"/>
      <c r="AW592" s="78"/>
      <c r="AX592" s="78"/>
      <c r="AY592" s="78"/>
      <c r="AZ592" s="78"/>
      <c r="BA592" s="78"/>
      <c r="BB592" s="78"/>
      <c r="BC592" s="78"/>
    </row>
    <row r="593">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c r="AA593" s="78"/>
      <c r="AB593" s="78"/>
      <c r="AC593" s="78"/>
      <c r="AD593" s="78"/>
      <c r="AE593" s="78"/>
      <c r="AF593" s="78"/>
      <c r="AG593" s="78"/>
      <c r="AH593" s="78"/>
      <c r="AI593" s="78"/>
      <c r="AJ593" s="78"/>
      <c r="AK593" s="78"/>
      <c r="AL593" s="78"/>
      <c r="AM593" s="78"/>
      <c r="AN593" s="78"/>
      <c r="AO593" s="78"/>
      <c r="AP593" s="78"/>
      <c r="AQ593" s="78"/>
      <c r="AR593" s="78"/>
      <c r="AS593" s="78"/>
      <c r="AT593" s="78"/>
      <c r="AU593" s="78"/>
      <c r="AV593" s="78"/>
      <c r="AW593" s="78"/>
      <c r="AX593" s="78"/>
      <c r="AY593" s="78"/>
      <c r="AZ593" s="78"/>
      <c r="BA593" s="78"/>
      <c r="BB593" s="78"/>
      <c r="BC593" s="78"/>
    </row>
    <row r="594">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c r="AA594" s="78"/>
      <c r="AB594" s="78"/>
      <c r="AC594" s="78"/>
      <c r="AD594" s="78"/>
      <c r="AE594" s="78"/>
      <c r="AF594" s="78"/>
      <c r="AG594" s="78"/>
      <c r="AH594" s="78"/>
      <c r="AI594" s="78"/>
      <c r="AJ594" s="78"/>
      <c r="AK594" s="78"/>
      <c r="AL594" s="78"/>
      <c r="AM594" s="78"/>
      <c r="AN594" s="78"/>
      <c r="AO594" s="78"/>
      <c r="AP594" s="78"/>
      <c r="AQ594" s="78"/>
      <c r="AR594" s="78"/>
      <c r="AS594" s="78"/>
      <c r="AT594" s="78"/>
      <c r="AU594" s="78"/>
      <c r="AV594" s="78"/>
      <c r="AW594" s="78"/>
      <c r="AX594" s="78"/>
      <c r="AY594" s="78"/>
      <c r="AZ594" s="78"/>
      <c r="BA594" s="78"/>
      <c r="BB594" s="78"/>
      <c r="BC594" s="78"/>
    </row>
    <row r="595">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c r="AA595" s="78"/>
      <c r="AB595" s="78"/>
      <c r="AC595" s="78"/>
      <c r="AD595" s="78"/>
      <c r="AE595" s="78"/>
      <c r="AF595" s="78"/>
      <c r="AG595" s="78"/>
      <c r="AH595" s="78"/>
      <c r="AI595" s="78"/>
      <c r="AJ595" s="78"/>
      <c r="AK595" s="78"/>
      <c r="AL595" s="78"/>
      <c r="AM595" s="78"/>
      <c r="AN595" s="78"/>
      <c r="AO595" s="78"/>
      <c r="AP595" s="78"/>
      <c r="AQ595" s="78"/>
      <c r="AR595" s="78"/>
      <c r="AS595" s="78"/>
      <c r="AT595" s="78"/>
      <c r="AU595" s="78"/>
      <c r="AV595" s="78"/>
      <c r="AW595" s="78"/>
      <c r="AX595" s="78"/>
      <c r="AY595" s="78"/>
      <c r="AZ595" s="78"/>
      <c r="BA595" s="78"/>
      <c r="BB595" s="78"/>
      <c r="BC595" s="78"/>
    </row>
    <row r="596">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c r="AA596" s="78"/>
      <c r="AB596" s="78"/>
      <c r="AC596" s="78"/>
      <c r="AD596" s="78"/>
      <c r="AE596" s="78"/>
      <c r="AF596" s="78"/>
      <c r="AG596" s="78"/>
      <c r="AH596" s="78"/>
      <c r="AI596" s="78"/>
      <c r="AJ596" s="78"/>
      <c r="AK596" s="78"/>
      <c r="AL596" s="78"/>
      <c r="AM596" s="78"/>
      <c r="AN596" s="78"/>
      <c r="AO596" s="78"/>
      <c r="AP596" s="78"/>
      <c r="AQ596" s="78"/>
      <c r="AR596" s="78"/>
      <c r="AS596" s="78"/>
      <c r="AT596" s="78"/>
      <c r="AU596" s="78"/>
      <c r="AV596" s="78"/>
      <c r="AW596" s="78"/>
      <c r="AX596" s="78"/>
      <c r="AY596" s="78"/>
      <c r="AZ596" s="78"/>
      <c r="BA596" s="78"/>
      <c r="BB596" s="78"/>
      <c r="BC596" s="78"/>
    </row>
    <row r="597">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c r="AA597" s="78"/>
      <c r="AB597" s="78"/>
      <c r="AC597" s="78"/>
      <c r="AD597" s="78"/>
      <c r="AE597" s="78"/>
      <c r="AF597" s="78"/>
      <c r="AG597" s="78"/>
      <c r="AH597" s="78"/>
      <c r="AI597" s="78"/>
      <c r="AJ597" s="78"/>
      <c r="AK597" s="78"/>
      <c r="AL597" s="78"/>
      <c r="AM597" s="78"/>
      <c r="AN597" s="78"/>
      <c r="AO597" s="78"/>
      <c r="AP597" s="78"/>
      <c r="AQ597" s="78"/>
      <c r="AR597" s="78"/>
      <c r="AS597" s="78"/>
      <c r="AT597" s="78"/>
      <c r="AU597" s="78"/>
      <c r="AV597" s="78"/>
      <c r="AW597" s="78"/>
      <c r="AX597" s="78"/>
      <c r="AY597" s="78"/>
      <c r="AZ597" s="78"/>
      <c r="BA597" s="78"/>
      <c r="BB597" s="78"/>
      <c r="BC597" s="78"/>
    </row>
    <row r="598">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c r="AA598" s="78"/>
      <c r="AB598" s="78"/>
      <c r="AC598" s="78"/>
      <c r="AD598" s="78"/>
      <c r="AE598" s="78"/>
      <c r="AF598" s="78"/>
      <c r="AG598" s="78"/>
      <c r="AH598" s="78"/>
      <c r="AI598" s="78"/>
      <c r="AJ598" s="78"/>
      <c r="AK598" s="78"/>
      <c r="AL598" s="78"/>
      <c r="AM598" s="78"/>
      <c r="AN598" s="78"/>
      <c r="AO598" s="78"/>
      <c r="AP598" s="78"/>
      <c r="AQ598" s="78"/>
      <c r="AR598" s="78"/>
      <c r="AS598" s="78"/>
      <c r="AT598" s="78"/>
      <c r="AU598" s="78"/>
      <c r="AV598" s="78"/>
      <c r="AW598" s="78"/>
      <c r="AX598" s="78"/>
      <c r="AY598" s="78"/>
      <c r="AZ598" s="78"/>
      <c r="BA598" s="78"/>
      <c r="BB598" s="78"/>
      <c r="BC598" s="78"/>
    </row>
    <row r="599">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c r="AA599" s="78"/>
      <c r="AB599" s="78"/>
      <c r="AC599" s="78"/>
      <c r="AD599" s="78"/>
      <c r="AE599" s="78"/>
      <c r="AF599" s="78"/>
      <c r="AG599" s="78"/>
      <c r="AH599" s="78"/>
      <c r="AI599" s="78"/>
      <c r="AJ599" s="78"/>
      <c r="AK599" s="78"/>
      <c r="AL599" s="78"/>
      <c r="AM599" s="78"/>
      <c r="AN599" s="78"/>
      <c r="AO599" s="78"/>
      <c r="AP599" s="78"/>
      <c r="AQ599" s="78"/>
      <c r="AR599" s="78"/>
      <c r="AS599" s="78"/>
      <c r="AT599" s="78"/>
      <c r="AU599" s="78"/>
      <c r="AV599" s="78"/>
      <c r="AW599" s="78"/>
      <c r="AX599" s="78"/>
      <c r="AY599" s="78"/>
      <c r="AZ599" s="78"/>
      <c r="BA599" s="78"/>
      <c r="BB599" s="78"/>
      <c r="BC599" s="78"/>
    </row>
    <row r="600">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c r="AA600" s="78"/>
      <c r="AB600" s="78"/>
      <c r="AC600" s="78"/>
      <c r="AD600" s="78"/>
      <c r="AE600" s="78"/>
      <c r="AF600" s="78"/>
      <c r="AG600" s="78"/>
      <c r="AH600" s="78"/>
      <c r="AI600" s="78"/>
      <c r="AJ600" s="78"/>
      <c r="AK600" s="78"/>
      <c r="AL600" s="78"/>
      <c r="AM600" s="78"/>
      <c r="AN600" s="78"/>
      <c r="AO600" s="78"/>
      <c r="AP600" s="78"/>
      <c r="AQ600" s="78"/>
      <c r="AR600" s="78"/>
      <c r="AS600" s="78"/>
      <c r="AT600" s="78"/>
      <c r="AU600" s="78"/>
      <c r="AV600" s="78"/>
      <c r="AW600" s="78"/>
      <c r="AX600" s="78"/>
      <c r="AY600" s="78"/>
      <c r="AZ600" s="78"/>
      <c r="BA600" s="78"/>
      <c r="BB600" s="78"/>
      <c r="BC600" s="78"/>
    </row>
    <row r="601">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c r="AA601" s="78"/>
      <c r="AB601" s="78"/>
      <c r="AC601" s="78"/>
      <c r="AD601" s="78"/>
      <c r="AE601" s="78"/>
      <c r="AF601" s="78"/>
      <c r="AG601" s="78"/>
      <c r="AH601" s="78"/>
      <c r="AI601" s="78"/>
      <c r="AJ601" s="78"/>
      <c r="AK601" s="78"/>
      <c r="AL601" s="78"/>
      <c r="AM601" s="78"/>
      <c r="AN601" s="78"/>
      <c r="AO601" s="78"/>
      <c r="AP601" s="78"/>
      <c r="AQ601" s="78"/>
      <c r="AR601" s="78"/>
      <c r="AS601" s="78"/>
      <c r="AT601" s="78"/>
      <c r="AU601" s="78"/>
      <c r="AV601" s="78"/>
      <c r="AW601" s="78"/>
      <c r="AX601" s="78"/>
      <c r="AY601" s="78"/>
      <c r="AZ601" s="78"/>
      <c r="BA601" s="78"/>
      <c r="BB601" s="78"/>
      <c r="BC601" s="78"/>
    </row>
    <row r="602">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c r="AA602" s="78"/>
      <c r="AB602" s="78"/>
      <c r="AC602" s="78"/>
      <c r="AD602" s="78"/>
      <c r="AE602" s="78"/>
      <c r="AF602" s="78"/>
      <c r="AG602" s="78"/>
      <c r="AH602" s="78"/>
      <c r="AI602" s="78"/>
      <c r="AJ602" s="78"/>
      <c r="AK602" s="78"/>
      <c r="AL602" s="78"/>
      <c r="AM602" s="78"/>
      <c r="AN602" s="78"/>
      <c r="AO602" s="78"/>
      <c r="AP602" s="78"/>
      <c r="AQ602" s="78"/>
      <c r="AR602" s="78"/>
      <c r="AS602" s="78"/>
      <c r="AT602" s="78"/>
      <c r="AU602" s="78"/>
      <c r="AV602" s="78"/>
      <c r="AW602" s="78"/>
      <c r="AX602" s="78"/>
      <c r="AY602" s="78"/>
      <c r="AZ602" s="78"/>
      <c r="BA602" s="78"/>
      <c r="BB602" s="78"/>
      <c r="BC602" s="78"/>
    </row>
    <row r="603">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c r="AA603" s="78"/>
      <c r="AB603" s="78"/>
      <c r="AC603" s="78"/>
      <c r="AD603" s="78"/>
      <c r="AE603" s="78"/>
      <c r="AF603" s="78"/>
      <c r="AG603" s="78"/>
      <c r="AH603" s="78"/>
      <c r="AI603" s="78"/>
      <c r="AJ603" s="78"/>
      <c r="AK603" s="78"/>
      <c r="AL603" s="78"/>
      <c r="AM603" s="78"/>
      <c r="AN603" s="78"/>
      <c r="AO603" s="78"/>
      <c r="AP603" s="78"/>
      <c r="AQ603" s="78"/>
      <c r="AR603" s="78"/>
      <c r="AS603" s="78"/>
      <c r="AT603" s="78"/>
      <c r="AU603" s="78"/>
      <c r="AV603" s="78"/>
      <c r="AW603" s="78"/>
      <c r="AX603" s="78"/>
      <c r="AY603" s="78"/>
      <c r="AZ603" s="78"/>
      <c r="BA603" s="78"/>
      <c r="BB603" s="78"/>
      <c r="BC603" s="78"/>
    </row>
    <row r="604">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c r="AA604" s="78"/>
      <c r="AB604" s="78"/>
      <c r="AC604" s="78"/>
      <c r="AD604" s="78"/>
      <c r="AE604" s="78"/>
      <c r="AF604" s="78"/>
      <c r="AG604" s="78"/>
      <c r="AH604" s="78"/>
      <c r="AI604" s="78"/>
      <c r="AJ604" s="78"/>
      <c r="AK604" s="78"/>
      <c r="AL604" s="78"/>
      <c r="AM604" s="78"/>
      <c r="AN604" s="78"/>
      <c r="AO604" s="78"/>
      <c r="AP604" s="78"/>
      <c r="AQ604" s="78"/>
      <c r="AR604" s="78"/>
      <c r="AS604" s="78"/>
      <c r="AT604" s="78"/>
      <c r="AU604" s="78"/>
      <c r="AV604" s="78"/>
      <c r="AW604" s="78"/>
      <c r="AX604" s="78"/>
      <c r="AY604" s="78"/>
      <c r="AZ604" s="78"/>
      <c r="BA604" s="78"/>
      <c r="BB604" s="78"/>
      <c r="BC604" s="78"/>
    </row>
    <row r="605">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c r="AA605" s="78"/>
      <c r="AB605" s="78"/>
      <c r="AC605" s="78"/>
      <c r="AD605" s="78"/>
      <c r="AE605" s="78"/>
      <c r="AF605" s="78"/>
      <c r="AG605" s="78"/>
      <c r="AH605" s="78"/>
      <c r="AI605" s="78"/>
      <c r="AJ605" s="78"/>
      <c r="AK605" s="78"/>
      <c r="AL605" s="78"/>
      <c r="AM605" s="78"/>
      <c r="AN605" s="78"/>
      <c r="AO605" s="78"/>
      <c r="AP605" s="78"/>
      <c r="AQ605" s="78"/>
      <c r="AR605" s="78"/>
      <c r="AS605" s="78"/>
      <c r="AT605" s="78"/>
      <c r="AU605" s="78"/>
      <c r="AV605" s="78"/>
      <c r="AW605" s="78"/>
      <c r="AX605" s="78"/>
      <c r="AY605" s="78"/>
      <c r="AZ605" s="78"/>
      <c r="BA605" s="78"/>
      <c r="BB605" s="78"/>
      <c r="BC605" s="78"/>
    </row>
    <row r="606">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c r="AA606" s="78"/>
      <c r="AB606" s="78"/>
      <c r="AC606" s="78"/>
      <c r="AD606" s="78"/>
      <c r="AE606" s="78"/>
      <c r="AF606" s="78"/>
      <c r="AG606" s="78"/>
      <c r="AH606" s="78"/>
      <c r="AI606" s="78"/>
      <c r="AJ606" s="78"/>
      <c r="AK606" s="78"/>
      <c r="AL606" s="78"/>
      <c r="AM606" s="78"/>
      <c r="AN606" s="78"/>
      <c r="AO606" s="78"/>
      <c r="AP606" s="78"/>
      <c r="AQ606" s="78"/>
      <c r="AR606" s="78"/>
      <c r="AS606" s="78"/>
      <c r="AT606" s="78"/>
      <c r="AU606" s="78"/>
      <c r="AV606" s="78"/>
      <c r="AW606" s="78"/>
      <c r="AX606" s="78"/>
      <c r="AY606" s="78"/>
      <c r="AZ606" s="78"/>
      <c r="BA606" s="78"/>
      <c r="BB606" s="78"/>
      <c r="BC606" s="78"/>
    </row>
    <row r="607">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c r="AA607" s="78"/>
      <c r="AB607" s="78"/>
      <c r="AC607" s="78"/>
      <c r="AD607" s="78"/>
      <c r="AE607" s="78"/>
      <c r="AF607" s="78"/>
      <c r="AG607" s="78"/>
      <c r="AH607" s="78"/>
      <c r="AI607" s="78"/>
      <c r="AJ607" s="78"/>
      <c r="AK607" s="78"/>
      <c r="AL607" s="78"/>
      <c r="AM607" s="78"/>
      <c r="AN607" s="78"/>
      <c r="AO607" s="78"/>
      <c r="AP607" s="78"/>
      <c r="AQ607" s="78"/>
      <c r="AR607" s="78"/>
      <c r="AS607" s="78"/>
      <c r="AT607" s="78"/>
      <c r="AU607" s="78"/>
      <c r="AV607" s="78"/>
      <c r="AW607" s="78"/>
      <c r="AX607" s="78"/>
      <c r="AY607" s="78"/>
      <c r="AZ607" s="78"/>
      <c r="BA607" s="78"/>
      <c r="BB607" s="78"/>
      <c r="BC607" s="78"/>
    </row>
    <row r="608">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c r="AA608" s="78"/>
      <c r="AB608" s="78"/>
      <c r="AC608" s="78"/>
      <c r="AD608" s="78"/>
      <c r="AE608" s="78"/>
      <c r="AF608" s="78"/>
      <c r="AG608" s="78"/>
      <c r="AH608" s="78"/>
      <c r="AI608" s="78"/>
      <c r="AJ608" s="78"/>
      <c r="AK608" s="78"/>
      <c r="AL608" s="78"/>
      <c r="AM608" s="78"/>
      <c r="AN608" s="78"/>
      <c r="AO608" s="78"/>
      <c r="AP608" s="78"/>
      <c r="AQ608" s="78"/>
      <c r="AR608" s="78"/>
      <c r="AS608" s="78"/>
      <c r="AT608" s="78"/>
      <c r="AU608" s="78"/>
      <c r="AV608" s="78"/>
      <c r="AW608" s="78"/>
      <c r="AX608" s="78"/>
      <c r="AY608" s="78"/>
      <c r="AZ608" s="78"/>
      <c r="BA608" s="78"/>
      <c r="BB608" s="78"/>
      <c r="BC608" s="78"/>
    </row>
    <row r="609">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c r="AA609" s="78"/>
      <c r="AB609" s="78"/>
      <c r="AC609" s="78"/>
      <c r="AD609" s="78"/>
      <c r="AE609" s="78"/>
      <c r="AF609" s="78"/>
      <c r="AG609" s="78"/>
      <c r="AH609" s="78"/>
      <c r="AI609" s="78"/>
      <c r="AJ609" s="78"/>
      <c r="AK609" s="78"/>
      <c r="AL609" s="78"/>
      <c r="AM609" s="78"/>
      <c r="AN609" s="78"/>
      <c r="AO609" s="78"/>
      <c r="AP609" s="78"/>
      <c r="AQ609" s="78"/>
      <c r="AR609" s="78"/>
      <c r="AS609" s="78"/>
      <c r="AT609" s="78"/>
      <c r="AU609" s="78"/>
      <c r="AV609" s="78"/>
      <c r="AW609" s="78"/>
      <c r="AX609" s="78"/>
      <c r="AY609" s="78"/>
      <c r="AZ609" s="78"/>
      <c r="BA609" s="78"/>
      <c r="BB609" s="78"/>
      <c r="BC609" s="78"/>
    </row>
    <row r="610">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c r="AA610" s="78"/>
      <c r="AB610" s="78"/>
      <c r="AC610" s="78"/>
      <c r="AD610" s="78"/>
      <c r="AE610" s="78"/>
      <c r="AF610" s="78"/>
      <c r="AG610" s="78"/>
      <c r="AH610" s="78"/>
      <c r="AI610" s="78"/>
      <c r="AJ610" s="78"/>
      <c r="AK610" s="78"/>
      <c r="AL610" s="78"/>
      <c r="AM610" s="78"/>
      <c r="AN610" s="78"/>
      <c r="AO610" s="78"/>
      <c r="AP610" s="78"/>
      <c r="AQ610" s="78"/>
      <c r="AR610" s="78"/>
      <c r="AS610" s="78"/>
      <c r="AT610" s="78"/>
      <c r="AU610" s="78"/>
      <c r="AV610" s="78"/>
      <c r="AW610" s="78"/>
      <c r="AX610" s="78"/>
      <c r="AY610" s="78"/>
      <c r="AZ610" s="78"/>
      <c r="BA610" s="78"/>
      <c r="BB610" s="78"/>
      <c r="BC610" s="78"/>
    </row>
    <row r="611">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c r="AA611" s="78"/>
      <c r="AB611" s="78"/>
      <c r="AC611" s="78"/>
      <c r="AD611" s="78"/>
      <c r="AE611" s="78"/>
      <c r="AF611" s="78"/>
      <c r="AG611" s="78"/>
      <c r="AH611" s="78"/>
      <c r="AI611" s="78"/>
      <c r="AJ611" s="78"/>
      <c r="AK611" s="78"/>
      <c r="AL611" s="78"/>
      <c r="AM611" s="78"/>
      <c r="AN611" s="78"/>
      <c r="AO611" s="78"/>
      <c r="AP611" s="78"/>
      <c r="AQ611" s="78"/>
      <c r="AR611" s="78"/>
      <c r="AS611" s="78"/>
      <c r="AT611" s="78"/>
      <c r="AU611" s="78"/>
      <c r="AV611" s="78"/>
      <c r="AW611" s="78"/>
      <c r="AX611" s="78"/>
      <c r="AY611" s="78"/>
      <c r="AZ611" s="78"/>
      <c r="BA611" s="78"/>
      <c r="BB611" s="78"/>
      <c r="BC611" s="78"/>
    </row>
    <row r="612">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c r="AA612" s="78"/>
      <c r="AB612" s="78"/>
      <c r="AC612" s="78"/>
      <c r="AD612" s="78"/>
      <c r="AE612" s="78"/>
      <c r="AF612" s="78"/>
      <c r="AG612" s="78"/>
      <c r="AH612" s="78"/>
      <c r="AI612" s="78"/>
      <c r="AJ612" s="78"/>
      <c r="AK612" s="78"/>
      <c r="AL612" s="78"/>
      <c r="AM612" s="78"/>
      <c r="AN612" s="78"/>
      <c r="AO612" s="78"/>
      <c r="AP612" s="78"/>
      <c r="AQ612" s="78"/>
      <c r="AR612" s="78"/>
      <c r="AS612" s="78"/>
      <c r="AT612" s="78"/>
      <c r="AU612" s="78"/>
      <c r="AV612" s="78"/>
      <c r="AW612" s="78"/>
      <c r="AX612" s="78"/>
      <c r="AY612" s="78"/>
      <c r="AZ612" s="78"/>
      <c r="BA612" s="78"/>
      <c r="BB612" s="78"/>
      <c r="BC612" s="78"/>
    </row>
    <row r="613">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c r="AA613" s="78"/>
      <c r="AB613" s="78"/>
      <c r="AC613" s="78"/>
      <c r="AD613" s="78"/>
      <c r="AE613" s="78"/>
      <c r="AF613" s="78"/>
      <c r="AG613" s="78"/>
      <c r="AH613" s="78"/>
      <c r="AI613" s="78"/>
      <c r="AJ613" s="78"/>
      <c r="AK613" s="78"/>
      <c r="AL613" s="78"/>
      <c r="AM613" s="78"/>
      <c r="AN613" s="78"/>
      <c r="AO613" s="78"/>
      <c r="AP613" s="78"/>
      <c r="AQ613" s="78"/>
      <c r="AR613" s="78"/>
      <c r="AS613" s="78"/>
      <c r="AT613" s="78"/>
      <c r="AU613" s="78"/>
      <c r="AV613" s="78"/>
      <c r="AW613" s="78"/>
      <c r="AX613" s="78"/>
      <c r="AY613" s="78"/>
      <c r="AZ613" s="78"/>
      <c r="BA613" s="78"/>
      <c r="BB613" s="78"/>
      <c r="BC613" s="78"/>
    </row>
    <row r="614">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c r="AA614" s="78"/>
      <c r="AB614" s="78"/>
      <c r="AC614" s="78"/>
      <c r="AD614" s="78"/>
      <c r="AE614" s="78"/>
      <c r="AF614" s="78"/>
      <c r="AG614" s="78"/>
      <c r="AH614" s="78"/>
      <c r="AI614" s="78"/>
      <c r="AJ614" s="78"/>
      <c r="AK614" s="78"/>
      <c r="AL614" s="78"/>
      <c r="AM614" s="78"/>
      <c r="AN614" s="78"/>
      <c r="AO614" s="78"/>
      <c r="AP614" s="78"/>
      <c r="AQ614" s="78"/>
      <c r="AR614" s="78"/>
      <c r="AS614" s="78"/>
      <c r="AT614" s="78"/>
      <c r="AU614" s="78"/>
      <c r="AV614" s="78"/>
      <c r="AW614" s="78"/>
      <c r="AX614" s="78"/>
      <c r="AY614" s="78"/>
      <c r="AZ614" s="78"/>
      <c r="BA614" s="78"/>
      <c r="BB614" s="78"/>
      <c r="BC614" s="78"/>
    </row>
    <row r="615">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c r="AA615" s="78"/>
      <c r="AB615" s="78"/>
      <c r="AC615" s="78"/>
      <c r="AD615" s="78"/>
      <c r="AE615" s="78"/>
      <c r="AF615" s="78"/>
      <c r="AG615" s="78"/>
      <c r="AH615" s="78"/>
      <c r="AI615" s="78"/>
      <c r="AJ615" s="78"/>
      <c r="AK615" s="78"/>
      <c r="AL615" s="78"/>
      <c r="AM615" s="78"/>
      <c r="AN615" s="78"/>
      <c r="AO615" s="78"/>
      <c r="AP615" s="78"/>
      <c r="AQ615" s="78"/>
      <c r="AR615" s="78"/>
      <c r="AS615" s="78"/>
      <c r="AT615" s="78"/>
      <c r="AU615" s="78"/>
      <c r="AV615" s="78"/>
      <c r="AW615" s="78"/>
      <c r="AX615" s="78"/>
      <c r="AY615" s="78"/>
      <c r="AZ615" s="78"/>
      <c r="BA615" s="78"/>
      <c r="BB615" s="78"/>
      <c r="BC615" s="78"/>
    </row>
    <row r="616">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c r="AA616" s="78"/>
      <c r="AB616" s="78"/>
      <c r="AC616" s="78"/>
      <c r="AD616" s="78"/>
      <c r="AE616" s="78"/>
      <c r="AF616" s="78"/>
      <c r="AG616" s="78"/>
      <c r="AH616" s="78"/>
      <c r="AI616" s="78"/>
      <c r="AJ616" s="78"/>
      <c r="AK616" s="78"/>
      <c r="AL616" s="78"/>
      <c r="AM616" s="78"/>
      <c r="AN616" s="78"/>
      <c r="AO616" s="78"/>
      <c r="AP616" s="78"/>
      <c r="AQ616" s="78"/>
      <c r="AR616" s="78"/>
      <c r="AS616" s="78"/>
      <c r="AT616" s="78"/>
      <c r="AU616" s="78"/>
      <c r="AV616" s="78"/>
      <c r="AW616" s="78"/>
      <c r="AX616" s="78"/>
      <c r="AY616" s="78"/>
      <c r="AZ616" s="78"/>
      <c r="BA616" s="78"/>
      <c r="BB616" s="78"/>
      <c r="BC616" s="78"/>
    </row>
    <row r="617">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c r="AA617" s="78"/>
      <c r="AB617" s="78"/>
      <c r="AC617" s="78"/>
      <c r="AD617" s="78"/>
      <c r="AE617" s="78"/>
      <c r="AF617" s="78"/>
      <c r="AG617" s="78"/>
      <c r="AH617" s="78"/>
      <c r="AI617" s="78"/>
      <c r="AJ617" s="78"/>
      <c r="AK617" s="78"/>
      <c r="AL617" s="78"/>
      <c r="AM617" s="78"/>
      <c r="AN617" s="78"/>
      <c r="AO617" s="78"/>
      <c r="AP617" s="78"/>
      <c r="AQ617" s="78"/>
      <c r="AR617" s="78"/>
      <c r="AS617" s="78"/>
      <c r="AT617" s="78"/>
      <c r="AU617" s="78"/>
      <c r="AV617" s="78"/>
      <c r="AW617" s="78"/>
      <c r="AX617" s="78"/>
      <c r="AY617" s="78"/>
      <c r="AZ617" s="78"/>
      <c r="BA617" s="78"/>
      <c r="BB617" s="78"/>
      <c r="BC617" s="78"/>
    </row>
    <row r="618">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c r="AA618" s="78"/>
      <c r="AB618" s="78"/>
      <c r="AC618" s="78"/>
      <c r="AD618" s="78"/>
      <c r="AE618" s="78"/>
      <c r="AF618" s="78"/>
      <c r="AG618" s="78"/>
      <c r="AH618" s="78"/>
      <c r="AI618" s="78"/>
      <c r="AJ618" s="78"/>
      <c r="AK618" s="78"/>
      <c r="AL618" s="78"/>
      <c r="AM618" s="78"/>
      <c r="AN618" s="78"/>
      <c r="AO618" s="78"/>
      <c r="AP618" s="78"/>
      <c r="AQ618" s="78"/>
      <c r="AR618" s="78"/>
      <c r="AS618" s="78"/>
      <c r="AT618" s="78"/>
      <c r="AU618" s="78"/>
      <c r="AV618" s="78"/>
      <c r="AW618" s="78"/>
      <c r="AX618" s="78"/>
      <c r="AY618" s="78"/>
      <c r="AZ618" s="78"/>
      <c r="BA618" s="78"/>
      <c r="BB618" s="78"/>
      <c r="BC618" s="78"/>
    </row>
    <row r="619">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c r="AA619" s="78"/>
      <c r="AB619" s="78"/>
      <c r="AC619" s="78"/>
      <c r="AD619" s="78"/>
      <c r="AE619" s="78"/>
      <c r="AF619" s="78"/>
      <c r="AG619" s="78"/>
      <c r="AH619" s="78"/>
      <c r="AI619" s="78"/>
      <c r="AJ619" s="78"/>
      <c r="AK619" s="78"/>
      <c r="AL619" s="78"/>
      <c r="AM619" s="78"/>
      <c r="AN619" s="78"/>
      <c r="AO619" s="78"/>
      <c r="AP619" s="78"/>
      <c r="AQ619" s="78"/>
      <c r="AR619" s="78"/>
      <c r="AS619" s="78"/>
      <c r="AT619" s="78"/>
      <c r="AU619" s="78"/>
      <c r="AV619" s="78"/>
      <c r="AW619" s="78"/>
      <c r="AX619" s="78"/>
      <c r="AY619" s="78"/>
      <c r="AZ619" s="78"/>
      <c r="BA619" s="78"/>
      <c r="BB619" s="78"/>
      <c r="BC619" s="78"/>
    </row>
    <row r="620">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c r="AA620" s="78"/>
      <c r="AB620" s="78"/>
      <c r="AC620" s="78"/>
      <c r="AD620" s="78"/>
      <c r="AE620" s="78"/>
      <c r="AF620" s="78"/>
      <c r="AG620" s="78"/>
      <c r="AH620" s="78"/>
      <c r="AI620" s="78"/>
      <c r="AJ620" s="78"/>
      <c r="AK620" s="78"/>
      <c r="AL620" s="78"/>
      <c r="AM620" s="78"/>
      <c r="AN620" s="78"/>
      <c r="AO620" s="78"/>
      <c r="AP620" s="78"/>
      <c r="AQ620" s="78"/>
      <c r="AR620" s="78"/>
      <c r="AS620" s="78"/>
      <c r="AT620" s="78"/>
      <c r="AU620" s="78"/>
      <c r="AV620" s="78"/>
      <c r="AW620" s="78"/>
      <c r="AX620" s="78"/>
      <c r="AY620" s="78"/>
      <c r="AZ620" s="78"/>
      <c r="BA620" s="78"/>
      <c r="BB620" s="78"/>
      <c r="BC620" s="78"/>
    </row>
    <row r="621">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c r="AA621" s="78"/>
      <c r="AB621" s="78"/>
      <c r="AC621" s="78"/>
      <c r="AD621" s="78"/>
      <c r="AE621" s="78"/>
      <c r="AF621" s="78"/>
      <c r="AG621" s="78"/>
      <c r="AH621" s="78"/>
      <c r="AI621" s="78"/>
      <c r="AJ621" s="78"/>
      <c r="AK621" s="78"/>
      <c r="AL621" s="78"/>
      <c r="AM621" s="78"/>
      <c r="AN621" s="78"/>
      <c r="AO621" s="78"/>
      <c r="AP621" s="78"/>
      <c r="AQ621" s="78"/>
      <c r="AR621" s="78"/>
      <c r="AS621" s="78"/>
      <c r="AT621" s="78"/>
      <c r="AU621" s="78"/>
      <c r="AV621" s="78"/>
      <c r="AW621" s="78"/>
      <c r="AX621" s="78"/>
      <c r="AY621" s="78"/>
      <c r="AZ621" s="78"/>
      <c r="BA621" s="78"/>
      <c r="BB621" s="78"/>
      <c r="BC621" s="78"/>
    </row>
    <row r="622">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c r="AA622" s="78"/>
      <c r="AB622" s="78"/>
      <c r="AC622" s="78"/>
      <c r="AD622" s="78"/>
      <c r="AE622" s="78"/>
      <c r="AF622" s="78"/>
      <c r="AG622" s="78"/>
      <c r="AH622" s="78"/>
      <c r="AI622" s="78"/>
      <c r="AJ622" s="78"/>
      <c r="AK622" s="78"/>
      <c r="AL622" s="78"/>
      <c r="AM622" s="78"/>
      <c r="AN622" s="78"/>
      <c r="AO622" s="78"/>
      <c r="AP622" s="78"/>
      <c r="AQ622" s="78"/>
      <c r="AR622" s="78"/>
      <c r="AS622" s="78"/>
      <c r="AT622" s="78"/>
      <c r="AU622" s="78"/>
      <c r="AV622" s="78"/>
      <c r="AW622" s="78"/>
      <c r="AX622" s="78"/>
      <c r="AY622" s="78"/>
      <c r="AZ622" s="78"/>
      <c r="BA622" s="78"/>
      <c r="BB622" s="78"/>
      <c r="BC622" s="78"/>
    </row>
    <row r="623">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c r="AA623" s="78"/>
      <c r="AB623" s="78"/>
      <c r="AC623" s="78"/>
      <c r="AD623" s="78"/>
      <c r="AE623" s="78"/>
      <c r="AF623" s="78"/>
      <c r="AG623" s="78"/>
      <c r="AH623" s="78"/>
      <c r="AI623" s="78"/>
      <c r="AJ623" s="78"/>
      <c r="AK623" s="78"/>
      <c r="AL623" s="78"/>
      <c r="AM623" s="78"/>
      <c r="AN623" s="78"/>
      <c r="AO623" s="78"/>
      <c r="AP623" s="78"/>
      <c r="AQ623" s="78"/>
      <c r="AR623" s="78"/>
      <c r="AS623" s="78"/>
      <c r="AT623" s="78"/>
      <c r="AU623" s="78"/>
      <c r="AV623" s="78"/>
      <c r="AW623" s="78"/>
      <c r="AX623" s="78"/>
      <c r="AY623" s="78"/>
      <c r="AZ623" s="78"/>
      <c r="BA623" s="78"/>
      <c r="BB623" s="78"/>
      <c r="BC623" s="78"/>
    </row>
    <row r="624">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c r="AA624" s="78"/>
      <c r="AB624" s="78"/>
      <c r="AC624" s="78"/>
      <c r="AD624" s="78"/>
      <c r="AE624" s="78"/>
      <c r="AF624" s="78"/>
      <c r="AG624" s="78"/>
      <c r="AH624" s="78"/>
      <c r="AI624" s="78"/>
      <c r="AJ624" s="78"/>
      <c r="AK624" s="78"/>
      <c r="AL624" s="78"/>
      <c r="AM624" s="78"/>
      <c r="AN624" s="78"/>
      <c r="AO624" s="78"/>
      <c r="AP624" s="78"/>
      <c r="AQ624" s="78"/>
      <c r="AR624" s="78"/>
      <c r="AS624" s="78"/>
      <c r="AT624" s="78"/>
      <c r="AU624" s="78"/>
      <c r="AV624" s="78"/>
      <c r="AW624" s="78"/>
      <c r="AX624" s="78"/>
      <c r="AY624" s="78"/>
      <c r="AZ624" s="78"/>
      <c r="BA624" s="78"/>
      <c r="BB624" s="78"/>
      <c r="BC624" s="78"/>
    </row>
    <row r="625">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c r="AA625" s="78"/>
      <c r="AB625" s="78"/>
      <c r="AC625" s="78"/>
      <c r="AD625" s="78"/>
      <c r="AE625" s="78"/>
      <c r="AF625" s="78"/>
      <c r="AG625" s="78"/>
      <c r="AH625" s="78"/>
      <c r="AI625" s="78"/>
      <c r="AJ625" s="78"/>
      <c r="AK625" s="78"/>
      <c r="AL625" s="78"/>
      <c r="AM625" s="78"/>
      <c r="AN625" s="78"/>
      <c r="AO625" s="78"/>
      <c r="AP625" s="78"/>
      <c r="AQ625" s="78"/>
      <c r="AR625" s="78"/>
      <c r="AS625" s="78"/>
      <c r="AT625" s="78"/>
      <c r="AU625" s="78"/>
      <c r="AV625" s="78"/>
      <c r="AW625" s="78"/>
      <c r="AX625" s="78"/>
      <c r="AY625" s="78"/>
      <c r="AZ625" s="78"/>
      <c r="BA625" s="78"/>
      <c r="BB625" s="78"/>
      <c r="BC625" s="78"/>
    </row>
    <row r="626">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c r="AA626" s="78"/>
      <c r="AB626" s="78"/>
      <c r="AC626" s="78"/>
      <c r="AD626" s="78"/>
      <c r="AE626" s="78"/>
      <c r="AF626" s="78"/>
      <c r="AG626" s="78"/>
      <c r="AH626" s="78"/>
      <c r="AI626" s="78"/>
      <c r="AJ626" s="78"/>
      <c r="AK626" s="78"/>
      <c r="AL626" s="78"/>
      <c r="AM626" s="78"/>
      <c r="AN626" s="78"/>
      <c r="AO626" s="78"/>
      <c r="AP626" s="78"/>
      <c r="AQ626" s="78"/>
      <c r="AR626" s="78"/>
      <c r="AS626" s="78"/>
      <c r="AT626" s="78"/>
      <c r="AU626" s="78"/>
      <c r="AV626" s="78"/>
      <c r="AW626" s="78"/>
      <c r="AX626" s="78"/>
      <c r="AY626" s="78"/>
      <c r="AZ626" s="78"/>
      <c r="BA626" s="78"/>
      <c r="BB626" s="78"/>
      <c r="BC626" s="78"/>
    </row>
    <row r="627">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c r="AA627" s="78"/>
      <c r="AB627" s="78"/>
      <c r="AC627" s="78"/>
      <c r="AD627" s="78"/>
      <c r="AE627" s="78"/>
      <c r="AF627" s="78"/>
      <c r="AG627" s="78"/>
      <c r="AH627" s="78"/>
      <c r="AI627" s="78"/>
      <c r="AJ627" s="78"/>
      <c r="AK627" s="78"/>
      <c r="AL627" s="78"/>
      <c r="AM627" s="78"/>
      <c r="AN627" s="78"/>
      <c r="AO627" s="78"/>
      <c r="AP627" s="78"/>
      <c r="AQ627" s="78"/>
      <c r="AR627" s="78"/>
      <c r="AS627" s="78"/>
      <c r="AT627" s="78"/>
      <c r="AU627" s="78"/>
      <c r="AV627" s="78"/>
      <c r="AW627" s="78"/>
      <c r="AX627" s="78"/>
      <c r="AY627" s="78"/>
      <c r="AZ627" s="78"/>
      <c r="BA627" s="78"/>
      <c r="BB627" s="78"/>
      <c r="BC627" s="78"/>
    </row>
    <row r="628">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c r="AA628" s="78"/>
      <c r="AB628" s="78"/>
      <c r="AC628" s="78"/>
      <c r="AD628" s="78"/>
      <c r="AE628" s="78"/>
      <c r="AF628" s="78"/>
      <c r="AG628" s="78"/>
      <c r="AH628" s="78"/>
      <c r="AI628" s="78"/>
      <c r="AJ628" s="78"/>
      <c r="AK628" s="78"/>
      <c r="AL628" s="78"/>
      <c r="AM628" s="78"/>
      <c r="AN628" s="78"/>
      <c r="AO628" s="78"/>
      <c r="AP628" s="78"/>
      <c r="AQ628" s="78"/>
      <c r="AR628" s="78"/>
      <c r="AS628" s="78"/>
      <c r="AT628" s="78"/>
      <c r="AU628" s="78"/>
      <c r="AV628" s="78"/>
      <c r="AW628" s="78"/>
      <c r="AX628" s="78"/>
      <c r="AY628" s="78"/>
      <c r="AZ628" s="78"/>
      <c r="BA628" s="78"/>
      <c r="BB628" s="78"/>
      <c r="BC628" s="78"/>
    </row>
    <row r="629">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c r="AA629" s="78"/>
      <c r="AB629" s="78"/>
      <c r="AC629" s="78"/>
      <c r="AD629" s="78"/>
      <c r="AE629" s="78"/>
      <c r="AF629" s="78"/>
      <c r="AG629" s="78"/>
      <c r="AH629" s="78"/>
      <c r="AI629" s="78"/>
      <c r="AJ629" s="78"/>
      <c r="AK629" s="78"/>
      <c r="AL629" s="78"/>
      <c r="AM629" s="78"/>
      <c r="AN629" s="78"/>
      <c r="AO629" s="78"/>
      <c r="AP629" s="78"/>
      <c r="AQ629" s="78"/>
      <c r="AR629" s="78"/>
      <c r="AS629" s="78"/>
      <c r="AT629" s="78"/>
      <c r="AU629" s="78"/>
      <c r="AV629" s="78"/>
      <c r="AW629" s="78"/>
      <c r="AX629" s="78"/>
      <c r="AY629" s="78"/>
      <c r="AZ629" s="78"/>
      <c r="BA629" s="78"/>
      <c r="BB629" s="78"/>
      <c r="BC629" s="78"/>
    </row>
    <row r="630">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c r="AA630" s="78"/>
      <c r="AB630" s="78"/>
      <c r="AC630" s="78"/>
      <c r="AD630" s="78"/>
      <c r="AE630" s="78"/>
      <c r="AF630" s="78"/>
      <c r="AG630" s="78"/>
      <c r="AH630" s="78"/>
      <c r="AI630" s="78"/>
      <c r="AJ630" s="78"/>
      <c r="AK630" s="78"/>
      <c r="AL630" s="78"/>
      <c r="AM630" s="78"/>
      <c r="AN630" s="78"/>
      <c r="AO630" s="78"/>
      <c r="AP630" s="78"/>
      <c r="AQ630" s="78"/>
      <c r="AR630" s="78"/>
      <c r="AS630" s="78"/>
      <c r="AT630" s="78"/>
      <c r="AU630" s="78"/>
      <c r="AV630" s="78"/>
      <c r="AW630" s="78"/>
      <c r="AX630" s="78"/>
      <c r="AY630" s="78"/>
      <c r="AZ630" s="78"/>
      <c r="BA630" s="78"/>
      <c r="BB630" s="78"/>
      <c r="BC630" s="78"/>
    </row>
    <row r="631">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c r="AA631" s="78"/>
      <c r="AB631" s="78"/>
      <c r="AC631" s="78"/>
      <c r="AD631" s="78"/>
      <c r="AE631" s="78"/>
      <c r="AF631" s="78"/>
      <c r="AG631" s="78"/>
      <c r="AH631" s="78"/>
      <c r="AI631" s="78"/>
      <c r="AJ631" s="78"/>
      <c r="AK631" s="78"/>
      <c r="AL631" s="78"/>
      <c r="AM631" s="78"/>
      <c r="AN631" s="78"/>
      <c r="AO631" s="78"/>
      <c r="AP631" s="78"/>
      <c r="AQ631" s="78"/>
      <c r="AR631" s="78"/>
      <c r="AS631" s="78"/>
      <c r="AT631" s="78"/>
      <c r="AU631" s="78"/>
      <c r="AV631" s="78"/>
      <c r="AW631" s="78"/>
      <c r="AX631" s="78"/>
      <c r="AY631" s="78"/>
      <c r="AZ631" s="78"/>
      <c r="BA631" s="78"/>
      <c r="BB631" s="78"/>
      <c r="BC631" s="78"/>
    </row>
    <row r="632">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c r="AA632" s="78"/>
      <c r="AB632" s="78"/>
      <c r="AC632" s="78"/>
      <c r="AD632" s="78"/>
      <c r="AE632" s="78"/>
      <c r="AF632" s="78"/>
      <c r="AG632" s="78"/>
      <c r="AH632" s="78"/>
      <c r="AI632" s="78"/>
      <c r="AJ632" s="78"/>
      <c r="AK632" s="78"/>
      <c r="AL632" s="78"/>
      <c r="AM632" s="78"/>
      <c r="AN632" s="78"/>
      <c r="AO632" s="78"/>
      <c r="AP632" s="78"/>
      <c r="AQ632" s="78"/>
      <c r="AR632" s="78"/>
      <c r="AS632" s="78"/>
      <c r="AT632" s="78"/>
      <c r="AU632" s="78"/>
      <c r="AV632" s="78"/>
      <c r="AW632" s="78"/>
      <c r="AX632" s="78"/>
      <c r="AY632" s="78"/>
      <c r="AZ632" s="78"/>
      <c r="BA632" s="78"/>
      <c r="BB632" s="78"/>
      <c r="BC632" s="78"/>
    </row>
    <row r="633">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c r="AA633" s="78"/>
      <c r="AB633" s="78"/>
      <c r="AC633" s="78"/>
      <c r="AD633" s="78"/>
      <c r="AE633" s="78"/>
      <c r="AF633" s="78"/>
      <c r="AG633" s="78"/>
      <c r="AH633" s="78"/>
      <c r="AI633" s="78"/>
      <c r="AJ633" s="78"/>
      <c r="AK633" s="78"/>
      <c r="AL633" s="78"/>
      <c r="AM633" s="78"/>
      <c r="AN633" s="78"/>
      <c r="AO633" s="78"/>
      <c r="AP633" s="78"/>
      <c r="AQ633" s="78"/>
      <c r="AR633" s="78"/>
      <c r="AS633" s="78"/>
      <c r="AT633" s="78"/>
      <c r="AU633" s="78"/>
      <c r="AV633" s="78"/>
      <c r="AW633" s="78"/>
      <c r="AX633" s="78"/>
      <c r="AY633" s="78"/>
      <c r="AZ633" s="78"/>
      <c r="BA633" s="78"/>
      <c r="BB633" s="78"/>
      <c r="BC633" s="78"/>
    </row>
    <row r="634">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c r="AA634" s="78"/>
      <c r="AB634" s="78"/>
      <c r="AC634" s="78"/>
      <c r="AD634" s="78"/>
      <c r="AE634" s="78"/>
      <c r="AF634" s="78"/>
      <c r="AG634" s="78"/>
      <c r="AH634" s="78"/>
      <c r="AI634" s="78"/>
      <c r="AJ634" s="78"/>
      <c r="AK634" s="78"/>
      <c r="AL634" s="78"/>
      <c r="AM634" s="78"/>
      <c r="AN634" s="78"/>
      <c r="AO634" s="78"/>
      <c r="AP634" s="78"/>
      <c r="AQ634" s="78"/>
      <c r="AR634" s="78"/>
      <c r="AS634" s="78"/>
      <c r="AT634" s="78"/>
      <c r="AU634" s="78"/>
      <c r="AV634" s="78"/>
      <c r="AW634" s="78"/>
      <c r="AX634" s="78"/>
      <c r="AY634" s="78"/>
      <c r="AZ634" s="78"/>
      <c r="BA634" s="78"/>
      <c r="BB634" s="78"/>
      <c r="BC634" s="78"/>
    </row>
    <row r="635">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c r="AA635" s="78"/>
      <c r="AB635" s="78"/>
      <c r="AC635" s="78"/>
      <c r="AD635" s="78"/>
      <c r="AE635" s="78"/>
      <c r="AF635" s="78"/>
      <c r="AG635" s="78"/>
      <c r="AH635" s="78"/>
      <c r="AI635" s="78"/>
      <c r="AJ635" s="78"/>
      <c r="AK635" s="78"/>
      <c r="AL635" s="78"/>
      <c r="AM635" s="78"/>
      <c r="AN635" s="78"/>
      <c r="AO635" s="78"/>
      <c r="AP635" s="78"/>
      <c r="AQ635" s="78"/>
      <c r="AR635" s="78"/>
      <c r="AS635" s="78"/>
      <c r="AT635" s="78"/>
      <c r="AU635" s="78"/>
      <c r="AV635" s="78"/>
      <c r="AW635" s="78"/>
      <c r="AX635" s="78"/>
      <c r="AY635" s="78"/>
      <c r="AZ635" s="78"/>
      <c r="BA635" s="78"/>
      <c r="BB635" s="78"/>
      <c r="BC635" s="78"/>
    </row>
    <row r="636">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c r="AA636" s="78"/>
      <c r="AB636" s="78"/>
      <c r="AC636" s="78"/>
      <c r="AD636" s="78"/>
      <c r="AE636" s="78"/>
      <c r="AF636" s="78"/>
      <c r="AG636" s="78"/>
      <c r="AH636" s="78"/>
      <c r="AI636" s="78"/>
      <c r="AJ636" s="78"/>
      <c r="AK636" s="78"/>
      <c r="AL636" s="78"/>
      <c r="AM636" s="78"/>
      <c r="AN636" s="78"/>
      <c r="AO636" s="78"/>
      <c r="AP636" s="78"/>
      <c r="AQ636" s="78"/>
      <c r="AR636" s="78"/>
      <c r="AS636" s="78"/>
      <c r="AT636" s="78"/>
      <c r="AU636" s="78"/>
      <c r="AV636" s="78"/>
      <c r="AW636" s="78"/>
      <c r="AX636" s="78"/>
      <c r="AY636" s="78"/>
      <c r="AZ636" s="78"/>
      <c r="BA636" s="78"/>
      <c r="BB636" s="78"/>
      <c r="BC636" s="78"/>
    </row>
    <row r="637">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c r="AA637" s="78"/>
      <c r="AB637" s="78"/>
      <c r="AC637" s="78"/>
      <c r="AD637" s="78"/>
      <c r="AE637" s="78"/>
      <c r="AF637" s="78"/>
      <c r="AG637" s="78"/>
      <c r="AH637" s="78"/>
      <c r="AI637" s="78"/>
      <c r="AJ637" s="78"/>
      <c r="AK637" s="78"/>
      <c r="AL637" s="78"/>
      <c r="AM637" s="78"/>
      <c r="AN637" s="78"/>
      <c r="AO637" s="78"/>
      <c r="AP637" s="78"/>
      <c r="AQ637" s="78"/>
      <c r="AR637" s="78"/>
      <c r="AS637" s="78"/>
      <c r="AT637" s="78"/>
      <c r="AU637" s="78"/>
      <c r="AV637" s="78"/>
      <c r="AW637" s="78"/>
      <c r="AX637" s="78"/>
      <c r="AY637" s="78"/>
      <c r="AZ637" s="78"/>
      <c r="BA637" s="78"/>
      <c r="BB637" s="78"/>
      <c r="BC637" s="78"/>
    </row>
    <row r="638">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c r="AA638" s="78"/>
      <c r="AB638" s="78"/>
      <c r="AC638" s="78"/>
      <c r="AD638" s="78"/>
      <c r="AE638" s="78"/>
      <c r="AF638" s="78"/>
      <c r="AG638" s="78"/>
      <c r="AH638" s="78"/>
      <c r="AI638" s="78"/>
      <c r="AJ638" s="78"/>
      <c r="AK638" s="78"/>
      <c r="AL638" s="78"/>
      <c r="AM638" s="78"/>
      <c r="AN638" s="78"/>
      <c r="AO638" s="78"/>
      <c r="AP638" s="78"/>
      <c r="AQ638" s="78"/>
      <c r="AR638" s="78"/>
      <c r="AS638" s="78"/>
      <c r="AT638" s="78"/>
      <c r="AU638" s="78"/>
      <c r="AV638" s="78"/>
      <c r="AW638" s="78"/>
      <c r="AX638" s="78"/>
      <c r="AY638" s="78"/>
      <c r="AZ638" s="78"/>
      <c r="BA638" s="78"/>
      <c r="BB638" s="78"/>
      <c r="BC638" s="78"/>
    </row>
    <row r="639">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c r="AA639" s="78"/>
      <c r="AB639" s="78"/>
      <c r="AC639" s="78"/>
      <c r="AD639" s="78"/>
      <c r="AE639" s="78"/>
      <c r="AF639" s="78"/>
      <c r="AG639" s="78"/>
      <c r="AH639" s="78"/>
      <c r="AI639" s="78"/>
      <c r="AJ639" s="78"/>
      <c r="AK639" s="78"/>
      <c r="AL639" s="78"/>
      <c r="AM639" s="78"/>
      <c r="AN639" s="78"/>
      <c r="AO639" s="78"/>
      <c r="AP639" s="78"/>
      <c r="AQ639" s="78"/>
      <c r="AR639" s="78"/>
      <c r="AS639" s="78"/>
      <c r="AT639" s="78"/>
      <c r="AU639" s="78"/>
      <c r="AV639" s="78"/>
      <c r="AW639" s="78"/>
      <c r="AX639" s="78"/>
      <c r="AY639" s="78"/>
      <c r="AZ639" s="78"/>
      <c r="BA639" s="78"/>
      <c r="BB639" s="78"/>
      <c r="BC639" s="78"/>
    </row>
    <row r="640">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c r="AA640" s="78"/>
      <c r="AB640" s="78"/>
      <c r="AC640" s="78"/>
      <c r="AD640" s="78"/>
      <c r="AE640" s="78"/>
      <c r="AF640" s="78"/>
      <c r="AG640" s="78"/>
      <c r="AH640" s="78"/>
      <c r="AI640" s="78"/>
      <c r="AJ640" s="78"/>
      <c r="AK640" s="78"/>
      <c r="AL640" s="78"/>
      <c r="AM640" s="78"/>
      <c r="AN640" s="78"/>
      <c r="AO640" s="78"/>
      <c r="AP640" s="78"/>
      <c r="AQ640" s="78"/>
      <c r="AR640" s="78"/>
      <c r="AS640" s="78"/>
      <c r="AT640" s="78"/>
      <c r="AU640" s="78"/>
      <c r="AV640" s="78"/>
      <c r="AW640" s="78"/>
      <c r="AX640" s="78"/>
      <c r="AY640" s="78"/>
      <c r="AZ640" s="78"/>
      <c r="BA640" s="78"/>
      <c r="BB640" s="78"/>
      <c r="BC640" s="78"/>
    </row>
    <row r="641">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c r="AA641" s="78"/>
      <c r="AB641" s="78"/>
      <c r="AC641" s="78"/>
      <c r="AD641" s="78"/>
      <c r="AE641" s="78"/>
      <c r="AF641" s="78"/>
      <c r="AG641" s="78"/>
      <c r="AH641" s="78"/>
      <c r="AI641" s="78"/>
      <c r="AJ641" s="78"/>
      <c r="AK641" s="78"/>
      <c r="AL641" s="78"/>
      <c r="AM641" s="78"/>
      <c r="AN641" s="78"/>
      <c r="AO641" s="78"/>
      <c r="AP641" s="78"/>
      <c r="AQ641" s="78"/>
      <c r="AR641" s="78"/>
      <c r="AS641" s="78"/>
      <c r="AT641" s="78"/>
      <c r="AU641" s="78"/>
      <c r="AV641" s="78"/>
      <c r="AW641" s="78"/>
      <c r="AX641" s="78"/>
      <c r="AY641" s="78"/>
      <c r="AZ641" s="78"/>
      <c r="BA641" s="78"/>
      <c r="BB641" s="78"/>
      <c r="BC641" s="78"/>
    </row>
    <row r="642">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c r="AA642" s="78"/>
      <c r="AB642" s="78"/>
      <c r="AC642" s="78"/>
      <c r="AD642" s="78"/>
      <c r="AE642" s="78"/>
      <c r="AF642" s="78"/>
      <c r="AG642" s="78"/>
      <c r="AH642" s="78"/>
      <c r="AI642" s="78"/>
      <c r="AJ642" s="78"/>
      <c r="AK642" s="78"/>
      <c r="AL642" s="78"/>
      <c r="AM642" s="78"/>
      <c r="AN642" s="78"/>
      <c r="AO642" s="78"/>
      <c r="AP642" s="78"/>
      <c r="AQ642" s="78"/>
      <c r="AR642" s="78"/>
      <c r="AS642" s="78"/>
      <c r="AT642" s="78"/>
      <c r="AU642" s="78"/>
      <c r="AV642" s="78"/>
      <c r="AW642" s="78"/>
      <c r="AX642" s="78"/>
      <c r="AY642" s="78"/>
      <c r="AZ642" s="78"/>
      <c r="BA642" s="78"/>
      <c r="BB642" s="78"/>
      <c r="BC642" s="78"/>
    </row>
    <row r="643">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c r="AA643" s="78"/>
      <c r="AB643" s="78"/>
      <c r="AC643" s="78"/>
      <c r="AD643" s="78"/>
      <c r="AE643" s="78"/>
      <c r="AF643" s="78"/>
      <c r="AG643" s="78"/>
      <c r="AH643" s="78"/>
      <c r="AI643" s="78"/>
      <c r="AJ643" s="78"/>
      <c r="AK643" s="78"/>
      <c r="AL643" s="78"/>
      <c r="AM643" s="78"/>
      <c r="AN643" s="78"/>
      <c r="AO643" s="78"/>
      <c r="AP643" s="78"/>
      <c r="AQ643" s="78"/>
      <c r="AR643" s="78"/>
      <c r="AS643" s="78"/>
      <c r="AT643" s="78"/>
      <c r="AU643" s="78"/>
      <c r="AV643" s="78"/>
      <c r="AW643" s="78"/>
      <c r="AX643" s="78"/>
      <c r="AY643" s="78"/>
      <c r="AZ643" s="78"/>
      <c r="BA643" s="78"/>
      <c r="BB643" s="78"/>
      <c r="BC643" s="78"/>
    </row>
    <row r="644">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c r="AA644" s="78"/>
      <c r="AB644" s="78"/>
      <c r="AC644" s="78"/>
      <c r="AD644" s="78"/>
      <c r="AE644" s="78"/>
      <c r="AF644" s="78"/>
      <c r="AG644" s="78"/>
      <c r="AH644" s="78"/>
      <c r="AI644" s="78"/>
      <c r="AJ644" s="78"/>
      <c r="AK644" s="78"/>
      <c r="AL644" s="78"/>
      <c r="AM644" s="78"/>
      <c r="AN644" s="78"/>
      <c r="AO644" s="78"/>
      <c r="AP644" s="78"/>
      <c r="AQ644" s="78"/>
      <c r="AR644" s="78"/>
      <c r="AS644" s="78"/>
      <c r="AT644" s="78"/>
      <c r="AU644" s="78"/>
      <c r="AV644" s="78"/>
      <c r="AW644" s="78"/>
      <c r="AX644" s="78"/>
      <c r="AY644" s="78"/>
      <c r="AZ644" s="78"/>
      <c r="BA644" s="78"/>
      <c r="BB644" s="78"/>
      <c r="BC644" s="78"/>
    </row>
    <row r="645">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c r="AA645" s="78"/>
      <c r="AB645" s="78"/>
      <c r="AC645" s="78"/>
      <c r="AD645" s="78"/>
      <c r="AE645" s="78"/>
      <c r="AF645" s="78"/>
      <c r="AG645" s="78"/>
      <c r="AH645" s="78"/>
      <c r="AI645" s="78"/>
      <c r="AJ645" s="78"/>
      <c r="AK645" s="78"/>
      <c r="AL645" s="78"/>
      <c r="AM645" s="78"/>
      <c r="AN645" s="78"/>
      <c r="AO645" s="78"/>
      <c r="AP645" s="78"/>
      <c r="AQ645" s="78"/>
      <c r="AR645" s="78"/>
      <c r="AS645" s="78"/>
      <c r="AT645" s="78"/>
      <c r="AU645" s="78"/>
      <c r="AV645" s="78"/>
      <c r="AW645" s="78"/>
      <c r="AX645" s="78"/>
      <c r="AY645" s="78"/>
      <c r="AZ645" s="78"/>
      <c r="BA645" s="78"/>
      <c r="BB645" s="78"/>
      <c r="BC645" s="78"/>
    </row>
    <row r="646">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c r="AA646" s="78"/>
      <c r="AB646" s="78"/>
      <c r="AC646" s="78"/>
      <c r="AD646" s="78"/>
      <c r="AE646" s="78"/>
      <c r="AF646" s="78"/>
      <c r="AG646" s="78"/>
      <c r="AH646" s="78"/>
      <c r="AI646" s="78"/>
      <c r="AJ646" s="78"/>
      <c r="AK646" s="78"/>
      <c r="AL646" s="78"/>
      <c r="AM646" s="78"/>
      <c r="AN646" s="78"/>
      <c r="AO646" s="78"/>
      <c r="AP646" s="78"/>
      <c r="AQ646" s="78"/>
      <c r="AR646" s="78"/>
      <c r="AS646" s="78"/>
      <c r="AT646" s="78"/>
      <c r="AU646" s="78"/>
      <c r="AV646" s="78"/>
      <c r="AW646" s="78"/>
      <c r="AX646" s="78"/>
      <c r="AY646" s="78"/>
      <c r="AZ646" s="78"/>
      <c r="BA646" s="78"/>
      <c r="BB646" s="78"/>
      <c r="BC646" s="78"/>
    </row>
    <row r="647">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c r="AA647" s="78"/>
      <c r="AB647" s="78"/>
      <c r="AC647" s="78"/>
      <c r="AD647" s="78"/>
      <c r="AE647" s="78"/>
      <c r="AF647" s="78"/>
      <c r="AG647" s="78"/>
      <c r="AH647" s="78"/>
      <c r="AI647" s="78"/>
      <c r="AJ647" s="78"/>
      <c r="AK647" s="78"/>
      <c r="AL647" s="78"/>
      <c r="AM647" s="78"/>
      <c r="AN647" s="78"/>
      <c r="AO647" s="78"/>
      <c r="AP647" s="78"/>
      <c r="AQ647" s="78"/>
      <c r="AR647" s="78"/>
      <c r="AS647" s="78"/>
      <c r="AT647" s="78"/>
      <c r="AU647" s="78"/>
      <c r="AV647" s="78"/>
      <c r="AW647" s="78"/>
      <c r="AX647" s="78"/>
      <c r="AY647" s="78"/>
      <c r="AZ647" s="78"/>
      <c r="BA647" s="78"/>
      <c r="BB647" s="78"/>
      <c r="BC647" s="78"/>
    </row>
    <row r="648">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c r="AA648" s="78"/>
      <c r="AB648" s="78"/>
      <c r="AC648" s="78"/>
      <c r="AD648" s="78"/>
      <c r="AE648" s="78"/>
      <c r="AF648" s="78"/>
      <c r="AG648" s="78"/>
      <c r="AH648" s="78"/>
      <c r="AI648" s="78"/>
      <c r="AJ648" s="78"/>
      <c r="AK648" s="78"/>
      <c r="AL648" s="78"/>
      <c r="AM648" s="78"/>
      <c r="AN648" s="78"/>
      <c r="AO648" s="78"/>
      <c r="AP648" s="78"/>
      <c r="AQ648" s="78"/>
      <c r="AR648" s="78"/>
      <c r="AS648" s="78"/>
      <c r="AT648" s="78"/>
      <c r="AU648" s="78"/>
      <c r="AV648" s="78"/>
      <c r="AW648" s="78"/>
      <c r="AX648" s="78"/>
      <c r="AY648" s="78"/>
      <c r="AZ648" s="78"/>
      <c r="BA648" s="78"/>
      <c r="BB648" s="78"/>
      <c r="BC648" s="78"/>
    </row>
    <row r="649">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c r="AA649" s="78"/>
      <c r="AB649" s="78"/>
      <c r="AC649" s="78"/>
      <c r="AD649" s="78"/>
      <c r="AE649" s="78"/>
      <c r="AF649" s="78"/>
      <c r="AG649" s="78"/>
      <c r="AH649" s="78"/>
      <c r="AI649" s="78"/>
      <c r="AJ649" s="78"/>
      <c r="AK649" s="78"/>
      <c r="AL649" s="78"/>
      <c r="AM649" s="78"/>
      <c r="AN649" s="78"/>
      <c r="AO649" s="78"/>
      <c r="AP649" s="78"/>
      <c r="AQ649" s="78"/>
      <c r="AR649" s="78"/>
      <c r="AS649" s="78"/>
      <c r="AT649" s="78"/>
      <c r="AU649" s="78"/>
      <c r="AV649" s="78"/>
      <c r="AW649" s="78"/>
      <c r="AX649" s="78"/>
      <c r="AY649" s="78"/>
      <c r="AZ649" s="78"/>
      <c r="BA649" s="78"/>
      <c r="BB649" s="78"/>
      <c r="BC649" s="78"/>
    </row>
    <row r="650">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c r="AA650" s="78"/>
      <c r="AB650" s="78"/>
      <c r="AC650" s="78"/>
      <c r="AD650" s="78"/>
      <c r="AE650" s="78"/>
      <c r="AF650" s="78"/>
      <c r="AG650" s="78"/>
      <c r="AH650" s="78"/>
      <c r="AI650" s="78"/>
      <c r="AJ650" s="78"/>
      <c r="AK650" s="78"/>
      <c r="AL650" s="78"/>
      <c r="AM650" s="78"/>
      <c r="AN650" s="78"/>
      <c r="AO650" s="78"/>
      <c r="AP650" s="78"/>
      <c r="AQ650" s="78"/>
      <c r="AR650" s="78"/>
      <c r="AS650" s="78"/>
      <c r="AT650" s="78"/>
      <c r="AU650" s="78"/>
      <c r="AV650" s="78"/>
      <c r="AW650" s="78"/>
      <c r="AX650" s="78"/>
      <c r="AY650" s="78"/>
      <c r="AZ650" s="78"/>
      <c r="BA650" s="78"/>
      <c r="BB650" s="78"/>
      <c r="BC650" s="78"/>
    </row>
    <row r="651">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c r="AA651" s="78"/>
      <c r="AB651" s="78"/>
      <c r="AC651" s="78"/>
      <c r="AD651" s="78"/>
      <c r="AE651" s="78"/>
      <c r="AF651" s="78"/>
      <c r="AG651" s="78"/>
      <c r="AH651" s="78"/>
      <c r="AI651" s="78"/>
      <c r="AJ651" s="78"/>
      <c r="AK651" s="78"/>
      <c r="AL651" s="78"/>
      <c r="AM651" s="78"/>
      <c r="AN651" s="78"/>
      <c r="AO651" s="78"/>
      <c r="AP651" s="78"/>
      <c r="AQ651" s="78"/>
      <c r="AR651" s="78"/>
      <c r="AS651" s="78"/>
      <c r="AT651" s="78"/>
      <c r="AU651" s="78"/>
      <c r="AV651" s="78"/>
      <c r="AW651" s="78"/>
      <c r="AX651" s="78"/>
      <c r="AY651" s="78"/>
      <c r="AZ651" s="78"/>
      <c r="BA651" s="78"/>
      <c r="BB651" s="78"/>
      <c r="BC651" s="78"/>
    </row>
    <row r="652">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c r="AA652" s="78"/>
      <c r="AB652" s="78"/>
      <c r="AC652" s="78"/>
      <c r="AD652" s="78"/>
      <c r="AE652" s="78"/>
      <c r="AF652" s="78"/>
      <c r="AG652" s="78"/>
      <c r="AH652" s="78"/>
      <c r="AI652" s="78"/>
      <c r="AJ652" s="78"/>
      <c r="AK652" s="78"/>
      <c r="AL652" s="78"/>
      <c r="AM652" s="78"/>
      <c r="AN652" s="78"/>
      <c r="AO652" s="78"/>
      <c r="AP652" s="78"/>
      <c r="AQ652" s="78"/>
      <c r="AR652" s="78"/>
      <c r="AS652" s="78"/>
      <c r="AT652" s="78"/>
      <c r="AU652" s="78"/>
      <c r="AV652" s="78"/>
      <c r="AW652" s="78"/>
      <c r="AX652" s="78"/>
      <c r="AY652" s="78"/>
      <c r="AZ652" s="78"/>
      <c r="BA652" s="78"/>
      <c r="BB652" s="78"/>
      <c r="BC652" s="78"/>
    </row>
    <row r="653">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c r="AA653" s="78"/>
      <c r="AB653" s="78"/>
      <c r="AC653" s="78"/>
      <c r="AD653" s="78"/>
      <c r="AE653" s="78"/>
      <c r="AF653" s="78"/>
      <c r="AG653" s="78"/>
      <c r="AH653" s="78"/>
      <c r="AI653" s="78"/>
      <c r="AJ653" s="78"/>
      <c r="AK653" s="78"/>
      <c r="AL653" s="78"/>
      <c r="AM653" s="78"/>
      <c r="AN653" s="78"/>
      <c r="AO653" s="78"/>
      <c r="AP653" s="78"/>
      <c r="AQ653" s="78"/>
      <c r="AR653" s="78"/>
      <c r="AS653" s="78"/>
      <c r="AT653" s="78"/>
      <c r="AU653" s="78"/>
      <c r="AV653" s="78"/>
      <c r="AW653" s="78"/>
      <c r="AX653" s="78"/>
      <c r="AY653" s="78"/>
      <c r="AZ653" s="78"/>
      <c r="BA653" s="78"/>
      <c r="BB653" s="78"/>
      <c r="BC653" s="78"/>
    </row>
    <row r="654">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c r="AA654" s="78"/>
      <c r="AB654" s="78"/>
      <c r="AC654" s="78"/>
      <c r="AD654" s="78"/>
      <c r="AE654" s="78"/>
      <c r="AF654" s="78"/>
      <c r="AG654" s="78"/>
      <c r="AH654" s="78"/>
      <c r="AI654" s="78"/>
      <c r="AJ654" s="78"/>
      <c r="AK654" s="78"/>
      <c r="AL654" s="78"/>
      <c r="AM654" s="78"/>
      <c r="AN654" s="78"/>
      <c r="AO654" s="78"/>
      <c r="AP654" s="78"/>
      <c r="AQ654" s="78"/>
      <c r="AR654" s="78"/>
      <c r="AS654" s="78"/>
      <c r="AT654" s="78"/>
      <c r="AU654" s="78"/>
      <c r="AV654" s="78"/>
      <c r="AW654" s="78"/>
      <c r="AX654" s="78"/>
      <c r="AY654" s="78"/>
      <c r="AZ654" s="78"/>
      <c r="BA654" s="78"/>
      <c r="BB654" s="78"/>
      <c r="BC654" s="78"/>
    </row>
    <row r="655">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c r="AA655" s="78"/>
      <c r="AB655" s="78"/>
      <c r="AC655" s="78"/>
      <c r="AD655" s="78"/>
      <c r="AE655" s="78"/>
      <c r="AF655" s="78"/>
      <c r="AG655" s="78"/>
      <c r="AH655" s="78"/>
      <c r="AI655" s="78"/>
      <c r="AJ655" s="78"/>
      <c r="AK655" s="78"/>
      <c r="AL655" s="78"/>
      <c r="AM655" s="78"/>
      <c r="AN655" s="78"/>
      <c r="AO655" s="78"/>
      <c r="AP655" s="78"/>
      <c r="AQ655" s="78"/>
      <c r="AR655" s="78"/>
      <c r="AS655" s="78"/>
      <c r="AT655" s="78"/>
      <c r="AU655" s="78"/>
      <c r="AV655" s="78"/>
      <c r="AW655" s="78"/>
      <c r="AX655" s="78"/>
      <c r="AY655" s="78"/>
      <c r="AZ655" s="78"/>
      <c r="BA655" s="78"/>
      <c r="BB655" s="78"/>
      <c r="BC655" s="78"/>
    </row>
    <row r="656">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c r="AA656" s="78"/>
      <c r="AB656" s="78"/>
      <c r="AC656" s="78"/>
      <c r="AD656" s="78"/>
      <c r="AE656" s="78"/>
      <c r="AF656" s="78"/>
      <c r="AG656" s="78"/>
      <c r="AH656" s="78"/>
      <c r="AI656" s="78"/>
      <c r="AJ656" s="78"/>
      <c r="AK656" s="78"/>
      <c r="AL656" s="78"/>
      <c r="AM656" s="78"/>
      <c r="AN656" s="78"/>
      <c r="AO656" s="78"/>
      <c r="AP656" s="78"/>
      <c r="AQ656" s="78"/>
      <c r="AR656" s="78"/>
      <c r="AS656" s="78"/>
      <c r="AT656" s="78"/>
      <c r="AU656" s="78"/>
      <c r="AV656" s="78"/>
      <c r="AW656" s="78"/>
      <c r="AX656" s="78"/>
      <c r="AY656" s="78"/>
      <c r="AZ656" s="78"/>
      <c r="BA656" s="78"/>
      <c r="BB656" s="78"/>
      <c r="BC656" s="78"/>
    </row>
    <row r="657">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c r="AA657" s="78"/>
      <c r="AB657" s="78"/>
      <c r="AC657" s="78"/>
      <c r="AD657" s="78"/>
      <c r="AE657" s="78"/>
      <c r="AF657" s="78"/>
      <c r="AG657" s="78"/>
      <c r="AH657" s="78"/>
      <c r="AI657" s="78"/>
      <c r="AJ657" s="78"/>
      <c r="AK657" s="78"/>
      <c r="AL657" s="78"/>
      <c r="AM657" s="78"/>
      <c r="AN657" s="78"/>
      <c r="AO657" s="78"/>
      <c r="AP657" s="78"/>
      <c r="AQ657" s="78"/>
      <c r="AR657" s="78"/>
      <c r="AS657" s="78"/>
      <c r="AT657" s="78"/>
      <c r="AU657" s="78"/>
      <c r="AV657" s="78"/>
      <c r="AW657" s="78"/>
      <c r="AX657" s="78"/>
      <c r="AY657" s="78"/>
      <c r="AZ657" s="78"/>
      <c r="BA657" s="78"/>
      <c r="BB657" s="78"/>
      <c r="BC657" s="78"/>
    </row>
    <row r="658">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c r="AA658" s="78"/>
      <c r="AB658" s="78"/>
      <c r="AC658" s="78"/>
      <c r="AD658" s="78"/>
      <c r="AE658" s="78"/>
      <c r="AF658" s="78"/>
      <c r="AG658" s="78"/>
      <c r="AH658" s="78"/>
      <c r="AI658" s="78"/>
      <c r="AJ658" s="78"/>
      <c r="AK658" s="78"/>
      <c r="AL658" s="78"/>
      <c r="AM658" s="78"/>
      <c r="AN658" s="78"/>
      <c r="AO658" s="78"/>
      <c r="AP658" s="78"/>
      <c r="AQ658" s="78"/>
      <c r="AR658" s="78"/>
      <c r="AS658" s="78"/>
      <c r="AT658" s="78"/>
      <c r="AU658" s="78"/>
      <c r="AV658" s="78"/>
      <c r="AW658" s="78"/>
      <c r="AX658" s="78"/>
      <c r="AY658" s="78"/>
      <c r="AZ658" s="78"/>
      <c r="BA658" s="78"/>
      <c r="BB658" s="78"/>
      <c r="BC658" s="78"/>
    </row>
    <row r="659">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c r="AA659" s="78"/>
      <c r="AB659" s="78"/>
      <c r="AC659" s="78"/>
      <c r="AD659" s="78"/>
      <c r="AE659" s="78"/>
      <c r="AF659" s="78"/>
      <c r="AG659" s="78"/>
      <c r="AH659" s="78"/>
      <c r="AI659" s="78"/>
      <c r="AJ659" s="78"/>
      <c r="AK659" s="78"/>
      <c r="AL659" s="78"/>
      <c r="AM659" s="78"/>
      <c r="AN659" s="78"/>
      <c r="AO659" s="78"/>
      <c r="AP659" s="78"/>
      <c r="AQ659" s="78"/>
      <c r="AR659" s="78"/>
      <c r="AS659" s="78"/>
      <c r="AT659" s="78"/>
      <c r="AU659" s="78"/>
      <c r="AV659" s="78"/>
      <c r="AW659" s="78"/>
      <c r="AX659" s="78"/>
      <c r="AY659" s="78"/>
      <c r="AZ659" s="78"/>
      <c r="BA659" s="78"/>
      <c r="BB659" s="78"/>
      <c r="BC659" s="78"/>
    </row>
    <row r="660">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c r="AA660" s="78"/>
      <c r="AB660" s="78"/>
      <c r="AC660" s="78"/>
      <c r="AD660" s="78"/>
      <c r="AE660" s="78"/>
      <c r="AF660" s="78"/>
      <c r="AG660" s="78"/>
      <c r="AH660" s="78"/>
      <c r="AI660" s="78"/>
      <c r="AJ660" s="78"/>
      <c r="AK660" s="78"/>
      <c r="AL660" s="78"/>
      <c r="AM660" s="78"/>
      <c r="AN660" s="78"/>
      <c r="AO660" s="78"/>
      <c r="AP660" s="78"/>
      <c r="AQ660" s="78"/>
      <c r="AR660" s="78"/>
      <c r="AS660" s="78"/>
      <c r="AT660" s="78"/>
      <c r="AU660" s="78"/>
      <c r="AV660" s="78"/>
      <c r="AW660" s="78"/>
      <c r="AX660" s="78"/>
      <c r="AY660" s="78"/>
      <c r="AZ660" s="78"/>
      <c r="BA660" s="78"/>
      <c r="BB660" s="78"/>
      <c r="BC660" s="78"/>
    </row>
    <row r="661">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c r="AA661" s="78"/>
      <c r="AB661" s="78"/>
      <c r="AC661" s="78"/>
      <c r="AD661" s="78"/>
      <c r="AE661" s="78"/>
      <c r="AF661" s="78"/>
      <c r="AG661" s="78"/>
      <c r="AH661" s="78"/>
      <c r="AI661" s="78"/>
      <c r="AJ661" s="78"/>
      <c r="AK661" s="78"/>
      <c r="AL661" s="78"/>
      <c r="AM661" s="78"/>
      <c r="AN661" s="78"/>
      <c r="AO661" s="78"/>
      <c r="AP661" s="78"/>
      <c r="AQ661" s="78"/>
      <c r="AR661" s="78"/>
      <c r="AS661" s="78"/>
      <c r="AT661" s="78"/>
      <c r="AU661" s="78"/>
      <c r="AV661" s="78"/>
      <c r="AW661" s="78"/>
      <c r="AX661" s="78"/>
      <c r="AY661" s="78"/>
      <c r="AZ661" s="78"/>
      <c r="BA661" s="78"/>
      <c r="BB661" s="78"/>
      <c r="BC661" s="78"/>
    </row>
    <row r="662">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c r="AA662" s="78"/>
      <c r="AB662" s="78"/>
      <c r="AC662" s="78"/>
      <c r="AD662" s="78"/>
      <c r="AE662" s="78"/>
      <c r="AF662" s="78"/>
      <c r="AG662" s="78"/>
      <c r="AH662" s="78"/>
      <c r="AI662" s="78"/>
      <c r="AJ662" s="78"/>
      <c r="AK662" s="78"/>
      <c r="AL662" s="78"/>
      <c r="AM662" s="78"/>
      <c r="AN662" s="78"/>
      <c r="AO662" s="78"/>
      <c r="AP662" s="78"/>
      <c r="AQ662" s="78"/>
      <c r="AR662" s="78"/>
      <c r="AS662" s="78"/>
      <c r="AT662" s="78"/>
      <c r="AU662" s="78"/>
      <c r="AV662" s="78"/>
      <c r="AW662" s="78"/>
      <c r="AX662" s="78"/>
      <c r="AY662" s="78"/>
      <c r="AZ662" s="78"/>
      <c r="BA662" s="78"/>
      <c r="BB662" s="78"/>
      <c r="BC662" s="78"/>
    </row>
    <row r="663">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c r="AA663" s="78"/>
      <c r="AB663" s="78"/>
      <c r="AC663" s="78"/>
      <c r="AD663" s="78"/>
      <c r="AE663" s="78"/>
      <c r="AF663" s="78"/>
      <c r="AG663" s="78"/>
      <c r="AH663" s="78"/>
      <c r="AI663" s="78"/>
      <c r="AJ663" s="78"/>
      <c r="AK663" s="78"/>
      <c r="AL663" s="78"/>
      <c r="AM663" s="78"/>
      <c r="AN663" s="78"/>
      <c r="AO663" s="78"/>
      <c r="AP663" s="78"/>
      <c r="AQ663" s="78"/>
      <c r="AR663" s="78"/>
      <c r="AS663" s="78"/>
      <c r="AT663" s="78"/>
      <c r="AU663" s="78"/>
      <c r="AV663" s="78"/>
      <c r="AW663" s="78"/>
      <c r="AX663" s="78"/>
      <c r="AY663" s="78"/>
      <c r="AZ663" s="78"/>
      <c r="BA663" s="78"/>
      <c r="BB663" s="78"/>
      <c r="BC663" s="78"/>
    </row>
    <row r="664">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c r="AA664" s="78"/>
      <c r="AB664" s="78"/>
      <c r="AC664" s="78"/>
      <c r="AD664" s="78"/>
      <c r="AE664" s="78"/>
      <c r="AF664" s="78"/>
      <c r="AG664" s="78"/>
      <c r="AH664" s="78"/>
      <c r="AI664" s="78"/>
      <c r="AJ664" s="78"/>
      <c r="AK664" s="78"/>
      <c r="AL664" s="78"/>
      <c r="AM664" s="78"/>
      <c r="AN664" s="78"/>
      <c r="AO664" s="78"/>
      <c r="AP664" s="78"/>
      <c r="AQ664" s="78"/>
      <c r="AR664" s="78"/>
      <c r="AS664" s="78"/>
      <c r="AT664" s="78"/>
      <c r="AU664" s="78"/>
      <c r="AV664" s="78"/>
      <c r="AW664" s="78"/>
      <c r="AX664" s="78"/>
      <c r="AY664" s="78"/>
      <c r="AZ664" s="78"/>
      <c r="BA664" s="78"/>
      <c r="BB664" s="78"/>
      <c r="BC664" s="78"/>
    </row>
    <row r="665">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c r="AA665" s="78"/>
      <c r="AB665" s="78"/>
      <c r="AC665" s="78"/>
      <c r="AD665" s="78"/>
      <c r="AE665" s="78"/>
      <c r="AF665" s="78"/>
      <c r="AG665" s="78"/>
      <c r="AH665" s="78"/>
      <c r="AI665" s="78"/>
      <c r="AJ665" s="78"/>
      <c r="AK665" s="78"/>
      <c r="AL665" s="78"/>
      <c r="AM665" s="78"/>
      <c r="AN665" s="78"/>
      <c r="AO665" s="78"/>
      <c r="AP665" s="78"/>
      <c r="AQ665" s="78"/>
      <c r="AR665" s="78"/>
      <c r="AS665" s="78"/>
      <c r="AT665" s="78"/>
      <c r="AU665" s="78"/>
      <c r="AV665" s="78"/>
      <c r="AW665" s="78"/>
      <c r="AX665" s="78"/>
      <c r="AY665" s="78"/>
      <c r="AZ665" s="78"/>
      <c r="BA665" s="78"/>
      <c r="BB665" s="78"/>
      <c r="BC665" s="78"/>
    </row>
    <row r="666">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c r="AA666" s="78"/>
      <c r="AB666" s="78"/>
      <c r="AC666" s="78"/>
      <c r="AD666" s="78"/>
      <c r="AE666" s="78"/>
      <c r="AF666" s="78"/>
      <c r="AG666" s="78"/>
      <c r="AH666" s="78"/>
      <c r="AI666" s="78"/>
      <c r="AJ666" s="78"/>
      <c r="AK666" s="78"/>
      <c r="AL666" s="78"/>
      <c r="AM666" s="78"/>
      <c r="AN666" s="78"/>
      <c r="AO666" s="78"/>
      <c r="AP666" s="78"/>
      <c r="AQ666" s="78"/>
      <c r="AR666" s="78"/>
      <c r="AS666" s="78"/>
      <c r="AT666" s="78"/>
      <c r="AU666" s="78"/>
      <c r="AV666" s="78"/>
      <c r="AW666" s="78"/>
      <c r="AX666" s="78"/>
      <c r="AY666" s="78"/>
      <c r="AZ666" s="78"/>
      <c r="BA666" s="78"/>
      <c r="BB666" s="78"/>
      <c r="BC666" s="78"/>
    </row>
    <row r="667">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c r="AA667" s="78"/>
      <c r="AB667" s="78"/>
      <c r="AC667" s="78"/>
      <c r="AD667" s="78"/>
      <c r="AE667" s="78"/>
      <c r="AF667" s="78"/>
      <c r="AG667" s="78"/>
      <c r="AH667" s="78"/>
      <c r="AI667" s="78"/>
      <c r="AJ667" s="78"/>
      <c r="AK667" s="78"/>
      <c r="AL667" s="78"/>
      <c r="AM667" s="78"/>
      <c r="AN667" s="78"/>
      <c r="AO667" s="78"/>
      <c r="AP667" s="78"/>
      <c r="AQ667" s="78"/>
      <c r="AR667" s="78"/>
      <c r="AS667" s="78"/>
      <c r="AT667" s="78"/>
      <c r="AU667" s="78"/>
      <c r="AV667" s="78"/>
      <c r="AW667" s="78"/>
      <c r="AX667" s="78"/>
      <c r="AY667" s="78"/>
      <c r="AZ667" s="78"/>
      <c r="BA667" s="78"/>
      <c r="BB667" s="78"/>
      <c r="BC667" s="78"/>
    </row>
    <row r="668">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c r="AA668" s="78"/>
      <c r="AB668" s="78"/>
      <c r="AC668" s="78"/>
      <c r="AD668" s="78"/>
      <c r="AE668" s="78"/>
      <c r="AF668" s="78"/>
      <c r="AG668" s="78"/>
      <c r="AH668" s="78"/>
      <c r="AI668" s="78"/>
      <c r="AJ668" s="78"/>
      <c r="AK668" s="78"/>
      <c r="AL668" s="78"/>
      <c r="AM668" s="78"/>
      <c r="AN668" s="78"/>
      <c r="AO668" s="78"/>
      <c r="AP668" s="78"/>
      <c r="AQ668" s="78"/>
      <c r="AR668" s="78"/>
      <c r="AS668" s="78"/>
      <c r="AT668" s="78"/>
      <c r="AU668" s="78"/>
      <c r="AV668" s="78"/>
      <c r="AW668" s="78"/>
      <c r="AX668" s="78"/>
      <c r="AY668" s="78"/>
      <c r="AZ668" s="78"/>
      <c r="BA668" s="78"/>
      <c r="BB668" s="78"/>
      <c r="BC668" s="78"/>
    </row>
    <row r="669">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c r="AA669" s="78"/>
      <c r="AB669" s="78"/>
      <c r="AC669" s="78"/>
      <c r="AD669" s="78"/>
      <c r="AE669" s="78"/>
      <c r="AF669" s="78"/>
      <c r="AG669" s="78"/>
      <c r="AH669" s="78"/>
      <c r="AI669" s="78"/>
      <c r="AJ669" s="78"/>
      <c r="AK669" s="78"/>
      <c r="AL669" s="78"/>
      <c r="AM669" s="78"/>
      <c r="AN669" s="78"/>
      <c r="AO669" s="78"/>
      <c r="AP669" s="78"/>
      <c r="AQ669" s="78"/>
      <c r="AR669" s="78"/>
      <c r="AS669" s="78"/>
      <c r="AT669" s="78"/>
      <c r="AU669" s="78"/>
      <c r="AV669" s="78"/>
      <c r="AW669" s="78"/>
      <c r="AX669" s="78"/>
      <c r="AY669" s="78"/>
      <c r="AZ669" s="78"/>
      <c r="BA669" s="78"/>
      <c r="BB669" s="78"/>
      <c r="BC669" s="78"/>
    </row>
    <row r="670">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c r="AA670" s="78"/>
      <c r="AB670" s="78"/>
      <c r="AC670" s="78"/>
      <c r="AD670" s="78"/>
      <c r="AE670" s="78"/>
      <c r="AF670" s="78"/>
      <c r="AG670" s="78"/>
      <c r="AH670" s="78"/>
      <c r="AI670" s="78"/>
      <c r="AJ670" s="78"/>
      <c r="AK670" s="78"/>
      <c r="AL670" s="78"/>
      <c r="AM670" s="78"/>
      <c r="AN670" s="78"/>
      <c r="AO670" s="78"/>
      <c r="AP670" s="78"/>
      <c r="AQ670" s="78"/>
      <c r="AR670" s="78"/>
      <c r="AS670" s="78"/>
      <c r="AT670" s="78"/>
      <c r="AU670" s="78"/>
      <c r="AV670" s="78"/>
      <c r="AW670" s="78"/>
      <c r="AX670" s="78"/>
      <c r="AY670" s="78"/>
      <c r="AZ670" s="78"/>
      <c r="BA670" s="78"/>
      <c r="BB670" s="78"/>
      <c r="BC670" s="78"/>
    </row>
    <row r="671">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c r="AA671" s="78"/>
      <c r="AB671" s="78"/>
      <c r="AC671" s="78"/>
      <c r="AD671" s="78"/>
      <c r="AE671" s="78"/>
      <c r="AF671" s="78"/>
      <c r="AG671" s="78"/>
      <c r="AH671" s="78"/>
      <c r="AI671" s="78"/>
      <c r="AJ671" s="78"/>
      <c r="AK671" s="78"/>
      <c r="AL671" s="78"/>
      <c r="AM671" s="78"/>
      <c r="AN671" s="78"/>
      <c r="AO671" s="78"/>
      <c r="AP671" s="78"/>
      <c r="AQ671" s="78"/>
      <c r="AR671" s="78"/>
      <c r="AS671" s="78"/>
      <c r="AT671" s="78"/>
      <c r="AU671" s="78"/>
      <c r="AV671" s="78"/>
      <c r="AW671" s="78"/>
      <c r="AX671" s="78"/>
      <c r="AY671" s="78"/>
      <c r="AZ671" s="78"/>
      <c r="BA671" s="78"/>
      <c r="BB671" s="78"/>
      <c r="BC671" s="78"/>
    </row>
    <row r="672">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c r="AA672" s="78"/>
      <c r="AB672" s="78"/>
      <c r="AC672" s="78"/>
      <c r="AD672" s="78"/>
      <c r="AE672" s="78"/>
      <c r="AF672" s="78"/>
      <c r="AG672" s="78"/>
      <c r="AH672" s="78"/>
      <c r="AI672" s="78"/>
      <c r="AJ672" s="78"/>
      <c r="AK672" s="78"/>
      <c r="AL672" s="78"/>
      <c r="AM672" s="78"/>
      <c r="AN672" s="78"/>
      <c r="AO672" s="78"/>
      <c r="AP672" s="78"/>
      <c r="AQ672" s="78"/>
      <c r="AR672" s="78"/>
      <c r="AS672" s="78"/>
      <c r="AT672" s="78"/>
      <c r="AU672" s="78"/>
      <c r="AV672" s="78"/>
      <c r="AW672" s="78"/>
      <c r="AX672" s="78"/>
      <c r="AY672" s="78"/>
      <c r="AZ672" s="78"/>
      <c r="BA672" s="78"/>
      <c r="BB672" s="78"/>
      <c r="BC672" s="78"/>
    </row>
    <row r="673">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c r="AA673" s="78"/>
      <c r="AB673" s="78"/>
      <c r="AC673" s="78"/>
      <c r="AD673" s="78"/>
      <c r="AE673" s="78"/>
      <c r="AF673" s="78"/>
      <c r="AG673" s="78"/>
      <c r="AH673" s="78"/>
      <c r="AI673" s="78"/>
      <c r="AJ673" s="78"/>
      <c r="AK673" s="78"/>
      <c r="AL673" s="78"/>
      <c r="AM673" s="78"/>
      <c r="AN673" s="78"/>
      <c r="AO673" s="78"/>
      <c r="AP673" s="78"/>
      <c r="AQ673" s="78"/>
      <c r="AR673" s="78"/>
      <c r="AS673" s="78"/>
      <c r="AT673" s="78"/>
      <c r="AU673" s="78"/>
      <c r="AV673" s="78"/>
      <c r="AW673" s="78"/>
      <c r="AX673" s="78"/>
      <c r="AY673" s="78"/>
      <c r="AZ673" s="78"/>
      <c r="BA673" s="78"/>
      <c r="BB673" s="78"/>
      <c r="BC673" s="78"/>
    </row>
    <row r="674">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c r="AA674" s="78"/>
      <c r="AB674" s="78"/>
      <c r="AC674" s="78"/>
      <c r="AD674" s="78"/>
      <c r="AE674" s="78"/>
      <c r="AF674" s="78"/>
      <c r="AG674" s="78"/>
      <c r="AH674" s="78"/>
      <c r="AI674" s="78"/>
      <c r="AJ674" s="78"/>
      <c r="AK674" s="78"/>
      <c r="AL674" s="78"/>
      <c r="AM674" s="78"/>
      <c r="AN674" s="78"/>
      <c r="AO674" s="78"/>
      <c r="AP674" s="78"/>
      <c r="AQ674" s="78"/>
      <c r="AR674" s="78"/>
      <c r="AS674" s="78"/>
      <c r="AT674" s="78"/>
      <c r="AU674" s="78"/>
      <c r="AV674" s="78"/>
      <c r="AW674" s="78"/>
      <c r="AX674" s="78"/>
      <c r="AY674" s="78"/>
      <c r="AZ674" s="78"/>
      <c r="BA674" s="78"/>
      <c r="BB674" s="78"/>
      <c r="BC674" s="78"/>
    </row>
    <row r="675">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c r="AA675" s="78"/>
      <c r="AB675" s="78"/>
      <c r="AC675" s="78"/>
      <c r="AD675" s="78"/>
      <c r="AE675" s="78"/>
      <c r="AF675" s="78"/>
      <c r="AG675" s="78"/>
      <c r="AH675" s="78"/>
      <c r="AI675" s="78"/>
      <c r="AJ675" s="78"/>
      <c r="AK675" s="78"/>
      <c r="AL675" s="78"/>
      <c r="AM675" s="78"/>
      <c r="AN675" s="78"/>
      <c r="AO675" s="78"/>
      <c r="AP675" s="78"/>
      <c r="AQ675" s="78"/>
      <c r="AR675" s="78"/>
      <c r="AS675" s="78"/>
      <c r="AT675" s="78"/>
      <c r="AU675" s="78"/>
      <c r="AV675" s="78"/>
      <c r="AW675" s="78"/>
      <c r="AX675" s="78"/>
      <c r="AY675" s="78"/>
      <c r="AZ675" s="78"/>
      <c r="BA675" s="78"/>
      <c r="BB675" s="78"/>
      <c r="BC675" s="78"/>
    </row>
    <row r="676">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c r="AA676" s="78"/>
      <c r="AB676" s="78"/>
      <c r="AC676" s="78"/>
      <c r="AD676" s="78"/>
      <c r="AE676" s="78"/>
      <c r="AF676" s="78"/>
      <c r="AG676" s="78"/>
      <c r="AH676" s="78"/>
      <c r="AI676" s="78"/>
      <c r="AJ676" s="78"/>
      <c r="AK676" s="78"/>
      <c r="AL676" s="78"/>
      <c r="AM676" s="78"/>
      <c r="AN676" s="78"/>
      <c r="AO676" s="78"/>
      <c r="AP676" s="78"/>
      <c r="AQ676" s="78"/>
      <c r="AR676" s="78"/>
      <c r="AS676" s="78"/>
      <c r="AT676" s="78"/>
      <c r="AU676" s="78"/>
      <c r="AV676" s="78"/>
      <c r="AW676" s="78"/>
      <c r="AX676" s="78"/>
      <c r="AY676" s="78"/>
      <c r="AZ676" s="78"/>
      <c r="BA676" s="78"/>
      <c r="BB676" s="78"/>
      <c r="BC676" s="78"/>
    </row>
    <row r="677">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c r="AA677" s="78"/>
      <c r="AB677" s="78"/>
      <c r="AC677" s="78"/>
      <c r="AD677" s="78"/>
      <c r="AE677" s="78"/>
      <c r="AF677" s="78"/>
      <c r="AG677" s="78"/>
      <c r="AH677" s="78"/>
      <c r="AI677" s="78"/>
      <c r="AJ677" s="78"/>
      <c r="AK677" s="78"/>
      <c r="AL677" s="78"/>
      <c r="AM677" s="78"/>
      <c r="AN677" s="78"/>
      <c r="AO677" s="78"/>
      <c r="AP677" s="78"/>
      <c r="AQ677" s="78"/>
      <c r="AR677" s="78"/>
      <c r="AS677" s="78"/>
      <c r="AT677" s="78"/>
      <c r="AU677" s="78"/>
      <c r="AV677" s="78"/>
      <c r="AW677" s="78"/>
      <c r="AX677" s="78"/>
      <c r="AY677" s="78"/>
      <c r="AZ677" s="78"/>
      <c r="BA677" s="78"/>
      <c r="BB677" s="78"/>
      <c r="BC677" s="78"/>
    </row>
    <row r="678">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c r="AA678" s="78"/>
      <c r="AB678" s="78"/>
      <c r="AC678" s="78"/>
      <c r="AD678" s="78"/>
      <c r="AE678" s="78"/>
      <c r="AF678" s="78"/>
      <c r="AG678" s="78"/>
      <c r="AH678" s="78"/>
      <c r="AI678" s="78"/>
      <c r="AJ678" s="78"/>
      <c r="AK678" s="78"/>
      <c r="AL678" s="78"/>
      <c r="AM678" s="78"/>
      <c r="AN678" s="78"/>
      <c r="AO678" s="78"/>
      <c r="AP678" s="78"/>
      <c r="AQ678" s="78"/>
      <c r="AR678" s="78"/>
      <c r="AS678" s="78"/>
      <c r="AT678" s="78"/>
      <c r="AU678" s="78"/>
      <c r="AV678" s="78"/>
      <c r="AW678" s="78"/>
      <c r="AX678" s="78"/>
      <c r="AY678" s="78"/>
      <c r="AZ678" s="78"/>
      <c r="BA678" s="78"/>
      <c r="BB678" s="78"/>
      <c r="BC678" s="78"/>
    </row>
    <row r="679">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c r="AA679" s="78"/>
      <c r="AB679" s="78"/>
      <c r="AC679" s="78"/>
      <c r="AD679" s="78"/>
      <c r="AE679" s="78"/>
      <c r="AF679" s="78"/>
      <c r="AG679" s="78"/>
      <c r="AH679" s="78"/>
      <c r="AI679" s="78"/>
      <c r="AJ679" s="78"/>
      <c r="AK679" s="78"/>
      <c r="AL679" s="78"/>
      <c r="AM679" s="78"/>
      <c r="AN679" s="78"/>
      <c r="AO679" s="78"/>
      <c r="AP679" s="78"/>
      <c r="AQ679" s="78"/>
      <c r="AR679" s="78"/>
      <c r="AS679" s="78"/>
      <c r="AT679" s="78"/>
      <c r="AU679" s="78"/>
      <c r="AV679" s="78"/>
      <c r="AW679" s="78"/>
      <c r="AX679" s="78"/>
      <c r="AY679" s="78"/>
      <c r="AZ679" s="78"/>
      <c r="BA679" s="78"/>
      <c r="BB679" s="78"/>
      <c r="BC679" s="78"/>
    </row>
    <row r="680">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c r="AA680" s="78"/>
      <c r="AB680" s="78"/>
      <c r="AC680" s="78"/>
      <c r="AD680" s="78"/>
      <c r="AE680" s="78"/>
      <c r="AF680" s="78"/>
      <c r="AG680" s="78"/>
      <c r="AH680" s="78"/>
      <c r="AI680" s="78"/>
      <c r="AJ680" s="78"/>
      <c r="AK680" s="78"/>
      <c r="AL680" s="78"/>
      <c r="AM680" s="78"/>
      <c r="AN680" s="78"/>
      <c r="AO680" s="78"/>
      <c r="AP680" s="78"/>
      <c r="AQ680" s="78"/>
      <c r="AR680" s="78"/>
      <c r="AS680" s="78"/>
      <c r="AT680" s="78"/>
      <c r="AU680" s="78"/>
      <c r="AV680" s="78"/>
      <c r="AW680" s="78"/>
      <c r="AX680" s="78"/>
      <c r="AY680" s="78"/>
      <c r="AZ680" s="78"/>
      <c r="BA680" s="78"/>
      <c r="BB680" s="78"/>
      <c r="BC680" s="78"/>
    </row>
    <row r="681">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c r="AA681" s="78"/>
      <c r="AB681" s="78"/>
      <c r="AC681" s="78"/>
      <c r="AD681" s="78"/>
      <c r="AE681" s="78"/>
      <c r="AF681" s="78"/>
      <c r="AG681" s="78"/>
      <c r="AH681" s="78"/>
      <c r="AI681" s="78"/>
      <c r="AJ681" s="78"/>
      <c r="AK681" s="78"/>
      <c r="AL681" s="78"/>
      <c r="AM681" s="78"/>
      <c r="AN681" s="78"/>
      <c r="AO681" s="78"/>
      <c r="AP681" s="78"/>
      <c r="AQ681" s="78"/>
      <c r="AR681" s="78"/>
      <c r="AS681" s="78"/>
      <c r="AT681" s="78"/>
      <c r="AU681" s="78"/>
      <c r="AV681" s="78"/>
      <c r="AW681" s="78"/>
      <c r="AX681" s="78"/>
      <c r="AY681" s="78"/>
      <c r="AZ681" s="78"/>
      <c r="BA681" s="78"/>
      <c r="BB681" s="78"/>
      <c r="BC681" s="78"/>
    </row>
    <row r="682">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c r="AA682" s="78"/>
      <c r="AB682" s="78"/>
      <c r="AC682" s="78"/>
      <c r="AD682" s="78"/>
      <c r="AE682" s="78"/>
      <c r="AF682" s="78"/>
      <c r="AG682" s="78"/>
      <c r="AH682" s="78"/>
      <c r="AI682" s="78"/>
      <c r="AJ682" s="78"/>
      <c r="AK682" s="78"/>
      <c r="AL682" s="78"/>
      <c r="AM682" s="78"/>
      <c r="AN682" s="78"/>
      <c r="AO682" s="78"/>
      <c r="AP682" s="78"/>
      <c r="AQ682" s="78"/>
      <c r="AR682" s="78"/>
      <c r="AS682" s="78"/>
      <c r="AT682" s="78"/>
      <c r="AU682" s="78"/>
      <c r="AV682" s="78"/>
      <c r="AW682" s="78"/>
      <c r="AX682" s="78"/>
      <c r="AY682" s="78"/>
      <c r="AZ682" s="78"/>
      <c r="BA682" s="78"/>
      <c r="BB682" s="78"/>
      <c r="BC682" s="78"/>
    </row>
    <row r="683">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c r="AA683" s="78"/>
      <c r="AB683" s="78"/>
      <c r="AC683" s="78"/>
      <c r="AD683" s="78"/>
      <c r="AE683" s="78"/>
      <c r="AF683" s="78"/>
      <c r="AG683" s="78"/>
      <c r="AH683" s="78"/>
      <c r="AI683" s="78"/>
      <c r="AJ683" s="78"/>
      <c r="AK683" s="78"/>
      <c r="AL683" s="78"/>
      <c r="AM683" s="78"/>
      <c r="AN683" s="78"/>
      <c r="AO683" s="78"/>
      <c r="AP683" s="78"/>
      <c r="AQ683" s="78"/>
      <c r="AR683" s="78"/>
      <c r="AS683" s="78"/>
      <c r="AT683" s="78"/>
      <c r="AU683" s="78"/>
      <c r="AV683" s="78"/>
      <c r="AW683" s="78"/>
      <c r="AX683" s="78"/>
      <c r="AY683" s="78"/>
      <c r="AZ683" s="78"/>
      <c r="BA683" s="78"/>
      <c r="BB683" s="78"/>
      <c r="BC683" s="78"/>
    </row>
    <row r="684">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c r="AA684" s="78"/>
      <c r="AB684" s="78"/>
      <c r="AC684" s="78"/>
      <c r="AD684" s="78"/>
      <c r="AE684" s="78"/>
      <c r="AF684" s="78"/>
      <c r="AG684" s="78"/>
      <c r="AH684" s="78"/>
      <c r="AI684" s="78"/>
      <c r="AJ684" s="78"/>
      <c r="AK684" s="78"/>
      <c r="AL684" s="78"/>
      <c r="AM684" s="78"/>
      <c r="AN684" s="78"/>
      <c r="AO684" s="78"/>
      <c r="AP684" s="78"/>
      <c r="AQ684" s="78"/>
      <c r="AR684" s="78"/>
      <c r="AS684" s="78"/>
      <c r="AT684" s="78"/>
      <c r="AU684" s="78"/>
      <c r="AV684" s="78"/>
      <c r="AW684" s="78"/>
      <c r="AX684" s="78"/>
      <c r="AY684" s="78"/>
      <c r="AZ684" s="78"/>
      <c r="BA684" s="78"/>
      <c r="BB684" s="78"/>
      <c r="BC684" s="78"/>
    </row>
    <row r="685">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c r="AA685" s="78"/>
      <c r="AB685" s="78"/>
      <c r="AC685" s="78"/>
      <c r="AD685" s="78"/>
      <c r="AE685" s="78"/>
      <c r="AF685" s="78"/>
      <c r="AG685" s="78"/>
      <c r="AH685" s="78"/>
      <c r="AI685" s="78"/>
      <c r="AJ685" s="78"/>
      <c r="AK685" s="78"/>
      <c r="AL685" s="78"/>
      <c r="AM685" s="78"/>
      <c r="AN685" s="78"/>
      <c r="AO685" s="78"/>
      <c r="AP685" s="78"/>
      <c r="AQ685" s="78"/>
      <c r="AR685" s="78"/>
      <c r="AS685" s="78"/>
      <c r="AT685" s="78"/>
      <c r="AU685" s="78"/>
      <c r="AV685" s="78"/>
      <c r="AW685" s="78"/>
      <c r="AX685" s="78"/>
      <c r="AY685" s="78"/>
      <c r="AZ685" s="78"/>
      <c r="BA685" s="78"/>
      <c r="BB685" s="78"/>
      <c r="BC685" s="78"/>
    </row>
    <row r="686">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c r="AA686" s="78"/>
      <c r="AB686" s="78"/>
      <c r="AC686" s="78"/>
      <c r="AD686" s="78"/>
      <c r="AE686" s="78"/>
      <c r="AF686" s="78"/>
      <c r="AG686" s="78"/>
      <c r="AH686" s="78"/>
      <c r="AI686" s="78"/>
      <c r="AJ686" s="78"/>
      <c r="AK686" s="78"/>
      <c r="AL686" s="78"/>
      <c r="AM686" s="78"/>
      <c r="AN686" s="78"/>
      <c r="AO686" s="78"/>
      <c r="AP686" s="78"/>
      <c r="AQ686" s="78"/>
      <c r="AR686" s="78"/>
      <c r="AS686" s="78"/>
      <c r="AT686" s="78"/>
      <c r="AU686" s="78"/>
      <c r="AV686" s="78"/>
      <c r="AW686" s="78"/>
      <c r="AX686" s="78"/>
      <c r="AY686" s="78"/>
      <c r="AZ686" s="78"/>
      <c r="BA686" s="78"/>
      <c r="BB686" s="78"/>
      <c r="BC686" s="78"/>
    </row>
    <row r="687">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c r="AA687" s="78"/>
      <c r="AB687" s="78"/>
      <c r="AC687" s="78"/>
      <c r="AD687" s="78"/>
      <c r="AE687" s="78"/>
      <c r="AF687" s="78"/>
      <c r="AG687" s="78"/>
      <c r="AH687" s="78"/>
      <c r="AI687" s="78"/>
      <c r="AJ687" s="78"/>
      <c r="AK687" s="78"/>
      <c r="AL687" s="78"/>
      <c r="AM687" s="78"/>
      <c r="AN687" s="78"/>
      <c r="AO687" s="78"/>
      <c r="AP687" s="78"/>
      <c r="AQ687" s="78"/>
      <c r="AR687" s="78"/>
      <c r="AS687" s="78"/>
      <c r="AT687" s="78"/>
      <c r="AU687" s="78"/>
      <c r="AV687" s="78"/>
      <c r="AW687" s="78"/>
      <c r="AX687" s="78"/>
      <c r="AY687" s="78"/>
      <c r="AZ687" s="78"/>
      <c r="BA687" s="78"/>
      <c r="BB687" s="78"/>
      <c r="BC687" s="78"/>
    </row>
    <row r="688">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c r="AA688" s="78"/>
      <c r="AB688" s="78"/>
      <c r="AC688" s="78"/>
      <c r="AD688" s="78"/>
      <c r="AE688" s="78"/>
      <c r="AF688" s="78"/>
      <c r="AG688" s="78"/>
      <c r="AH688" s="78"/>
      <c r="AI688" s="78"/>
      <c r="AJ688" s="78"/>
      <c r="AK688" s="78"/>
      <c r="AL688" s="78"/>
      <c r="AM688" s="78"/>
      <c r="AN688" s="78"/>
      <c r="AO688" s="78"/>
      <c r="AP688" s="78"/>
      <c r="AQ688" s="78"/>
      <c r="AR688" s="78"/>
      <c r="AS688" s="78"/>
      <c r="AT688" s="78"/>
      <c r="AU688" s="78"/>
      <c r="AV688" s="78"/>
      <c r="AW688" s="78"/>
      <c r="AX688" s="78"/>
      <c r="AY688" s="78"/>
      <c r="AZ688" s="78"/>
      <c r="BA688" s="78"/>
      <c r="BB688" s="78"/>
      <c r="BC688" s="78"/>
    </row>
    <row r="689">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c r="AA689" s="78"/>
      <c r="AB689" s="78"/>
      <c r="AC689" s="78"/>
      <c r="AD689" s="78"/>
      <c r="AE689" s="78"/>
      <c r="AF689" s="78"/>
      <c r="AG689" s="78"/>
      <c r="AH689" s="78"/>
      <c r="AI689" s="78"/>
      <c r="AJ689" s="78"/>
      <c r="AK689" s="78"/>
      <c r="AL689" s="78"/>
      <c r="AM689" s="78"/>
      <c r="AN689" s="78"/>
      <c r="AO689" s="78"/>
      <c r="AP689" s="78"/>
      <c r="AQ689" s="78"/>
      <c r="AR689" s="78"/>
      <c r="AS689" s="78"/>
      <c r="AT689" s="78"/>
      <c r="AU689" s="78"/>
      <c r="AV689" s="78"/>
      <c r="AW689" s="78"/>
      <c r="AX689" s="78"/>
      <c r="AY689" s="78"/>
      <c r="AZ689" s="78"/>
      <c r="BA689" s="78"/>
      <c r="BB689" s="78"/>
      <c r="BC689" s="78"/>
    </row>
    <row r="690">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c r="AA690" s="78"/>
      <c r="AB690" s="78"/>
      <c r="AC690" s="78"/>
      <c r="AD690" s="78"/>
      <c r="AE690" s="78"/>
      <c r="AF690" s="78"/>
      <c r="AG690" s="78"/>
      <c r="AH690" s="78"/>
      <c r="AI690" s="78"/>
      <c r="AJ690" s="78"/>
      <c r="AK690" s="78"/>
      <c r="AL690" s="78"/>
      <c r="AM690" s="78"/>
      <c r="AN690" s="78"/>
      <c r="AO690" s="78"/>
      <c r="AP690" s="78"/>
      <c r="AQ690" s="78"/>
      <c r="AR690" s="78"/>
      <c r="AS690" s="78"/>
      <c r="AT690" s="78"/>
      <c r="AU690" s="78"/>
      <c r="AV690" s="78"/>
      <c r="AW690" s="78"/>
      <c r="AX690" s="78"/>
      <c r="AY690" s="78"/>
      <c r="AZ690" s="78"/>
      <c r="BA690" s="78"/>
      <c r="BB690" s="78"/>
      <c r="BC690" s="78"/>
    </row>
    <row r="691">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c r="AA691" s="78"/>
      <c r="AB691" s="78"/>
      <c r="AC691" s="78"/>
      <c r="AD691" s="78"/>
      <c r="AE691" s="78"/>
      <c r="AF691" s="78"/>
      <c r="AG691" s="78"/>
      <c r="AH691" s="78"/>
      <c r="AI691" s="78"/>
      <c r="AJ691" s="78"/>
      <c r="AK691" s="78"/>
      <c r="AL691" s="78"/>
      <c r="AM691" s="78"/>
      <c r="AN691" s="78"/>
      <c r="AO691" s="78"/>
      <c r="AP691" s="78"/>
      <c r="AQ691" s="78"/>
      <c r="AR691" s="78"/>
      <c r="AS691" s="78"/>
      <c r="AT691" s="78"/>
      <c r="AU691" s="78"/>
      <c r="AV691" s="78"/>
      <c r="AW691" s="78"/>
      <c r="AX691" s="78"/>
      <c r="AY691" s="78"/>
      <c r="AZ691" s="78"/>
      <c r="BA691" s="78"/>
      <c r="BB691" s="78"/>
      <c r="BC691" s="78"/>
    </row>
    <row r="692">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c r="AA692" s="78"/>
      <c r="AB692" s="78"/>
      <c r="AC692" s="78"/>
      <c r="AD692" s="78"/>
      <c r="AE692" s="78"/>
      <c r="AF692" s="78"/>
      <c r="AG692" s="78"/>
      <c r="AH692" s="78"/>
      <c r="AI692" s="78"/>
      <c r="AJ692" s="78"/>
      <c r="AK692" s="78"/>
      <c r="AL692" s="78"/>
      <c r="AM692" s="78"/>
      <c r="AN692" s="78"/>
      <c r="AO692" s="78"/>
      <c r="AP692" s="78"/>
      <c r="AQ692" s="78"/>
      <c r="AR692" s="78"/>
      <c r="AS692" s="78"/>
      <c r="AT692" s="78"/>
      <c r="AU692" s="78"/>
      <c r="AV692" s="78"/>
      <c r="AW692" s="78"/>
      <c r="AX692" s="78"/>
      <c r="AY692" s="78"/>
      <c r="AZ692" s="78"/>
      <c r="BA692" s="78"/>
      <c r="BB692" s="78"/>
      <c r="BC692" s="78"/>
    </row>
    <row r="693">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c r="AA693" s="78"/>
      <c r="AB693" s="78"/>
      <c r="AC693" s="78"/>
      <c r="AD693" s="78"/>
      <c r="AE693" s="78"/>
      <c r="AF693" s="78"/>
      <c r="AG693" s="78"/>
      <c r="AH693" s="78"/>
      <c r="AI693" s="78"/>
      <c r="AJ693" s="78"/>
      <c r="AK693" s="78"/>
      <c r="AL693" s="78"/>
      <c r="AM693" s="78"/>
      <c r="AN693" s="78"/>
      <c r="AO693" s="78"/>
      <c r="AP693" s="78"/>
      <c r="AQ693" s="78"/>
      <c r="AR693" s="78"/>
      <c r="AS693" s="78"/>
      <c r="AT693" s="78"/>
      <c r="AU693" s="78"/>
      <c r="AV693" s="78"/>
      <c r="AW693" s="78"/>
      <c r="AX693" s="78"/>
      <c r="AY693" s="78"/>
      <c r="AZ693" s="78"/>
      <c r="BA693" s="78"/>
      <c r="BB693" s="78"/>
      <c r="BC693" s="78"/>
    </row>
    <row r="694">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c r="AA694" s="78"/>
      <c r="AB694" s="78"/>
      <c r="AC694" s="78"/>
      <c r="AD694" s="78"/>
      <c r="AE694" s="78"/>
      <c r="AF694" s="78"/>
      <c r="AG694" s="78"/>
      <c r="AH694" s="78"/>
      <c r="AI694" s="78"/>
      <c r="AJ694" s="78"/>
      <c r="AK694" s="78"/>
      <c r="AL694" s="78"/>
      <c r="AM694" s="78"/>
      <c r="AN694" s="78"/>
      <c r="AO694" s="78"/>
      <c r="AP694" s="78"/>
      <c r="AQ694" s="78"/>
      <c r="AR694" s="78"/>
      <c r="AS694" s="78"/>
      <c r="AT694" s="78"/>
      <c r="AU694" s="78"/>
      <c r="AV694" s="78"/>
      <c r="AW694" s="78"/>
      <c r="AX694" s="78"/>
      <c r="AY694" s="78"/>
      <c r="AZ694" s="78"/>
      <c r="BA694" s="78"/>
      <c r="BB694" s="78"/>
      <c r="BC694" s="78"/>
    </row>
    <row r="695">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c r="AA695" s="78"/>
      <c r="AB695" s="78"/>
      <c r="AC695" s="78"/>
      <c r="AD695" s="78"/>
      <c r="AE695" s="78"/>
      <c r="AF695" s="78"/>
      <c r="AG695" s="78"/>
      <c r="AH695" s="78"/>
      <c r="AI695" s="78"/>
      <c r="AJ695" s="78"/>
      <c r="AK695" s="78"/>
      <c r="AL695" s="78"/>
      <c r="AM695" s="78"/>
      <c r="AN695" s="78"/>
      <c r="AO695" s="78"/>
      <c r="AP695" s="78"/>
      <c r="AQ695" s="78"/>
      <c r="AR695" s="78"/>
      <c r="AS695" s="78"/>
      <c r="AT695" s="78"/>
      <c r="AU695" s="78"/>
      <c r="AV695" s="78"/>
      <c r="AW695" s="78"/>
      <c r="AX695" s="78"/>
      <c r="AY695" s="78"/>
      <c r="AZ695" s="78"/>
      <c r="BA695" s="78"/>
      <c r="BB695" s="78"/>
      <c r="BC695" s="78"/>
    </row>
    <row r="696">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c r="AA696" s="78"/>
      <c r="AB696" s="78"/>
      <c r="AC696" s="78"/>
      <c r="AD696" s="78"/>
      <c r="AE696" s="78"/>
      <c r="AF696" s="78"/>
      <c r="AG696" s="78"/>
      <c r="AH696" s="78"/>
      <c r="AI696" s="78"/>
      <c r="AJ696" s="78"/>
      <c r="AK696" s="78"/>
      <c r="AL696" s="78"/>
      <c r="AM696" s="78"/>
      <c r="AN696" s="78"/>
      <c r="AO696" s="78"/>
      <c r="AP696" s="78"/>
      <c r="AQ696" s="78"/>
      <c r="AR696" s="78"/>
      <c r="AS696" s="78"/>
      <c r="AT696" s="78"/>
      <c r="AU696" s="78"/>
      <c r="AV696" s="78"/>
      <c r="AW696" s="78"/>
      <c r="AX696" s="78"/>
      <c r="AY696" s="78"/>
      <c r="AZ696" s="78"/>
      <c r="BA696" s="78"/>
      <c r="BB696" s="78"/>
      <c r="BC696" s="78"/>
    </row>
    <row r="697">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c r="AA697" s="78"/>
      <c r="AB697" s="78"/>
      <c r="AC697" s="78"/>
      <c r="AD697" s="78"/>
      <c r="AE697" s="78"/>
      <c r="AF697" s="78"/>
      <c r="AG697" s="78"/>
      <c r="AH697" s="78"/>
      <c r="AI697" s="78"/>
      <c r="AJ697" s="78"/>
      <c r="AK697" s="78"/>
      <c r="AL697" s="78"/>
      <c r="AM697" s="78"/>
      <c r="AN697" s="78"/>
      <c r="AO697" s="78"/>
      <c r="AP697" s="78"/>
      <c r="AQ697" s="78"/>
      <c r="AR697" s="78"/>
      <c r="AS697" s="78"/>
      <c r="AT697" s="78"/>
      <c r="AU697" s="78"/>
      <c r="AV697" s="78"/>
      <c r="AW697" s="78"/>
      <c r="AX697" s="78"/>
      <c r="AY697" s="78"/>
      <c r="AZ697" s="78"/>
      <c r="BA697" s="78"/>
      <c r="BB697" s="78"/>
      <c r="BC697" s="78"/>
    </row>
    <row r="698">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c r="AA698" s="78"/>
      <c r="AB698" s="78"/>
      <c r="AC698" s="78"/>
      <c r="AD698" s="78"/>
      <c r="AE698" s="78"/>
      <c r="AF698" s="78"/>
      <c r="AG698" s="78"/>
      <c r="AH698" s="78"/>
      <c r="AI698" s="78"/>
      <c r="AJ698" s="78"/>
      <c r="AK698" s="78"/>
      <c r="AL698" s="78"/>
      <c r="AM698" s="78"/>
      <c r="AN698" s="78"/>
      <c r="AO698" s="78"/>
      <c r="AP698" s="78"/>
      <c r="AQ698" s="78"/>
      <c r="AR698" s="78"/>
      <c r="AS698" s="78"/>
      <c r="AT698" s="78"/>
      <c r="AU698" s="78"/>
      <c r="AV698" s="78"/>
      <c r="AW698" s="78"/>
      <c r="AX698" s="78"/>
      <c r="AY698" s="78"/>
      <c r="AZ698" s="78"/>
      <c r="BA698" s="78"/>
      <c r="BB698" s="78"/>
      <c r="BC698" s="78"/>
    </row>
    <row r="699">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c r="AA699" s="78"/>
      <c r="AB699" s="78"/>
      <c r="AC699" s="78"/>
      <c r="AD699" s="78"/>
      <c r="AE699" s="78"/>
      <c r="AF699" s="78"/>
      <c r="AG699" s="78"/>
      <c r="AH699" s="78"/>
      <c r="AI699" s="78"/>
      <c r="AJ699" s="78"/>
      <c r="AK699" s="78"/>
      <c r="AL699" s="78"/>
      <c r="AM699" s="78"/>
      <c r="AN699" s="78"/>
      <c r="AO699" s="78"/>
      <c r="AP699" s="78"/>
      <c r="AQ699" s="78"/>
      <c r="AR699" s="78"/>
      <c r="AS699" s="78"/>
      <c r="AT699" s="78"/>
      <c r="AU699" s="78"/>
      <c r="AV699" s="78"/>
      <c r="AW699" s="78"/>
      <c r="AX699" s="78"/>
      <c r="AY699" s="78"/>
      <c r="AZ699" s="78"/>
      <c r="BA699" s="78"/>
      <c r="BB699" s="78"/>
      <c r="BC699" s="78"/>
    </row>
    <row r="700">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c r="AA700" s="78"/>
      <c r="AB700" s="78"/>
      <c r="AC700" s="78"/>
      <c r="AD700" s="78"/>
      <c r="AE700" s="78"/>
      <c r="AF700" s="78"/>
      <c r="AG700" s="78"/>
      <c r="AH700" s="78"/>
      <c r="AI700" s="78"/>
      <c r="AJ700" s="78"/>
      <c r="AK700" s="78"/>
      <c r="AL700" s="78"/>
      <c r="AM700" s="78"/>
      <c r="AN700" s="78"/>
      <c r="AO700" s="78"/>
      <c r="AP700" s="78"/>
      <c r="AQ700" s="78"/>
      <c r="AR700" s="78"/>
      <c r="AS700" s="78"/>
      <c r="AT700" s="78"/>
      <c r="AU700" s="78"/>
      <c r="AV700" s="78"/>
      <c r="AW700" s="78"/>
      <c r="AX700" s="78"/>
      <c r="AY700" s="78"/>
      <c r="AZ700" s="78"/>
      <c r="BA700" s="78"/>
      <c r="BB700" s="78"/>
      <c r="BC700" s="78"/>
    </row>
    <row r="701">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c r="AA701" s="78"/>
      <c r="AB701" s="78"/>
      <c r="AC701" s="78"/>
      <c r="AD701" s="78"/>
      <c r="AE701" s="78"/>
      <c r="AF701" s="78"/>
      <c r="AG701" s="78"/>
      <c r="AH701" s="78"/>
      <c r="AI701" s="78"/>
      <c r="AJ701" s="78"/>
      <c r="AK701" s="78"/>
      <c r="AL701" s="78"/>
      <c r="AM701" s="78"/>
      <c r="AN701" s="78"/>
      <c r="AO701" s="78"/>
      <c r="AP701" s="78"/>
      <c r="AQ701" s="78"/>
      <c r="AR701" s="78"/>
      <c r="AS701" s="78"/>
      <c r="AT701" s="78"/>
      <c r="AU701" s="78"/>
      <c r="AV701" s="78"/>
      <c r="AW701" s="78"/>
      <c r="AX701" s="78"/>
      <c r="AY701" s="78"/>
      <c r="AZ701" s="78"/>
      <c r="BA701" s="78"/>
      <c r="BB701" s="78"/>
      <c r="BC701" s="78"/>
    </row>
    <row r="702">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c r="AA702" s="78"/>
      <c r="AB702" s="78"/>
      <c r="AC702" s="78"/>
      <c r="AD702" s="78"/>
      <c r="AE702" s="78"/>
      <c r="AF702" s="78"/>
      <c r="AG702" s="78"/>
      <c r="AH702" s="78"/>
      <c r="AI702" s="78"/>
      <c r="AJ702" s="78"/>
      <c r="AK702" s="78"/>
      <c r="AL702" s="78"/>
      <c r="AM702" s="78"/>
      <c r="AN702" s="78"/>
      <c r="AO702" s="78"/>
      <c r="AP702" s="78"/>
      <c r="AQ702" s="78"/>
      <c r="AR702" s="78"/>
      <c r="AS702" s="78"/>
      <c r="AT702" s="78"/>
      <c r="AU702" s="78"/>
      <c r="AV702" s="78"/>
      <c r="AW702" s="78"/>
      <c r="AX702" s="78"/>
      <c r="AY702" s="78"/>
      <c r="AZ702" s="78"/>
      <c r="BA702" s="78"/>
      <c r="BB702" s="78"/>
      <c r="BC702" s="78"/>
    </row>
    <row r="703">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c r="AA703" s="78"/>
      <c r="AB703" s="78"/>
      <c r="AC703" s="78"/>
      <c r="AD703" s="78"/>
      <c r="AE703" s="78"/>
      <c r="AF703" s="78"/>
      <c r="AG703" s="78"/>
      <c r="AH703" s="78"/>
      <c r="AI703" s="78"/>
      <c r="AJ703" s="78"/>
      <c r="AK703" s="78"/>
      <c r="AL703" s="78"/>
      <c r="AM703" s="78"/>
      <c r="AN703" s="78"/>
      <c r="AO703" s="78"/>
      <c r="AP703" s="78"/>
      <c r="AQ703" s="78"/>
      <c r="AR703" s="78"/>
      <c r="AS703" s="78"/>
      <c r="AT703" s="78"/>
      <c r="AU703" s="78"/>
      <c r="AV703" s="78"/>
      <c r="AW703" s="78"/>
      <c r="AX703" s="78"/>
      <c r="AY703" s="78"/>
      <c r="AZ703" s="78"/>
      <c r="BA703" s="78"/>
      <c r="BB703" s="78"/>
      <c r="BC703" s="78"/>
    </row>
    <row r="704">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c r="AA704" s="78"/>
      <c r="AB704" s="78"/>
      <c r="AC704" s="78"/>
      <c r="AD704" s="78"/>
      <c r="AE704" s="78"/>
      <c r="AF704" s="78"/>
      <c r="AG704" s="78"/>
      <c r="AH704" s="78"/>
      <c r="AI704" s="78"/>
      <c r="AJ704" s="78"/>
      <c r="AK704" s="78"/>
      <c r="AL704" s="78"/>
      <c r="AM704" s="78"/>
      <c r="AN704" s="78"/>
      <c r="AO704" s="78"/>
      <c r="AP704" s="78"/>
      <c r="AQ704" s="78"/>
      <c r="AR704" s="78"/>
      <c r="AS704" s="78"/>
      <c r="AT704" s="78"/>
      <c r="AU704" s="78"/>
      <c r="AV704" s="78"/>
      <c r="AW704" s="78"/>
      <c r="AX704" s="78"/>
      <c r="AY704" s="78"/>
      <c r="AZ704" s="78"/>
      <c r="BA704" s="78"/>
      <c r="BB704" s="78"/>
      <c r="BC704" s="78"/>
    </row>
    <row r="705">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c r="AA705" s="78"/>
      <c r="AB705" s="78"/>
      <c r="AC705" s="78"/>
      <c r="AD705" s="78"/>
      <c r="AE705" s="78"/>
      <c r="AF705" s="78"/>
      <c r="AG705" s="78"/>
      <c r="AH705" s="78"/>
      <c r="AI705" s="78"/>
      <c r="AJ705" s="78"/>
      <c r="AK705" s="78"/>
      <c r="AL705" s="78"/>
      <c r="AM705" s="78"/>
      <c r="AN705" s="78"/>
      <c r="AO705" s="78"/>
      <c r="AP705" s="78"/>
      <c r="AQ705" s="78"/>
      <c r="AR705" s="78"/>
      <c r="AS705" s="78"/>
      <c r="AT705" s="78"/>
      <c r="AU705" s="78"/>
      <c r="AV705" s="78"/>
      <c r="AW705" s="78"/>
      <c r="AX705" s="78"/>
      <c r="AY705" s="78"/>
      <c r="AZ705" s="78"/>
      <c r="BA705" s="78"/>
      <c r="BB705" s="78"/>
      <c r="BC705" s="78"/>
    </row>
    <row r="706">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c r="AA706" s="78"/>
      <c r="AB706" s="78"/>
      <c r="AC706" s="78"/>
      <c r="AD706" s="78"/>
      <c r="AE706" s="78"/>
      <c r="AF706" s="78"/>
      <c r="AG706" s="78"/>
      <c r="AH706" s="78"/>
      <c r="AI706" s="78"/>
      <c r="AJ706" s="78"/>
      <c r="AK706" s="78"/>
      <c r="AL706" s="78"/>
      <c r="AM706" s="78"/>
      <c r="AN706" s="78"/>
      <c r="AO706" s="78"/>
      <c r="AP706" s="78"/>
      <c r="AQ706" s="78"/>
      <c r="AR706" s="78"/>
      <c r="AS706" s="78"/>
      <c r="AT706" s="78"/>
      <c r="AU706" s="78"/>
      <c r="AV706" s="78"/>
      <c r="AW706" s="78"/>
      <c r="AX706" s="78"/>
      <c r="AY706" s="78"/>
      <c r="AZ706" s="78"/>
      <c r="BA706" s="78"/>
      <c r="BB706" s="78"/>
      <c r="BC706" s="78"/>
    </row>
    <row r="707">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c r="AA707" s="78"/>
      <c r="AB707" s="78"/>
      <c r="AC707" s="78"/>
      <c r="AD707" s="78"/>
      <c r="AE707" s="78"/>
      <c r="AF707" s="78"/>
      <c r="AG707" s="78"/>
      <c r="AH707" s="78"/>
      <c r="AI707" s="78"/>
      <c r="AJ707" s="78"/>
      <c r="AK707" s="78"/>
      <c r="AL707" s="78"/>
      <c r="AM707" s="78"/>
      <c r="AN707" s="78"/>
      <c r="AO707" s="78"/>
      <c r="AP707" s="78"/>
      <c r="AQ707" s="78"/>
      <c r="AR707" s="78"/>
      <c r="AS707" s="78"/>
      <c r="AT707" s="78"/>
      <c r="AU707" s="78"/>
      <c r="AV707" s="78"/>
      <c r="AW707" s="78"/>
      <c r="AX707" s="78"/>
      <c r="AY707" s="78"/>
      <c r="AZ707" s="78"/>
      <c r="BA707" s="78"/>
      <c r="BB707" s="78"/>
      <c r="BC707" s="78"/>
    </row>
    <row r="708">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c r="AA708" s="78"/>
      <c r="AB708" s="78"/>
      <c r="AC708" s="78"/>
      <c r="AD708" s="78"/>
      <c r="AE708" s="78"/>
      <c r="AF708" s="78"/>
      <c r="AG708" s="78"/>
      <c r="AH708" s="78"/>
      <c r="AI708" s="78"/>
      <c r="AJ708" s="78"/>
      <c r="AK708" s="78"/>
      <c r="AL708" s="78"/>
      <c r="AM708" s="78"/>
      <c r="AN708" s="78"/>
      <c r="AO708" s="78"/>
      <c r="AP708" s="78"/>
      <c r="AQ708" s="78"/>
      <c r="AR708" s="78"/>
      <c r="AS708" s="78"/>
      <c r="AT708" s="78"/>
      <c r="AU708" s="78"/>
      <c r="AV708" s="78"/>
      <c r="AW708" s="78"/>
      <c r="AX708" s="78"/>
      <c r="AY708" s="78"/>
      <c r="AZ708" s="78"/>
      <c r="BA708" s="78"/>
      <c r="BB708" s="78"/>
      <c r="BC708" s="78"/>
    </row>
    <row r="709">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c r="AA709" s="78"/>
      <c r="AB709" s="78"/>
      <c r="AC709" s="78"/>
      <c r="AD709" s="78"/>
      <c r="AE709" s="78"/>
      <c r="AF709" s="78"/>
      <c r="AG709" s="78"/>
      <c r="AH709" s="78"/>
      <c r="AI709" s="78"/>
      <c r="AJ709" s="78"/>
      <c r="AK709" s="78"/>
      <c r="AL709" s="78"/>
      <c r="AM709" s="78"/>
      <c r="AN709" s="78"/>
      <c r="AO709" s="78"/>
      <c r="AP709" s="78"/>
      <c r="AQ709" s="78"/>
      <c r="AR709" s="78"/>
      <c r="AS709" s="78"/>
      <c r="AT709" s="78"/>
      <c r="AU709" s="78"/>
      <c r="AV709" s="78"/>
      <c r="AW709" s="78"/>
      <c r="AX709" s="78"/>
      <c r="AY709" s="78"/>
      <c r="AZ709" s="78"/>
      <c r="BA709" s="78"/>
      <c r="BB709" s="78"/>
      <c r="BC709" s="78"/>
    </row>
    <row r="710">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c r="AA710" s="78"/>
      <c r="AB710" s="78"/>
      <c r="AC710" s="78"/>
      <c r="AD710" s="78"/>
      <c r="AE710" s="78"/>
      <c r="AF710" s="78"/>
      <c r="AG710" s="78"/>
      <c r="AH710" s="78"/>
      <c r="AI710" s="78"/>
      <c r="AJ710" s="78"/>
      <c r="AK710" s="78"/>
      <c r="AL710" s="78"/>
      <c r="AM710" s="78"/>
      <c r="AN710" s="78"/>
      <c r="AO710" s="78"/>
      <c r="AP710" s="78"/>
      <c r="AQ710" s="78"/>
      <c r="AR710" s="78"/>
      <c r="AS710" s="78"/>
      <c r="AT710" s="78"/>
      <c r="AU710" s="78"/>
      <c r="AV710" s="78"/>
      <c r="AW710" s="78"/>
      <c r="AX710" s="78"/>
      <c r="AY710" s="78"/>
      <c r="AZ710" s="78"/>
      <c r="BA710" s="78"/>
      <c r="BB710" s="78"/>
      <c r="BC710" s="78"/>
    </row>
    <row r="711">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c r="AA711" s="78"/>
      <c r="AB711" s="78"/>
      <c r="AC711" s="78"/>
      <c r="AD711" s="78"/>
      <c r="AE711" s="78"/>
      <c r="AF711" s="78"/>
      <c r="AG711" s="78"/>
      <c r="AH711" s="78"/>
      <c r="AI711" s="78"/>
      <c r="AJ711" s="78"/>
      <c r="AK711" s="78"/>
      <c r="AL711" s="78"/>
      <c r="AM711" s="78"/>
      <c r="AN711" s="78"/>
      <c r="AO711" s="78"/>
      <c r="AP711" s="78"/>
      <c r="AQ711" s="78"/>
      <c r="AR711" s="78"/>
      <c r="AS711" s="78"/>
      <c r="AT711" s="78"/>
      <c r="AU711" s="78"/>
      <c r="AV711" s="78"/>
      <c r="AW711" s="78"/>
      <c r="AX711" s="78"/>
      <c r="AY711" s="78"/>
      <c r="AZ711" s="78"/>
      <c r="BA711" s="78"/>
      <c r="BB711" s="78"/>
      <c r="BC711" s="78"/>
    </row>
    <row r="712">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c r="AA712" s="78"/>
      <c r="AB712" s="78"/>
      <c r="AC712" s="78"/>
      <c r="AD712" s="78"/>
      <c r="AE712" s="78"/>
      <c r="AF712" s="78"/>
      <c r="AG712" s="78"/>
      <c r="AH712" s="78"/>
      <c r="AI712" s="78"/>
      <c r="AJ712" s="78"/>
      <c r="AK712" s="78"/>
      <c r="AL712" s="78"/>
      <c r="AM712" s="78"/>
      <c r="AN712" s="78"/>
      <c r="AO712" s="78"/>
      <c r="AP712" s="78"/>
      <c r="AQ712" s="78"/>
      <c r="AR712" s="78"/>
      <c r="AS712" s="78"/>
      <c r="AT712" s="78"/>
      <c r="AU712" s="78"/>
      <c r="AV712" s="78"/>
      <c r="AW712" s="78"/>
      <c r="AX712" s="78"/>
      <c r="AY712" s="78"/>
      <c r="AZ712" s="78"/>
      <c r="BA712" s="78"/>
      <c r="BB712" s="78"/>
      <c r="BC712" s="78"/>
    </row>
    <row r="713">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c r="AA713" s="78"/>
      <c r="AB713" s="78"/>
      <c r="AC713" s="78"/>
      <c r="AD713" s="78"/>
      <c r="AE713" s="78"/>
      <c r="AF713" s="78"/>
      <c r="AG713" s="78"/>
      <c r="AH713" s="78"/>
      <c r="AI713" s="78"/>
      <c r="AJ713" s="78"/>
      <c r="AK713" s="78"/>
      <c r="AL713" s="78"/>
      <c r="AM713" s="78"/>
      <c r="AN713" s="78"/>
      <c r="AO713" s="78"/>
      <c r="AP713" s="78"/>
      <c r="AQ713" s="78"/>
      <c r="AR713" s="78"/>
      <c r="AS713" s="78"/>
      <c r="AT713" s="78"/>
      <c r="AU713" s="78"/>
      <c r="AV713" s="78"/>
      <c r="AW713" s="78"/>
      <c r="AX713" s="78"/>
      <c r="AY713" s="78"/>
      <c r="AZ713" s="78"/>
      <c r="BA713" s="78"/>
      <c r="BB713" s="78"/>
      <c r="BC713" s="78"/>
    </row>
    <row r="714">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c r="AA714" s="78"/>
      <c r="AB714" s="78"/>
      <c r="AC714" s="78"/>
      <c r="AD714" s="78"/>
      <c r="AE714" s="78"/>
      <c r="AF714" s="78"/>
      <c r="AG714" s="78"/>
      <c r="AH714" s="78"/>
      <c r="AI714" s="78"/>
      <c r="AJ714" s="78"/>
      <c r="AK714" s="78"/>
      <c r="AL714" s="78"/>
      <c r="AM714" s="78"/>
      <c r="AN714" s="78"/>
      <c r="AO714" s="78"/>
      <c r="AP714" s="78"/>
      <c r="AQ714" s="78"/>
      <c r="AR714" s="78"/>
      <c r="AS714" s="78"/>
      <c r="AT714" s="78"/>
      <c r="AU714" s="78"/>
      <c r="AV714" s="78"/>
      <c r="AW714" s="78"/>
      <c r="AX714" s="78"/>
      <c r="AY714" s="78"/>
      <c r="AZ714" s="78"/>
      <c r="BA714" s="78"/>
      <c r="BB714" s="78"/>
      <c r="BC714" s="78"/>
    </row>
    <row r="715">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c r="AA715" s="78"/>
      <c r="AB715" s="78"/>
      <c r="AC715" s="78"/>
      <c r="AD715" s="78"/>
      <c r="AE715" s="78"/>
      <c r="AF715" s="78"/>
      <c r="AG715" s="78"/>
      <c r="AH715" s="78"/>
      <c r="AI715" s="78"/>
      <c r="AJ715" s="78"/>
      <c r="AK715" s="78"/>
      <c r="AL715" s="78"/>
      <c r="AM715" s="78"/>
      <c r="AN715" s="78"/>
      <c r="AO715" s="78"/>
      <c r="AP715" s="78"/>
      <c r="AQ715" s="78"/>
      <c r="AR715" s="78"/>
      <c r="AS715" s="78"/>
      <c r="AT715" s="78"/>
      <c r="AU715" s="78"/>
      <c r="AV715" s="78"/>
      <c r="AW715" s="78"/>
      <c r="AX715" s="78"/>
      <c r="AY715" s="78"/>
      <c r="AZ715" s="78"/>
      <c r="BA715" s="78"/>
      <c r="BB715" s="78"/>
      <c r="BC715" s="78"/>
    </row>
    <row r="716">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c r="AA716" s="78"/>
      <c r="AB716" s="78"/>
      <c r="AC716" s="78"/>
      <c r="AD716" s="78"/>
      <c r="AE716" s="78"/>
      <c r="AF716" s="78"/>
      <c r="AG716" s="78"/>
      <c r="AH716" s="78"/>
      <c r="AI716" s="78"/>
      <c r="AJ716" s="78"/>
      <c r="AK716" s="78"/>
      <c r="AL716" s="78"/>
      <c r="AM716" s="78"/>
      <c r="AN716" s="78"/>
      <c r="AO716" s="78"/>
      <c r="AP716" s="78"/>
      <c r="AQ716" s="78"/>
      <c r="AR716" s="78"/>
      <c r="AS716" s="78"/>
      <c r="AT716" s="78"/>
      <c r="AU716" s="78"/>
      <c r="AV716" s="78"/>
      <c r="AW716" s="78"/>
      <c r="AX716" s="78"/>
      <c r="AY716" s="78"/>
      <c r="AZ716" s="78"/>
      <c r="BA716" s="78"/>
      <c r="BB716" s="78"/>
      <c r="BC716" s="78"/>
    </row>
    <row r="717">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c r="AA717" s="78"/>
      <c r="AB717" s="78"/>
      <c r="AC717" s="78"/>
      <c r="AD717" s="78"/>
      <c r="AE717" s="78"/>
      <c r="AF717" s="78"/>
      <c r="AG717" s="78"/>
      <c r="AH717" s="78"/>
      <c r="AI717" s="78"/>
      <c r="AJ717" s="78"/>
      <c r="AK717" s="78"/>
      <c r="AL717" s="78"/>
      <c r="AM717" s="78"/>
      <c r="AN717" s="78"/>
      <c r="AO717" s="78"/>
      <c r="AP717" s="78"/>
      <c r="AQ717" s="78"/>
      <c r="AR717" s="78"/>
      <c r="AS717" s="78"/>
      <c r="AT717" s="78"/>
      <c r="AU717" s="78"/>
      <c r="AV717" s="78"/>
      <c r="AW717" s="78"/>
      <c r="AX717" s="78"/>
      <c r="AY717" s="78"/>
      <c r="AZ717" s="78"/>
      <c r="BA717" s="78"/>
      <c r="BB717" s="78"/>
      <c r="BC717" s="78"/>
    </row>
    <row r="718">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c r="AA718" s="78"/>
      <c r="AB718" s="78"/>
      <c r="AC718" s="78"/>
      <c r="AD718" s="78"/>
      <c r="AE718" s="78"/>
      <c r="AF718" s="78"/>
      <c r="AG718" s="78"/>
      <c r="AH718" s="78"/>
      <c r="AI718" s="78"/>
      <c r="AJ718" s="78"/>
      <c r="AK718" s="78"/>
      <c r="AL718" s="78"/>
      <c r="AM718" s="78"/>
      <c r="AN718" s="78"/>
      <c r="AO718" s="78"/>
      <c r="AP718" s="78"/>
      <c r="AQ718" s="78"/>
      <c r="AR718" s="78"/>
      <c r="AS718" s="78"/>
      <c r="AT718" s="78"/>
      <c r="AU718" s="78"/>
      <c r="AV718" s="78"/>
      <c r="AW718" s="78"/>
      <c r="AX718" s="78"/>
      <c r="AY718" s="78"/>
      <c r="AZ718" s="78"/>
      <c r="BA718" s="78"/>
      <c r="BB718" s="78"/>
      <c r="BC718" s="78"/>
    </row>
    <row r="719">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c r="AA719" s="78"/>
      <c r="AB719" s="78"/>
      <c r="AC719" s="78"/>
      <c r="AD719" s="78"/>
      <c r="AE719" s="78"/>
      <c r="AF719" s="78"/>
      <c r="AG719" s="78"/>
      <c r="AH719" s="78"/>
      <c r="AI719" s="78"/>
      <c r="AJ719" s="78"/>
      <c r="AK719" s="78"/>
      <c r="AL719" s="78"/>
      <c r="AM719" s="78"/>
      <c r="AN719" s="78"/>
      <c r="AO719" s="78"/>
      <c r="AP719" s="78"/>
      <c r="AQ719" s="78"/>
      <c r="AR719" s="78"/>
      <c r="AS719" s="78"/>
      <c r="AT719" s="78"/>
      <c r="AU719" s="78"/>
      <c r="AV719" s="78"/>
      <c r="AW719" s="78"/>
      <c r="AX719" s="78"/>
      <c r="AY719" s="78"/>
      <c r="AZ719" s="78"/>
      <c r="BA719" s="78"/>
      <c r="BB719" s="78"/>
      <c r="BC719" s="78"/>
    </row>
    <row r="720">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c r="AA720" s="78"/>
      <c r="AB720" s="78"/>
      <c r="AC720" s="78"/>
      <c r="AD720" s="78"/>
      <c r="AE720" s="78"/>
      <c r="AF720" s="78"/>
      <c r="AG720" s="78"/>
      <c r="AH720" s="78"/>
      <c r="AI720" s="78"/>
      <c r="AJ720" s="78"/>
      <c r="AK720" s="78"/>
      <c r="AL720" s="78"/>
      <c r="AM720" s="78"/>
      <c r="AN720" s="78"/>
      <c r="AO720" s="78"/>
      <c r="AP720" s="78"/>
      <c r="AQ720" s="78"/>
      <c r="AR720" s="78"/>
      <c r="AS720" s="78"/>
      <c r="AT720" s="78"/>
      <c r="AU720" s="78"/>
      <c r="AV720" s="78"/>
      <c r="AW720" s="78"/>
      <c r="AX720" s="78"/>
      <c r="AY720" s="78"/>
      <c r="AZ720" s="78"/>
      <c r="BA720" s="78"/>
      <c r="BB720" s="78"/>
      <c r="BC720" s="78"/>
    </row>
    <row r="721">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c r="AA721" s="78"/>
      <c r="AB721" s="78"/>
      <c r="AC721" s="78"/>
      <c r="AD721" s="78"/>
      <c r="AE721" s="78"/>
      <c r="AF721" s="78"/>
      <c r="AG721" s="78"/>
      <c r="AH721" s="78"/>
      <c r="AI721" s="78"/>
      <c r="AJ721" s="78"/>
      <c r="AK721" s="78"/>
      <c r="AL721" s="78"/>
      <c r="AM721" s="78"/>
      <c r="AN721" s="78"/>
      <c r="AO721" s="78"/>
      <c r="AP721" s="78"/>
      <c r="AQ721" s="78"/>
      <c r="AR721" s="78"/>
      <c r="AS721" s="78"/>
      <c r="AT721" s="78"/>
      <c r="AU721" s="78"/>
      <c r="AV721" s="78"/>
      <c r="AW721" s="78"/>
      <c r="AX721" s="78"/>
      <c r="AY721" s="78"/>
      <c r="AZ721" s="78"/>
      <c r="BA721" s="78"/>
      <c r="BB721" s="78"/>
      <c r="BC721" s="78"/>
    </row>
    <row r="722">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c r="AA722" s="78"/>
      <c r="AB722" s="78"/>
      <c r="AC722" s="78"/>
      <c r="AD722" s="78"/>
      <c r="AE722" s="78"/>
      <c r="AF722" s="78"/>
      <c r="AG722" s="78"/>
      <c r="AH722" s="78"/>
      <c r="AI722" s="78"/>
      <c r="AJ722" s="78"/>
      <c r="AK722" s="78"/>
      <c r="AL722" s="78"/>
      <c r="AM722" s="78"/>
      <c r="AN722" s="78"/>
      <c r="AO722" s="78"/>
      <c r="AP722" s="78"/>
      <c r="AQ722" s="78"/>
      <c r="AR722" s="78"/>
      <c r="AS722" s="78"/>
      <c r="AT722" s="78"/>
      <c r="AU722" s="78"/>
      <c r="AV722" s="78"/>
      <c r="AW722" s="78"/>
      <c r="AX722" s="78"/>
      <c r="AY722" s="78"/>
      <c r="AZ722" s="78"/>
      <c r="BA722" s="78"/>
      <c r="BB722" s="78"/>
      <c r="BC722" s="78"/>
    </row>
    <row r="723">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c r="AA723" s="78"/>
      <c r="AB723" s="78"/>
      <c r="AC723" s="78"/>
      <c r="AD723" s="78"/>
      <c r="AE723" s="78"/>
      <c r="AF723" s="78"/>
      <c r="AG723" s="78"/>
      <c r="AH723" s="78"/>
      <c r="AI723" s="78"/>
      <c r="AJ723" s="78"/>
      <c r="AK723" s="78"/>
      <c r="AL723" s="78"/>
      <c r="AM723" s="78"/>
      <c r="AN723" s="78"/>
      <c r="AO723" s="78"/>
      <c r="AP723" s="78"/>
      <c r="AQ723" s="78"/>
      <c r="AR723" s="78"/>
      <c r="AS723" s="78"/>
      <c r="AT723" s="78"/>
      <c r="AU723" s="78"/>
      <c r="AV723" s="78"/>
      <c r="AW723" s="78"/>
      <c r="AX723" s="78"/>
      <c r="AY723" s="78"/>
      <c r="AZ723" s="78"/>
      <c r="BA723" s="78"/>
      <c r="BB723" s="78"/>
      <c r="BC723" s="78"/>
    </row>
    <row r="724">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c r="AA724" s="78"/>
      <c r="AB724" s="78"/>
      <c r="AC724" s="78"/>
      <c r="AD724" s="78"/>
      <c r="AE724" s="78"/>
      <c r="AF724" s="78"/>
      <c r="AG724" s="78"/>
      <c r="AH724" s="78"/>
      <c r="AI724" s="78"/>
      <c r="AJ724" s="78"/>
      <c r="AK724" s="78"/>
      <c r="AL724" s="78"/>
      <c r="AM724" s="78"/>
      <c r="AN724" s="78"/>
      <c r="AO724" s="78"/>
      <c r="AP724" s="78"/>
      <c r="AQ724" s="78"/>
      <c r="AR724" s="78"/>
      <c r="AS724" s="78"/>
      <c r="AT724" s="78"/>
      <c r="AU724" s="78"/>
      <c r="AV724" s="78"/>
      <c r="AW724" s="78"/>
      <c r="AX724" s="78"/>
      <c r="AY724" s="78"/>
      <c r="AZ724" s="78"/>
      <c r="BA724" s="78"/>
      <c r="BB724" s="78"/>
      <c r="BC724" s="78"/>
    </row>
    <row r="725">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c r="AA725" s="78"/>
      <c r="AB725" s="78"/>
      <c r="AC725" s="78"/>
      <c r="AD725" s="78"/>
      <c r="AE725" s="78"/>
      <c r="AF725" s="78"/>
      <c r="AG725" s="78"/>
      <c r="AH725" s="78"/>
      <c r="AI725" s="78"/>
      <c r="AJ725" s="78"/>
      <c r="AK725" s="78"/>
      <c r="AL725" s="78"/>
      <c r="AM725" s="78"/>
      <c r="AN725" s="78"/>
      <c r="AO725" s="78"/>
      <c r="AP725" s="78"/>
      <c r="AQ725" s="78"/>
      <c r="AR725" s="78"/>
      <c r="AS725" s="78"/>
      <c r="AT725" s="78"/>
      <c r="AU725" s="78"/>
      <c r="AV725" s="78"/>
      <c r="AW725" s="78"/>
      <c r="AX725" s="78"/>
      <c r="AY725" s="78"/>
      <c r="AZ725" s="78"/>
      <c r="BA725" s="78"/>
      <c r="BB725" s="78"/>
      <c r="BC725" s="78"/>
    </row>
    <row r="726">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c r="AA726" s="78"/>
      <c r="AB726" s="78"/>
      <c r="AC726" s="78"/>
      <c r="AD726" s="78"/>
      <c r="AE726" s="78"/>
      <c r="AF726" s="78"/>
      <c r="AG726" s="78"/>
      <c r="AH726" s="78"/>
      <c r="AI726" s="78"/>
      <c r="AJ726" s="78"/>
      <c r="AK726" s="78"/>
      <c r="AL726" s="78"/>
      <c r="AM726" s="78"/>
      <c r="AN726" s="78"/>
      <c r="AO726" s="78"/>
      <c r="AP726" s="78"/>
      <c r="AQ726" s="78"/>
      <c r="AR726" s="78"/>
      <c r="AS726" s="78"/>
      <c r="AT726" s="78"/>
      <c r="AU726" s="78"/>
      <c r="AV726" s="78"/>
      <c r="AW726" s="78"/>
      <c r="AX726" s="78"/>
      <c r="AY726" s="78"/>
      <c r="AZ726" s="78"/>
      <c r="BA726" s="78"/>
      <c r="BB726" s="78"/>
      <c r="BC726" s="78"/>
    </row>
    <row r="727">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c r="AA727" s="78"/>
      <c r="AB727" s="78"/>
      <c r="AC727" s="78"/>
      <c r="AD727" s="78"/>
      <c r="AE727" s="78"/>
      <c r="AF727" s="78"/>
      <c r="AG727" s="78"/>
      <c r="AH727" s="78"/>
      <c r="AI727" s="78"/>
      <c r="AJ727" s="78"/>
      <c r="AK727" s="78"/>
      <c r="AL727" s="78"/>
      <c r="AM727" s="78"/>
      <c r="AN727" s="78"/>
      <c r="AO727" s="78"/>
      <c r="AP727" s="78"/>
      <c r="AQ727" s="78"/>
      <c r="AR727" s="78"/>
      <c r="AS727" s="78"/>
      <c r="AT727" s="78"/>
      <c r="AU727" s="78"/>
      <c r="AV727" s="78"/>
      <c r="AW727" s="78"/>
      <c r="AX727" s="78"/>
      <c r="AY727" s="78"/>
      <c r="AZ727" s="78"/>
      <c r="BA727" s="78"/>
      <c r="BB727" s="78"/>
      <c r="BC727" s="78"/>
    </row>
    <row r="728">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c r="AA728" s="78"/>
      <c r="AB728" s="78"/>
      <c r="AC728" s="78"/>
      <c r="AD728" s="78"/>
      <c r="AE728" s="78"/>
      <c r="AF728" s="78"/>
      <c r="AG728" s="78"/>
      <c r="AH728" s="78"/>
      <c r="AI728" s="78"/>
      <c r="AJ728" s="78"/>
      <c r="AK728" s="78"/>
      <c r="AL728" s="78"/>
      <c r="AM728" s="78"/>
      <c r="AN728" s="78"/>
      <c r="AO728" s="78"/>
      <c r="AP728" s="78"/>
      <c r="AQ728" s="78"/>
      <c r="AR728" s="78"/>
      <c r="AS728" s="78"/>
      <c r="AT728" s="78"/>
      <c r="AU728" s="78"/>
      <c r="AV728" s="78"/>
      <c r="AW728" s="78"/>
      <c r="AX728" s="78"/>
      <c r="AY728" s="78"/>
      <c r="AZ728" s="78"/>
      <c r="BA728" s="78"/>
      <c r="BB728" s="78"/>
      <c r="BC728" s="78"/>
    </row>
    <row r="729">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c r="AA729" s="78"/>
      <c r="AB729" s="78"/>
      <c r="AC729" s="78"/>
      <c r="AD729" s="78"/>
      <c r="AE729" s="78"/>
      <c r="AF729" s="78"/>
      <c r="AG729" s="78"/>
      <c r="AH729" s="78"/>
      <c r="AI729" s="78"/>
      <c r="AJ729" s="78"/>
      <c r="AK729" s="78"/>
      <c r="AL729" s="78"/>
      <c r="AM729" s="78"/>
      <c r="AN729" s="78"/>
      <c r="AO729" s="78"/>
      <c r="AP729" s="78"/>
      <c r="AQ729" s="78"/>
      <c r="AR729" s="78"/>
      <c r="AS729" s="78"/>
      <c r="AT729" s="78"/>
      <c r="AU729" s="78"/>
      <c r="AV729" s="78"/>
      <c r="AW729" s="78"/>
      <c r="AX729" s="78"/>
      <c r="AY729" s="78"/>
      <c r="AZ729" s="78"/>
      <c r="BA729" s="78"/>
      <c r="BB729" s="78"/>
      <c r="BC729" s="78"/>
    </row>
    <row r="730">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c r="AA730" s="78"/>
      <c r="AB730" s="78"/>
      <c r="AC730" s="78"/>
      <c r="AD730" s="78"/>
      <c r="AE730" s="78"/>
      <c r="AF730" s="78"/>
      <c r="AG730" s="78"/>
      <c r="AH730" s="78"/>
      <c r="AI730" s="78"/>
      <c r="AJ730" s="78"/>
      <c r="AK730" s="78"/>
      <c r="AL730" s="78"/>
      <c r="AM730" s="78"/>
      <c r="AN730" s="78"/>
      <c r="AO730" s="78"/>
      <c r="AP730" s="78"/>
      <c r="AQ730" s="78"/>
      <c r="AR730" s="78"/>
      <c r="AS730" s="78"/>
      <c r="AT730" s="78"/>
      <c r="AU730" s="78"/>
      <c r="AV730" s="78"/>
      <c r="AW730" s="78"/>
      <c r="AX730" s="78"/>
      <c r="AY730" s="78"/>
      <c r="AZ730" s="78"/>
      <c r="BA730" s="78"/>
      <c r="BB730" s="78"/>
      <c r="BC730" s="78"/>
    </row>
    <row r="731">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c r="AA731" s="78"/>
      <c r="AB731" s="78"/>
      <c r="AC731" s="78"/>
      <c r="AD731" s="78"/>
      <c r="AE731" s="78"/>
      <c r="AF731" s="78"/>
      <c r="AG731" s="78"/>
      <c r="AH731" s="78"/>
      <c r="AI731" s="78"/>
      <c r="AJ731" s="78"/>
      <c r="AK731" s="78"/>
      <c r="AL731" s="78"/>
      <c r="AM731" s="78"/>
      <c r="AN731" s="78"/>
      <c r="AO731" s="78"/>
      <c r="AP731" s="78"/>
      <c r="AQ731" s="78"/>
      <c r="AR731" s="78"/>
      <c r="AS731" s="78"/>
      <c r="AT731" s="78"/>
      <c r="AU731" s="78"/>
      <c r="AV731" s="78"/>
      <c r="AW731" s="78"/>
      <c r="AX731" s="78"/>
      <c r="AY731" s="78"/>
      <c r="AZ731" s="78"/>
      <c r="BA731" s="78"/>
      <c r="BB731" s="78"/>
      <c r="BC731" s="78"/>
    </row>
    <row r="732">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c r="AA732" s="78"/>
      <c r="AB732" s="78"/>
      <c r="AC732" s="78"/>
      <c r="AD732" s="78"/>
      <c r="AE732" s="78"/>
      <c r="AF732" s="78"/>
      <c r="AG732" s="78"/>
      <c r="AH732" s="78"/>
      <c r="AI732" s="78"/>
      <c r="AJ732" s="78"/>
      <c r="AK732" s="78"/>
      <c r="AL732" s="78"/>
      <c r="AM732" s="78"/>
      <c r="AN732" s="78"/>
      <c r="AO732" s="78"/>
      <c r="AP732" s="78"/>
      <c r="AQ732" s="78"/>
      <c r="AR732" s="78"/>
      <c r="AS732" s="78"/>
      <c r="AT732" s="78"/>
      <c r="AU732" s="78"/>
      <c r="AV732" s="78"/>
      <c r="AW732" s="78"/>
      <c r="AX732" s="78"/>
      <c r="AY732" s="78"/>
      <c r="AZ732" s="78"/>
      <c r="BA732" s="78"/>
      <c r="BB732" s="78"/>
      <c r="BC732" s="78"/>
    </row>
    <row r="733">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c r="AA733" s="78"/>
      <c r="AB733" s="78"/>
      <c r="AC733" s="78"/>
      <c r="AD733" s="78"/>
      <c r="AE733" s="78"/>
      <c r="AF733" s="78"/>
      <c r="AG733" s="78"/>
      <c r="AH733" s="78"/>
      <c r="AI733" s="78"/>
      <c r="AJ733" s="78"/>
      <c r="AK733" s="78"/>
      <c r="AL733" s="78"/>
      <c r="AM733" s="78"/>
      <c r="AN733" s="78"/>
      <c r="AO733" s="78"/>
      <c r="AP733" s="78"/>
      <c r="AQ733" s="78"/>
      <c r="AR733" s="78"/>
      <c r="AS733" s="78"/>
      <c r="AT733" s="78"/>
      <c r="AU733" s="78"/>
      <c r="AV733" s="78"/>
      <c r="AW733" s="78"/>
      <c r="AX733" s="78"/>
      <c r="AY733" s="78"/>
      <c r="AZ733" s="78"/>
      <c r="BA733" s="78"/>
      <c r="BB733" s="78"/>
      <c r="BC733" s="78"/>
    </row>
    <row r="734">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c r="AA734" s="78"/>
      <c r="AB734" s="78"/>
      <c r="AC734" s="78"/>
      <c r="AD734" s="78"/>
      <c r="AE734" s="78"/>
      <c r="AF734" s="78"/>
      <c r="AG734" s="78"/>
      <c r="AH734" s="78"/>
      <c r="AI734" s="78"/>
      <c r="AJ734" s="78"/>
      <c r="AK734" s="78"/>
      <c r="AL734" s="78"/>
      <c r="AM734" s="78"/>
      <c r="AN734" s="78"/>
      <c r="AO734" s="78"/>
      <c r="AP734" s="78"/>
      <c r="AQ734" s="78"/>
      <c r="AR734" s="78"/>
      <c r="AS734" s="78"/>
      <c r="AT734" s="78"/>
      <c r="AU734" s="78"/>
      <c r="AV734" s="78"/>
      <c r="AW734" s="78"/>
      <c r="AX734" s="78"/>
      <c r="AY734" s="78"/>
      <c r="AZ734" s="78"/>
      <c r="BA734" s="78"/>
      <c r="BB734" s="78"/>
      <c r="BC734" s="78"/>
    </row>
    <row r="735">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c r="AA735" s="78"/>
      <c r="AB735" s="78"/>
      <c r="AC735" s="78"/>
      <c r="AD735" s="78"/>
      <c r="AE735" s="78"/>
      <c r="AF735" s="78"/>
      <c r="AG735" s="78"/>
      <c r="AH735" s="78"/>
      <c r="AI735" s="78"/>
      <c r="AJ735" s="78"/>
      <c r="AK735" s="78"/>
      <c r="AL735" s="78"/>
      <c r="AM735" s="78"/>
      <c r="AN735" s="78"/>
      <c r="AO735" s="78"/>
      <c r="AP735" s="78"/>
      <c r="AQ735" s="78"/>
      <c r="AR735" s="78"/>
      <c r="AS735" s="78"/>
      <c r="AT735" s="78"/>
      <c r="AU735" s="78"/>
      <c r="AV735" s="78"/>
      <c r="AW735" s="78"/>
      <c r="AX735" s="78"/>
      <c r="AY735" s="78"/>
      <c r="AZ735" s="78"/>
      <c r="BA735" s="78"/>
      <c r="BB735" s="78"/>
      <c r="BC735" s="78"/>
    </row>
    <row r="736">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c r="AA736" s="78"/>
      <c r="AB736" s="78"/>
      <c r="AC736" s="78"/>
      <c r="AD736" s="78"/>
      <c r="AE736" s="78"/>
      <c r="AF736" s="78"/>
      <c r="AG736" s="78"/>
      <c r="AH736" s="78"/>
      <c r="AI736" s="78"/>
      <c r="AJ736" s="78"/>
      <c r="AK736" s="78"/>
      <c r="AL736" s="78"/>
      <c r="AM736" s="78"/>
      <c r="AN736" s="78"/>
      <c r="AO736" s="78"/>
      <c r="AP736" s="78"/>
      <c r="AQ736" s="78"/>
      <c r="AR736" s="78"/>
      <c r="AS736" s="78"/>
      <c r="AT736" s="78"/>
      <c r="AU736" s="78"/>
      <c r="AV736" s="78"/>
      <c r="AW736" s="78"/>
      <c r="AX736" s="78"/>
      <c r="AY736" s="78"/>
      <c r="AZ736" s="78"/>
      <c r="BA736" s="78"/>
      <c r="BB736" s="78"/>
      <c r="BC736" s="78"/>
    </row>
    <row r="737">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c r="AA737" s="78"/>
      <c r="AB737" s="78"/>
      <c r="AC737" s="78"/>
      <c r="AD737" s="78"/>
      <c r="AE737" s="78"/>
      <c r="AF737" s="78"/>
      <c r="AG737" s="78"/>
      <c r="AH737" s="78"/>
      <c r="AI737" s="78"/>
      <c r="AJ737" s="78"/>
      <c r="AK737" s="78"/>
      <c r="AL737" s="78"/>
      <c r="AM737" s="78"/>
      <c r="AN737" s="78"/>
      <c r="AO737" s="78"/>
      <c r="AP737" s="78"/>
      <c r="AQ737" s="78"/>
      <c r="AR737" s="78"/>
      <c r="AS737" s="78"/>
      <c r="AT737" s="78"/>
      <c r="AU737" s="78"/>
      <c r="AV737" s="78"/>
      <c r="AW737" s="78"/>
      <c r="AX737" s="78"/>
      <c r="AY737" s="78"/>
      <c r="AZ737" s="78"/>
      <c r="BA737" s="78"/>
      <c r="BB737" s="78"/>
      <c r="BC737" s="78"/>
    </row>
    <row r="738">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c r="AA738" s="78"/>
      <c r="AB738" s="78"/>
      <c r="AC738" s="78"/>
      <c r="AD738" s="78"/>
      <c r="AE738" s="78"/>
      <c r="AF738" s="78"/>
      <c r="AG738" s="78"/>
      <c r="AH738" s="78"/>
      <c r="AI738" s="78"/>
      <c r="AJ738" s="78"/>
      <c r="AK738" s="78"/>
      <c r="AL738" s="78"/>
      <c r="AM738" s="78"/>
      <c r="AN738" s="78"/>
      <c r="AO738" s="78"/>
      <c r="AP738" s="78"/>
      <c r="AQ738" s="78"/>
      <c r="AR738" s="78"/>
      <c r="AS738" s="78"/>
      <c r="AT738" s="78"/>
      <c r="AU738" s="78"/>
      <c r="AV738" s="78"/>
      <c r="AW738" s="78"/>
      <c r="AX738" s="78"/>
      <c r="AY738" s="78"/>
      <c r="AZ738" s="78"/>
      <c r="BA738" s="78"/>
      <c r="BB738" s="78"/>
      <c r="BC738" s="78"/>
    </row>
    <row r="739">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c r="AA739" s="78"/>
      <c r="AB739" s="78"/>
      <c r="AC739" s="78"/>
      <c r="AD739" s="78"/>
      <c r="AE739" s="78"/>
      <c r="AF739" s="78"/>
      <c r="AG739" s="78"/>
      <c r="AH739" s="78"/>
      <c r="AI739" s="78"/>
      <c r="AJ739" s="78"/>
      <c r="AK739" s="78"/>
      <c r="AL739" s="78"/>
      <c r="AM739" s="78"/>
      <c r="AN739" s="78"/>
      <c r="AO739" s="78"/>
      <c r="AP739" s="78"/>
      <c r="AQ739" s="78"/>
      <c r="AR739" s="78"/>
      <c r="AS739" s="78"/>
      <c r="AT739" s="78"/>
      <c r="AU739" s="78"/>
      <c r="AV739" s="78"/>
      <c r="AW739" s="78"/>
      <c r="AX739" s="78"/>
      <c r="AY739" s="78"/>
      <c r="AZ739" s="78"/>
      <c r="BA739" s="78"/>
      <c r="BB739" s="78"/>
      <c r="BC739" s="78"/>
    </row>
    <row r="740">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c r="AA740" s="78"/>
      <c r="AB740" s="78"/>
      <c r="AC740" s="78"/>
      <c r="AD740" s="78"/>
      <c r="AE740" s="78"/>
      <c r="AF740" s="78"/>
      <c r="AG740" s="78"/>
      <c r="AH740" s="78"/>
      <c r="AI740" s="78"/>
      <c r="AJ740" s="78"/>
      <c r="AK740" s="78"/>
      <c r="AL740" s="78"/>
      <c r="AM740" s="78"/>
      <c r="AN740" s="78"/>
      <c r="AO740" s="78"/>
      <c r="AP740" s="78"/>
      <c r="AQ740" s="78"/>
      <c r="AR740" s="78"/>
      <c r="AS740" s="78"/>
      <c r="AT740" s="78"/>
      <c r="AU740" s="78"/>
      <c r="AV740" s="78"/>
      <c r="AW740" s="78"/>
      <c r="AX740" s="78"/>
      <c r="AY740" s="78"/>
      <c r="AZ740" s="78"/>
      <c r="BA740" s="78"/>
      <c r="BB740" s="78"/>
      <c r="BC740" s="78"/>
    </row>
    <row r="741">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c r="AA741" s="78"/>
      <c r="AB741" s="78"/>
      <c r="AC741" s="78"/>
      <c r="AD741" s="78"/>
      <c r="AE741" s="78"/>
      <c r="AF741" s="78"/>
      <c r="AG741" s="78"/>
      <c r="AH741" s="78"/>
      <c r="AI741" s="78"/>
      <c r="AJ741" s="78"/>
      <c r="AK741" s="78"/>
      <c r="AL741" s="78"/>
      <c r="AM741" s="78"/>
      <c r="AN741" s="78"/>
      <c r="AO741" s="78"/>
      <c r="AP741" s="78"/>
      <c r="AQ741" s="78"/>
      <c r="AR741" s="78"/>
      <c r="AS741" s="78"/>
      <c r="AT741" s="78"/>
      <c r="AU741" s="78"/>
      <c r="AV741" s="78"/>
      <c r="AW741" s="78"/>
      <c r="AX741" s="78"/>
      <c r="AY741" s="78"/>
      <c r="AZ741" s="78"/>
      <c r="BA741" s="78"/>
      <c r="BB741" s="78"/>
      <c r="BC741" s="78"/>
    </row>
    <row r="742">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c r="AA742" s="78"/>
      <c r="AB742" s="78"/>
      <c r="AC742" s="78"/>
      <c r="AD742" s="78"/>
      <c r="AE742" s="78"/>
      <c r="AF742" s="78"/>
      <c r="AG742" s="78"/>
      <c r="AH742" s="78"/>
      <c r="AI742" s="78"/>
      <c r="AJ742" s="78"/>
      <c r="AK742" s="78"/>
      <c r="AL742" s="78"/>
      <c r="AM742" s="78"/>
      <c r="AN742" s="78"/>
      <c r="AO742" s="78"/>
      <c r="AP742" s="78"/>
      <c r="AQ742" s="78"/>
      <c r="AR742" s="78"/>
      <c r="AS742" s="78"/>
      <c r="AT742" s="78"/>
      <c r="AU742" s="78"/>
      <c r="AV742" s="78"/>
      <c r="AW742" s="78"/>
      <c r="AX742" s="78"/>
      <c r="AY742" s="78"/>
      <c r="AZ742" s="78"/>
      <c r="BA742" s="78"/>
      <c r="BB742" s="78"/>
      <c r="BC742" s="78"/>
    </row>
    <row r="743">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c r="AA743" s="78"/>
      <c r="AB743" s="78"/>
      <c r="AC743" s="78"/>
      <c r="AD743" s="78"/>
      <c r="AE743" s="78"/>
      <c r="AF743" s="78"/>
      <c r="AG743" s="78"/>
      <c r="AH743" s="78"/>
      <c r="AI743" s="78"/>
      <c r="AJ743" s="78"/>
      <c r="AK743" s="78"/>
      <c r="AL743" s="78"/>
      <c r="AM743" s="78"/>
      <c r="AN743" s="78"/>
      <c r="AO743" s="78"/>
      <c r="AP743" s="78"/>
      <c r="AQ743" s="78"/>
      <c r="AR743" s="78"/>
      <c r="AS743" s="78"/>
      <c r="AT743" s="78"/>
      <c r="AU743" s="78"/>
      <c r="AV743" s="78"/>
      <c r="AW743" s="78"/>
      <c r="AX743" s="78"/>
      <c r="AY743" s="78"/>
      <c r="AZ743" s="78"/>
      <c r="BA743" s="78"/>
      <c r="BB743" s="78"/>
      <c r="BC743" s="78"/>
    </row>
    <row r="744">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c r="AA744" s="78"/>
      <c r="AB744" s="78"/>
      <c r="AC744" s="78"/>
      <c r="AD744" s="78"/>
      <c r="AE744" s="78"/>
      <c r="AF744" s="78"/>
      <c r="AG744" s="78"/>
      <c r="AH744" s="78"/>
      <c r="AI744" s="78"/>
      <c r="AJ744" s="78"/>
      <c r="AK744" s="78"/>
      <c r="AL744" s="78"/>
      <c r="AM744" s="78"/>
      <c r="AN744" s="78"/>
      <c r="AO744" s="78"/>
      <c r="AP744" s="78"/>
      <c r="AQ744" s="78"/>
      <c r="AR744" s="78"/>
      <c r="AS744" s="78"/>
      <c r="AT744" s="78"/>
      <c r="AU744" s="78"/>
      <c r="AV744" s="78"/>
      <c r="AW744" s="78"/>
      <c r="AX744" s="78"/>
      <c r="AY744" s="78"/>
      <c r="AZ744" s="78"/>
      <c r="BA744" s="78"/>
      <c r="BB744" s="78"/>
      <c r="BC744" s="78"/>
    </row>
    <row r="745">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c r="AA745" s="78"/>
      <c r="AB745" s="78"/>
      <c r="AC745" s="78"/>
      <c r="AD745" s="78"/>
      <c r="AE745" s="78"/>
      <c r="AF745" s="78"/>
      <c r="AG745" s="78"/>
      <c r="AH745" s="78"/>
      <c r="AI745" s="78"/>
      <c r="AJ745" s="78"/>
      <c r="AK745" s="78"/>
      <c r="AL745" s="78"/>
      <c r="AM745" s="78"/>
      <c r="AN745" s="78"/>
      <c r="AO745" s="78"/>
      <c r="AP745" s="78"/>
      <c r="AQ745" s="78"/>
      <c r="AR745" s="78"/>
      <c r="AS745" s="78"/>
      <c r="AT745" s="78"/>
      <c r="AU745" s="78"/>
      <c r="AV745" s="78"/>
      <c r="AW745" s="78"/>
      <c r="AX745" s="78"/>
      <c r="AY745" s="78"/>
      <c r="AZ745" s="78"/>
      <c r="BA745" s="78"/>
      <c r="BB745" s="78"/>
      <c r="BC745" s="78"/>
    </row>
    <row r="746">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c r="AA746" s="78"/>
      <c r="AB746" s="78"/>
      <c r="AC746" s="78"/>
      <c r="AD746" s="78"/>
      <c r="AE746" s="78"/>
      <c r="AF746" s="78"/>
      <c r="AG746" s="78"/>
      <c r="AH746" s="78"/>
      <c r="AI746" s="78"/>
      <c r="AJ746" s="78"/>
      <c r="AK746" s="78"/>
      <c r="AL746" s="78"/>
      <c r="AM746" s="78"/>
      <c r="AN746" s="78"/>
      <c r="AO746" s="78"/>
      <c r="AP746" s="78"/>
      <c r="AQ746" s="78"/>
      <c r="AR746" s="78"/>
      <c r="AS746" s="78"/>
      <c r="AT746" s="78"/>
      <c r="AU746" s="78"/>
      <c r="AV746" s="78"/>
      <c r="AW746" s="78"/>
      <c r="AX746" s="78"/>
      <c r="AY746" s="78"/>
      <c r="AZ746" s="78"/>
      <c r="BA746" s="78"/>
      <c r="BB746" s="78"/>
      <c r="BC746" s="78"/>
    </row>
    <row r="747">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c r="AA747" s="78"/>
      <c r="AB747" s="78"/>
      <c r="AC747" s="78"/>
      <c r="AD747" s="78"/>
      <c r="AE747" s="78"/>
      <c r="AF747" s="78"/>
      <c r="AG747" s="78"/>
      <c r="AH747" s="78"/>
      <c r="AI747" s="78"/>
      <c r="AJ747" s="78"/>
      <c r="AK747" s="78"/>
      <c r="AL747" s="78"/>
      <c r="AM747" s="78"/>
      <c r="AN747" s="78"/>
      <c r="AO747" s="78"/>
      <c r="AP747" s="78"/>
      <c r="AQ747" s="78"/>
      <c r="AR747" s="78"/>
      <c r="AS747" s="78"/>
      <c r="AT747" s="78"/>
      <c r="AU747" s="78"/>
      <c r="AV747" s="78"/>
      <c r="AW747" s="78"/>
      <c r="AX747" s="78"/>
      <c r="AY747" s="78"/>
      <c r="AZ747" s="78"/>
      <c r="BA747" s="78"/>
      <c r="BB747" s="78"/>
      <c r="BC747" s="78"/>
    </row>
    <row r="748">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c r="AA748" s="78"/>
      <c r="AB748" s="78"/>
      <c r="AC748" s="78"/>
      <c r="AD748" s="78"/>
      <c r="AE748" s="78"/>
      <c r="AF748" s="78"/>
      <c r="AG748" s="78"/>
      <c r="AH748" s="78"/>
      <c r="AI748" s="78"/>
      <c r="AJ748" s="78"/>
      <c r="AK748" s="78"/>
      <c r="AL748" s="78"/>
      <c r="AM748" s="78"/>
      <c r="AN748" s="78"/>
      <c r="AO748" s="78"/>
      <c r="AP748" s="78"/>
      <c r="AQ748" s="78"/>
      <c r="AR748" s="78"/>
      <c r="AS748" s="78"/>
      <c r="AT748" s="78"/>
      <c r="AU748" s="78"/>
      <c r="AV748" s="78"/>
      <c r="AW748" s="78"/>
      <c r="AX748" s="78"/>
      <c r="AY748" s="78"/>
      <c r="AZ748" s="78"/>
      <c r="BA748" s="78"/>
      <c r="BB748" s="78"/>
      <c r="BC748" s="78"/>
    </row>
    <row r="749">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c r="AA749" s="78"/>
      <c r="AB749" s="78"/>
      <c r="AC749" s="78"/>
      <c r="AD749" s="78"/>
      <c r="AE749" s="78"/>
      <c r="AF749" s="78"/>
      <c r="AG749" s="78"/>
      <c r="AH749" s="78"/>
      <c r="AI749" s="78"/>
      <c r="AJ749" s="78"/>
      <c r="AK749" s="78"/>
      <c r="AL749" s="78"/>
      <c r="AM749" s="78"/>
      <c r="AN749" s="78"/>
      <c r="AO749" s="78"/>
      <c r="AP749" s="78"/>
      <c r="AQ749" s="78"/>
      <c r="AR749" s="78"/>
      <c r="AS749" s="78"/>
      <c r="AT749" s="78"/>
      <c r="AU749" s="78"/>
      <c r="AV749" s="78"/>
      <c r="AW749" s="78"/>
      <c r="AX749" s="78"/>
      <c r="AY749" s="78"/>
      <c r="AZ749" s="78"/>
      <c r="BA749" s="78"/>
      <c r="BB749" s="78"/>
      <c r="BC749" s="78"/>
    </row>
    <row r="750">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c r="AA750" s="78"/>
      <c r="AB750" s="78"/>
      <c r="AC750" s="78"/>
      <c r="AD750" s="78"/>
      <c r="AE750" s="78"/>
      <c r="AF750" s="78"/>
      <c r="AG750" s="78"/>
      <c r="AH750" s="78"/>
      <c r="AI750" s="78"/>
      <c r="AJ750" s="78"/>
      <c r="AK750" s="78"/>
      <c r="AL750" s="78"/>
      <c r="AM750" s="78"/>
      <c r="AN750" s="78"/>
      <c r="AO750" s="78"/>
      <c r="AP750" s="78"/>
      <c r="AQ750" s="78"/>
      <c r="AR750" s="78"/>
      <c r="AS750" s="78"/>
      <c r="AT750" s="78"/>
      <c r="AU750" s="78"/>
      <c r="AV750" s="78"/>
      <c r="AW750" s="78"/>
      <c r="AX750" s="78"/>
      <c r="AY750" s="78"/>
      <c r="AZ750" s="78"/>
      <c r="BA750" s="78"/>
      <c r="BB750" s="78"/>
      <c r="BC750" s="78"/>
    </row>
    <row r="751">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c r="AA751" s="78"/>
      <c r="AB751" s="78"/>
      <c r="AC751" s="78"/>
      <c r="AD751" s="78"/>
      <c r="AE751" s="78"/>
      <c r="AF751" s="78"/>
      <c r="AG751" s="78"/>
      <c r="AH751" s="78"/>
      <c r="AI751" s="78"/>
      <c r="AJ751" s="78"/>
      <c r="AK751" s="78"/>
      <c r="AL751" s="78"/>
      <c r="AM751" s="78"/>
      <c r="AN751" s="78"/>
      <c r="AO751" s="78"/>
      <c r="AP751" s="78"/>
      <c r="AQ751" s="78"/>
      <c r="AR751" s="78"/>
      <c r="AS751" s="78"/>
      <c r="AT751" s="78"/>
      <c r="AU751" s="78"/>
      <c r="AV751" s="78"/>
      <c r="AW751" s="78"/>
      <c r="AX751" s="78"/>
      <c r="AY751" s="78"/>
      <c r="AZ751" s="78"/>
      <c r="BA751" s="78"/>
      <c r="BB751" s="78"/>
      <c r="BC751" s="78"/>
    </row>
    <row r="752">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c r="AA752" s="78"/>
      <c r="AB752" s="78"/>
      <c r="AC752" s="78"/>
      <c r="AD752" s="78"/>
      <c r="AE752" s="78"/>
      <c r="AF752" s="78"/>
      <c r="AG752" s="78"/>
      <c r="AH752" s="78"/>
      <c r="AI752" s="78"/>
      <c r="AJ752" s="78"/>
      <c r="AK752" s="78"/>
      <c r="AL752" s="78"/>
      <c r="AM752" s="78"/>
      <c r="AN752" s="78"/>
      <c r="AO752" s="78"/>
      <c r="AP752" s="78"/>
      <c r="AQ752" s="78"/>
      <c r="AR752" s="78"/>
      <c r="AS752" s="78"/>
      <c r="AT752" s="78"/>
      <c r="AU752" s="78"/>
      <c r="AV752" s="78"/>
      <c r="AW752" s="78"/>
      <c r="AX752" s="78"/>
      <c r="AY752" s="78"/>
      <c r="AZ752" s="78"/>
      <c r="BA752" s="78"/>
      <c r="BB752" s="78"/>
      <c r="BC752" s="78"/>
    </row>
    <row r="753">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c r="AA753" s="78"/>
      <c r="AB753" s="78"/>
      <c r="AC753" s="78"/>
      <c r="AD753" s="78"/>
      <c r="AE753" s="78"/>
      <c r="AF753" s="78"/>
      <c r="AG753" s="78"/>
      <c r="AH753" s="78"/>
      <c r="AI753" s="78"/>
      <c r="AJ753" s="78"/>
      <c r="AK753" s="78"/>
      <c r="AL753" s="78"/>
      <c r="AM753" s="78"/>
      <c r="AN753" s="78"/>
      <c r="AO753" s="78"/>
      <c r="AP753" s="78"/>
      <c r="AQ753" s="78"/>
      <c r="AR753" s="78"/>
      <c r="AS753" s="78"/>
      <c r="AT753" s="78"/>
      <c r="AU753" s="78"/>
      <c r="AV753" s="78"/>
      <c r="AW753" s="78"/>
      <c r="AX753" s="78"/>
      <c r="AY753" s="78"/>
      <c r="AZ753" s="78"/>
      <c r="BA753" s="78"/>
      <c r="BB753" s="78"/>
      <c r="BC753" s="78"/>
    </row>
    <row r="754">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c r="AA754" s="78"/>
      <c r="AB754" s="78"/>
      <c r="AC754" s="78"/>
      <c r="AD754" s="78"/>
      <c r="AE754" s="78"/>
      <c r="AF754" s="78"/>
      <c r="AG754" s="78"/>
      <c r="AH754" s="78"/>
      <c r="AI754" s="78"/>
      <c r="AJ754" s="78"/>
      <c r="AK754" s="78"/>
      <c r="AL754" s="78"/>
      <c r="AM754" s="78"/>
      <c r="AN754" s="78"/>
      <c r="AO754" s="78"/>
      <c r="AP754" s="78"/>
      <c r="AQ754" s="78"/>
      <c r="AR754" s="78"/>
      <c r="AS754" s="78"/>
      <c r="AT754" s="78"/>
      <c r="AU754" s="78"/>
      <c r="AV754" s="78"/>
      <c r="AW754" s="78"/>
      <c r="AX754" s="78"/>
      <c r="AY754" s="78"/>
      <c r="AZ754" s="78"/>
      <c r="BA754" s="78"/>
      <c r="BB754" s="78"/>
      <c r="BC754" s="78"/>
    </row>
    <row r="755">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c r="AA755" s="78"/>
      <c r="AB755" s="78"/>
      <c r="AC755" s="78"/>
      <c r="AD755" s="78"/>
      <c r="AE755" s="78"/>
      <c r="AF755" s="78"/>
      <c r="AG755" s="78"/>
      <c r="AH755" s="78"/>
      <c r="AI755" s="78"/>
      <c r="AJ755" s="78"/>
      <c r="AK755" s="78"/>
      <c r="AL755" s="78"/>
      <c r="AM755" s="78"/>
      <c r="AN755" s="78"/>
      <c r="AO755" s="78"/>
      <c r="AP755" s="78"/>
      <c r="AQ755" s="78"/>
      <c r="AR755" s="78"/>
      <c r="AS755" s="78"/>
      <c r="AT755" s="78"/>
      <c r="AU755" s="78"/>
      <c r="AV755" s="78"/>
      <c r="AW755" s="78"/>
      <c r="AX755" s="78"/>
      <c r="AY755" s="78"/>
      <c r="AZ755" s="78"/>
      <c r="BA755" s="78"/>
      <c r="BB755" s="78"/>
      <c r="BC755" s="78"/>
    </row>
    <row r="756">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c r="AA756" s="78"/>
      <c r="AB756" s="78"/>
      <c r="AC756" s="78"/>
      <c r="AD756" s="78"/>
      <c r="AE756" s="78"/>
      <c r="AF756" s="78"/>
      <c r="AG756" s="78"/>
      <c r="AH756" s="78"/>
      <c r="AI756" s="78"/>
      <c r="AJ756" s="78"/>
      <c r="AK756" s="78"/>
      <c r="AL756" s="78"/>
      <c r="AM756" s="78"/>
      <c r="AN756" s="78"/>
      <c r="AO756" s="78"/>
      <c r="AP756" s="78"/>
      <c r="AQ756" s="78"/>
      <c r="AR756" s="78"/>
      <c r="AS756" s="78"/>
      <c r="AT756" s="78"/>
      <c r="AU756" s="78"/>
      <c r="AV756" s="78"/>
      <c r="AW756" s="78"/>
      <c r="AX756" s="78"/>
      <c r="AY756" s="78"/>
      <c r="AZ756" s="78"/>
      <c r="BA756" s="78"/>
      <c r="BB756" s="78"/>
      <c r="BC756" s="78"/>
    </row>
    <row r="757">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c r="AA757" s="78"/>
      <c r="AB757" s="78"/>
      <c r="AC757" s="78"/>
      <c r="AD757" s="78"/>
      <c r="AE757" s="78"/>
      <c r="AF757" s="78"/>
      <c r="AG757" s="78"/>
      <c r="AH757" s="78"/>
      <c r="AI757" s="78"/>
      <c r="AJ757" s="78"/>
      <c r="AK757" s="78"/>
      <c r="AL757" s="78"/>
      <c r="AM757" s="78"/>
      <c r="AN757" s="78"/>
      <c r="AO757" s="78"/>
      <c r="AP757" s="78"/>
      <c r="AQ757" s="78"/>
      <c r="AR757" s="78"/>
      <c r="AS757" s="78"/>
      <c r="AT757" s="78"/>
      <c r="AU757" s="78"/>
      <c r="AV757" s="78"/>
      <c r="AW757" s="78"/>
      <c r="AX757" s="78"/>
      <c r="AY757" s="78"/>
      <c r="AZ757" s="78"/>
      <c r="BA757" s="78"/>
      <c r="BB757" s="78"/>
      <c r="BC757" s="78"/>
    </row>
    <row r="758">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c r="AA758" s="78"/>
      <c r="AB758" s="78"/>
      <c r="AC758" s="78"/>
      <c r="AD758" s="78"/>
      <c r="AE758" s="78"/>
      <c r="AF758" s="78"/>
      <c r="AG758" s="78"/>
      <c r="AH758" s="78"/>
      <c r="AI758" s="78"/>
      <c r="AJ758" s="78"/>
      <c r="AK758" s="78"/>
      <c r="AL758" s="78"/>
      <c r="AM758" s="78"/>
      <c r="AN758" s="78"/>
      <c r="AO758" s="78"/>
      <c r="AP758" s="78"/>
      <c r="AQ758" s="78"/>
      <c r="AR758" s="78"/>
      <c r="AS758" s="78"/>
      <c r="AT758" s="78"/>
      <c r="AU758" s="78"/>
      <c r="AV758" s="78"/>
      <c r="AW758" s="78"/>
      <c r="AX758" s="78"/>
      <c r="AY758" s="78"/>
      <c r="AZ758" s="78"/>
      <c r="BA758" s="78"/>
      <c r="BB758" s="78"/>
      <c r="BC758" s="78"/>
    </row>
    <row r="759">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c r="AA759" s="78"/>
      <c r="AB759" s="78"/>
      <c r="AC759" s="78"/>
      <c r="AD759" s="78"/>
      <c r="AE759" s="78"/>
      <c r="AF759" s="78"/>
      <c r="AG759" s="78"/>
      <c r="AH759" s="78"/>
      <c r="AI759" s="78"/>
      <c r="AJ759" s="78"/>
      <c r="AK759" s="78"/>
      <c r="AL759" s="78"/>
      <c r="AM759" s="78"/>
      <c r="AN759" s="78"/>
      <c r="AO759" s="78"/>
      <c r="AP759" s="78"/>
      <c r="AQ759" s="78"/>
      <c r="AR759" s="78"/>
      <c r="AS759" s="78"/>
      <c r="AT759" s="78"/>
      <c r="AU759" s="78"/>
      <c r="AV759" s="78"/>
      <c r="AW759" s="78"/>
      <c r="AX759" s="78"/>
      <c r="AY759" s="78"/>
      <c r="AZ759" s="78"/>
      <c r="BA759" s="78"/>
      <c r="BB759" s="78"/>
      <c r="BC759" s="78"/>
    </row>
    <row r="760">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c r="AA760" s="78"/>
      <c r="AB760" s="78"/>
      <c r="AC760" s="78"/>
      <c r="AD760" s="78"/>
      <c r="AE760" s="78"/>
      <c r="AF760" s="78"/>
      <c r="AG760" s="78"/>
      <c r="AH760" s="78"/>
      <c r="AI760" s="78"/>
      <c r="AJ760" s="78"/>
      <c r="AK760" s="78"/>
      <c r="AL760" s="78"/>
      <c r="AM760" s="78"/>
      <c r="AN760" s="78"/>
      <c r="AO760" s="78"/>
      <c r="AP760" s="78"/>
      <c r="AQ760" s="78"/>
      <c r="AR760" s="78"/>
      <c r="AS760" s="78"/>
      <c r="AT760" s="78"/>
      <c r="AU760" s="78"/>
      <c r="AV760" s="78"/>
      <c r="AW760" s="78"/>
      <c r="AX760" s="78"/>
      <c r="AY760" s="78"/>
      <c r="AZ760" s="78"/>
      <c r="BA760" s="78"/>
      <c r="BB760" s="78"/>
      <c r="BC760" s="78"/>
    </row>
    <row r="761">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c r="AA761" s="78"/>
      <c r="AB761" s="78"/>
      <c r="AC761" s="78"/>
      <c r="AD761" s="78"/>
      <c r="AE761" s="78"/>
      <c r="AF761" s="78"/>
      <c r="AG761" s="78"/>
      <c r="AH761" s="78"/>
      <c r="AI761" s="78"/>
      <c r="AJ761" s="78"/>
      <c r="AK761" s="78"/>
      <c r="AL761" s="78"/>
      <c r="AM761" s="78"/>
      <c r="AN761" s="78"/>
      <c r="AO761" s="78"/>
      <c r="AP761" s="78"/>
      <c r="AQ761" s="78"/>
      <c r="AR761" s="78"/>
      <c r="AS761" s="78"/>
      <c r="AT761" s="78"/>
      <c r="AU761" s="78"/>
      <c r="AV761" s="78"/>
      <c r="AW761" s="78"/>
      <c r="AX761" s="78"/>
      <c r="AY761" s="78"/>
      <c r="AZ761" s="78"/>
      <c r="BA761" s="78"/>
      <c r="BB761" s="78"/>
      <c r="BC761" s="78"/>
    </row>
    <row r="762">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c r="AA762" s="78"/>
      <c r="AB762" s="78"/>
      <c r="AC762" s="78"/>
      <c r="AD762" s="78"/>
      <c r="AE762" s="78"/>
      <c r="AF762" s="78"/>
      <c r="AG762" s="78"/>
      <c r="AH762" s="78"/>
      <c r="AI762" s="78"/>
      <c r="AJ762" s="78"/>
      <c r="AK762" s="78"/>
      <c r="AL762" s="78"/>
      <c r="AM762" s="78"/>
      <c r="AN762" s="78"/>
      <c r="AO762" s="78"/>
      <c r="AP762" s="78"/>
      <c r="AQ762" s="78"/>
      <c r="AR762" s="78"/>
      <c r="AS762" s="78"/>
      <c r="AT762" s="78"/>
      <c r="AU762" s="78"/>
      <c r="AV762" s="78"/>
      <c r="AW762" s="78"/>
      <c r="AX762" s="78"/>
      <c r="AY762" s="78"/>
      <c r="AZ762" s="78"/>
      <c r="BA762" s="78"/>
      <c r="BB762" s="78"/>
      <c r="BC762" s="78"/>
    </row>
    <row r="763">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c r="AA763" s="78"/>
      <c r="AB763" s="78"/>
      <c r="AC763" s="78"/>
      <c r="AD763" s="78"/>
      <c r="AE763" s="78"/>
      <c r="AF763" s="78"/>
      <c r="AG763" s="78"/>
      <c r="AH763" s="78"/>
      <c r="AI763" s="78"/>
      <c r="AJ763" s="78"/>
      <c r="AK763" s="78"/>
      <c r="AL763" s="78"/>
      <c r="AM763" s="78"/>
      <c r="AN763" s="78"/>
      <c r="AO763" s="78"/>
      <c r="AP763" s="78"/>
      <c r="AQ763" s="78"/>
      <c r="AR763" s="78"/>
      <c r="AS763" s="78"/>
      <c r="AT763" s="78"/>
      <c r="AU763" s="78"/>
      <c r="AV763" s="78"/>
      <c r="AW763" s="78"/>
      <c r="AX763" s="78"/>
      <c r="AY763" s="78"/>
      <c r="AZ763" s="78"/>
      <c r="BA763" s="78"/>
      <c r="BB763" s="78"/>
      <c r="BC763" s="78"/>
    </row>
    <row r="764">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c r="AA764" s="78"/>
      <c r="AB764" s="78"/>
      <c r="AC764" s="78"/>
      <c r="AD764" s="78"/>
      <c r="AE764" s="78"/>
      <c r="AF764" s="78"/>
      <c r="AG764" s="78"/>
      <c r="AH764" s="78"/>
      <c r="AI764" s="78"/>
      <c r="AJ764" s="78"/>
      <c r="AK764" s="78"/>
      <c r="AL764" s="78"/>
      <c r="AM764" s="78"/>
      <c r="AN764" s="78"/>
      <c r="AO764" s="78"/>
      <c r="AP764" s="78"/>
      <c r="AQ764" s="78"/>
      <c r="AR764" s="78"/>
      <c r="AS764" s="78"/>
      <c r="AT764" s="78"/>
      <c r="AU764" s="78"/>
      <c r="AV764" s="78"/>
      <c r="AW764" s="78"/>
      <c r="AX764" s="78"/>
      <c r="AY764" s="78"/>
      <c r="AZ764" s="78"/>
      <c r="BA764" s="78"/>
      <c r="BB764" s="78"/>
      <c r="BC764" s="78"/>
    </row>
    <row r="765">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c r="AA765" s="78"/>
      <c r="AB765" s="78"/>
      <c r="AC765" s="78"/>
      <c r="AD765" s="78"/>
      <c r="AE765" s="78"/>
      <c r="AF765" s="78"/>
      <c r="AG765" s="78"/>
      <c r="AH765" s="78"/>
      <c r="AI765" s="78"/>
      <c r="AJ765" s="78"/>
      <c r="AK765" s="78"/>
      <c r="AL765" s="78"/>
      <c r="AM765" s="78"/>
      <c r="AN765" s="78"/>
      <c r="AO765" s="78"/>
      <c r="AP765" s="78"/>
      <c r="AQ765" s="78"/>
      <c r="AR765" s="78"/>
      <c r="AS765" s="78"/>
      <c r="AT765" s="78"/>
      <c r="AU765" s="78"/>
      <c r="AV765" s="78"/>
      <c r="AW765" s="78"/>
      <c r="AX765" s="78"/>
      <c r="AY765" s="78"/>
      <c r="AZ765" s="78"/>
      <c r="BA765" s="78"/>
      <c r="BB765" s="78"/>
      <c r="BC765" s="78"/>
    </row>
    <row r="766">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c r="AA766" s="78"/>
      <c r="AB766" s="78"/>
      <c r="AC766" s="78"/>
      <c r="AD766" s="78"/>
      <c r="AE766" s="78"/>
      <c r="AF766" s="78"/>
      <c r="AG766" s="78"/>
      <c r="AH766" s="78"/>
      <c r="AI766" s="78"/>
      <c r="AJ766" s="78"/>
      <c r="AK766" s="78"/>
      <c r="AL766" s="78"/>
      <c r="AM766" s="78"/>
      <c r="AN766" s="78"/>
      <c r="AO766" s="78"/>
      <c r="AP766" s="78"/>
      <c r="AQ766" s="78"/>
      <c r="AR766" s="78"/>
      <c r="AS766" s="78"/>
      <c r="AT766" s="78"/>
      <c r="AU766" s="78"/>
      <c r="AV766" s="78"/>
      <c r="AW766" s="78"/>
      <c r="AX766" s="78"/>
      <c r="AY766" s="78"/>
      <c r="AZ766" s="78"/>
      <c r="BA766" s="78"/>
      <c r="BB766" s="78"/>
      <c r="BC766" s="78"/>
    </row>
    <row r="767">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c r="AA767" s="78"/>
      <c r="AB767" s="78"/>
      <c r="AC767" s="78"/>
      <c r="AD767" s="78"/>
      <c r="AE767" s="78"/>
      <c r="AF767" s="78"/>
      <c r="AG767" s="78"/>
      <c r="AH767" s="78"/>
      <c r="AI767" s="78"/>
      <c r="AJ767" s="78"/>
      <c r="AK767" s="78"/>
      <c r="AL767" s="78"/>
      <c r="AM767" s="78"/>
      <c r="AN767" s="78"/>
      <c r="AO767" s="78"/>
      <c r="AP767" s="78"/>
      <c r="AQ767" s="78"/>
      <c r="AR767" s="78"/>
      <c r="AS767" s="78"/>
      <c r="AT767" s="78"/>
      <c r="AU767" s="78"/>
      <c r="AV767" s="78"/>
      <c r="AW767" s="78"/>
      <c r="AX767" s="78"/>
      <c r="AY767" s="78"/>
      <c r="AZ767" s="78"/>
      <c r="BA767" s="78"/>
      <c r="BB767" s="78"/>
      <c r="BC767" s="78"/>
    </row>
    <row r="768">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c r="AA768" s="78"/>
      <c r="AB768" s="78"/>
      <c r="AC768" s="78"/>
      <c r="AD768" s="78"/>
      <c r="AE768" s="78"/>
      <c r="AF768" s="78"/>
      <c r="AG768" s="78"/>
      <c r="AH768" s="78"/>
      <c r="AI768" s="78"/>
      <c r="AJ768" s="78"/>
      <c r="AK768" s="78"/>
      <c r="AL768" s="78"/>
      <c r="AM768" s="78"/>
      <c r="AN768" s="78"/>
      <c r="AO768" s="78"/>
      <c r="AP768" s="78"/>
      <c r="AQ768" s="78"/>
      <c r="AR768" s="78"/>
      <c r="AS768" s="78"/>
      <c r="AT768" s="78"/>
      <c r="AU768" s="78"/>
      <c r="AV768" s="78"/>
      <c r="AW768" s="78"/>
      <c r="AX768" s="78"/>
      <c r="AY768" s="78"/>
      <c r="AZ768" s="78"/>
      <c r="BA768" s="78"/>
      <c r="BB768" s="78"/>
      <c r="BC768" s="78"/>
    </row>
    <row r="769">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c r="AA769" s="78"/>
      <c r="AB769" s="78"/>
      <c r="AC769" s="78"/>
      <c r="AD769" s="78"/>
      <c r="AE769" s="78"/>
      <c r="AF769" s="78"/>
      <c r="AG769" s="78"/>
      <c r="AH769" s="78"/>
      <c r="AI769" s="78"/>
      <c r="AJ769" s="78"/>
      <c r="AK769" s="78"/>
      <c r="AL769" s="78"/>
      <c r="AM769" s="78"/>
      <c r="AN769" s="78"/>
      <c r="AO769" s="78"/>
      <c r="AP769" s="78"/>
      <c r="AQ769" s="78"/>
      <c r="AR769" s="78"/>
      <c r="AS769" s="78"/>
      <c r="AT769" s="78"/>
      <c r="AU769" s="78"/>
      <c r="AV769" s="78"/>
      <c r="AW769" s="78"/>
      <c r="AX769" s="78"/>
      <c r="AY769" s="78"/>
      <c r="AZ769" s="78"/>
      <c r="BA769" s="78"/>
      <c r="BB769" s="78"/>
      <c r="BC769" s="78"/>
    </row>
    <row r="770">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c r="AA770" s="78"/>
      <c r="AB770" s="78"/>
      <c r="AC770" s="78"/>
      <c r="AD770" s="78"/>
      <c r="AE770" s="78"/>
      <c r="AF770" s="78"/>
      <c r="AG770" s="78"/>
      <c r="AH770" s="78"/>
      <c r="AI770" s="78"/>
      <c r="AJ770" s="78"/>
      <c r="AK770" s="78"/>
      <c r="AL770" s="78"/>
      <c r="AM770" s="78"/>
      <c r="AN770" s="78"/>
      <c r="AO770" s="78"/>
      <c r="AP770" s="78"/>
      <c r="AQ770" s="78"/>
      <c r="AR770" s="78"/>
      <c r="AS770" s="78"/>
      <c r="AT770" s="78"/>
      <c r="AU770" s="78"/>
      <c r="AV770" s="78"/>
      <c r="AW770" s="78"/>
      <c r="AX770" s="78"/>
      <c r="AY770" s="78"/>
      <c r="AZ770" s="78"/>
      <c r="BA770" s="78"/>
      <c r="BB770" s="78"/>
      <c r="BC770" s="78"/>
    </row>
    <row r="771">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c r="AA771" s="78"/>
      <c r="AB771" s="78"/>
      <c r="AC771" s="78"/>
      <c r="AD771" s="78"/>
      <c r="AE771" s="78"/>
      <c r="AF771" s="78"/>
      <c r="AG771" s="78"/>
      <c r="AH771" s="78"/>
      <c r="AI771" s="78"/>
      <c r="AJ771" s="78"/>
      <c r="AK771" s="78"/>
      <c r="AL771" s="78"/>
      <c r="AM771" s="78"/>
      <c r="AN771" s="78"/>
      <c r="AO771" s="78"/>
      <c r="AP771" s="78"/>
      <c r="AQ771" s="78"/>
      <c r="AR771" s="78"/>
      <c r="AS771" s="78"/>
      <c r="AT771" s="78"/>
      <c r="AU771" s="78"/>
      <c r="AV771" s="78"/>
      <c r="AW771" s="78"/>
      <c r="AX771" s="78"/>
      <c r="AY771" s="78"/>
      <c r="AZ771" s="78"/>
      <c r="BA771" s="78"/>
      <c r="BB771" s="78"/>
      <c r="BC771" s="78"/>
    </row>
    <row r="772">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c r="AA772" s="78"/>
      <c r="AB772" s="78"/>
      <c r="AC772" s="78"/>
      <c r="AD772" s="78"/>
      <c r="AE772" s="78"/>
      <c r="AF772" s="78"/>
      <c r="AG772" s="78"/>
      <c r="AH772" s="78"/>
      <c r="AI772" s="78"/>
      <c r="AJ772" s="78"/>
      <c r="AK772" s="78"/>
      <c r="AL772" s="78"/>
      <c r="AM772" s="78"/>
      <c r="AN772" s="78"/>
      <c r="AO772" s="78"/>
      <c r="AP772" s="78"/>
      <c r="AQ772" s="78"/>
      <c r="AR772" s="78"/>
      <c r="AS772" s="78"/>
      <c r="AT772" s="78"/>
      <c r="AU772" s="78"/>
      <c r="AV772" s="78"/>
      <c r="AW772" s="78"/>
      <c r="AX772" s="78"/>
      <c r="AY772" s="78"/>
      <c r="AZ772" s="78"/>
      <c r="BA772" s="78"/>
      <c r="BB772" s="78"/>
      <c r="BC772" s="78"/>
    </row>
    <row r="773">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c r="AA773" s="78"/>
      <c r="AB773" s="78"/>
      <c r="AC773" s="78"/>
      <c r="AD773" s="78"/>
      <c r="AE773" s="78"/>
      <c r="AF773" s="78"/>
      <c r="AG773" s="78"/>
      <c r="AH773" s="78"/>
      <c r="AI773" s="78"/>
      <c r="AJ773" s="78"/>
      <c r="AK773" s="78"/>
      <c r="AL773" s="78"/>
      <c r="AM773" s="78"/>
      <c r="AN773" s="78"/>
      <c r="AO773" s="78"/>
      <c r="AP773" s="78"/>
      <c r="AQ773" s="78"/>
      <c r="AR773" s="78"/>
      <c r="AS773" s="78"/>
      <c r="AT773" s="78"/>
      <c r="AU773" s="78"/>
      <c r="AV773" s="78"/>
      <c r="AW773" s="78"/>
      <c r="AX773" s="78"/>
      <c r="AY773" s="78"/>
      <c r="AZ773" s="78"/>
      <c r="BA773" s="78"/>
      <c r="BB773" s="78"/>
      <c r="BC773" s="78"/>
    </row>
    <row r="774">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c r="AA774" s="78"/>
      <c r="AB774" s="78"/>
      <c r="AC774" s="78"/>
      <c r="AD774" s="78"/>
      <c r="AE774" s="78"/>
      <c r="AF774" s="78"/>
      <c r="AG774" s="78"/>
      <c r="AH774" s="78"/>
      <c r="AI774" s="78"/>
      <c r="AJ774" s="78"/>
      <c r="AK774" s="78"/>
      <c r="AL774" s="78"/>
      <c r="AM774" s="78"/>
      <c r="AN774" s="78"/>
      <c r="AO774" s="78"/>
      <c r="AP774" s="78"/>
      <c r="AQ774" s="78"/>
      <c r="AR774" s="78"/>
      <c r="AS774" s="78"/>
      <c r="AT774" s="78"/>
      <c r="AU774" s="78"/>
      <c r="AV774" s="78"/>
      <c r="AW774" s="78"/>
      <c r="AX774" s="78"/>
      <c r="AY774" s="78"/>
      <c r="AZ774" s="78"/>
      <c r="BA774" s="78"/>
      <c r="BB774" s="78"/>
      <c r="BC774" s="78"/>
    </row>
    <row r="775">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c r="AA775" s="78"/>
      <c r="AB775" s="78"/>
      <c r="AC775" s="78"/>
      <c r="AD775" s="78"/>
      <c r="AE775" s="78"/>
      <c r="AF775" s="78"/>
      <c r="AG775" s="78"/>
      <c r="AH775" s="78"/>
      <c r="AI775" s="78"/>
      <c r="AJ775" s="78"/>
      <c r="AK775" s="78"/>
      <c r="AL775" s="78"/>
      <c r="AM775" s="78"/>
      <c r="AN775" s="78"/>
      <c r="AO775" s="78"/>
      <c r="AP775" s="78"/>
      <c r="AQ775" s="78"/>
      <c r="AR775" s="78"/>
      <c r="AS775" s="78"/>
      <c r="AT775" s="78"/>
      <c r="AU775" s="78"/>
      <c r="AV775" s="78"/>
      <c r="AW775" s="78"/>
      <c r="AX775" s="78"/>
      <c r="AY775" s="78"/>
      <c r="AZ775" s="78"/>
      <c r="BA775" s="78"/>
      <c r="BB775" s="78"/>
      <c r="BC775" s="78"/>
    </row>
    <row r="776">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c r="AA776" s="78"/>
      <c r="AB776" s="78"/>
      <c r="AC776" s="78"/>
      <c r="AD776" s="78"/>
      <c r="AE776" s="78"/>
      <c r="AF776" s="78"/>
      <c r="AG776" s="78"/>
      <c r="AH776" s="78"/>
      <c r="AI776" s="78"/>
      <c r="AJ776" s="78"/>
      <c r="AK776" s="78"/>
      <c r="AL776" s="78"/>
      <c r="AM776" s="78"/>
      <c r="AN776" s="78"/>
      <c r="AO776" s="78"/>
      <c r="AP776" s="78"/>
      <c r="AQ776" s="78"/>
      <c r="AR776" s="78"/>
      <c r="AS776" s="78"/>
      <c r="AT776" s="78"/>
      <c r="AU776" s="78"/>
      <c r="AV776" s="78"/>
      <c r="AW776" s="78"/>
      <c r="AX776" s="78"/>
      <c r="AY776" s="78"/>
      <c r="AZ776" s="78"/>
      <c r="BA776" s="78"/>
      <c r="BB776" s="78"/>
      <c r="BC776" s="78"/>
    </row>
    <row r="777">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c r="AA777" s="78"/>
      <c r="AB777" s="78"/>
      <c r="AC777" s="78"/>
      <c r="AD777" s="78"/>
      <c r="AE777" s="78"/>
      <c r="AF777" s="78"/>
      <c r="AG777" s="78"/>
      <c r="AH777" s="78"/>
      <c r="AI777" s="78"/>
      <c r="AJ777" s="78"/>
      <c r="AK777" s="78"/>
      <c r="AL777" s="78"/>
      <c r="AM777" s="78"/>
      <c r="AN777" s="78"/>
      <c r="AO777" s="78"/>
      <c r="AP777" s="78"/>
      <c r="AQ777" s="78"/>
      <c r="AR777" s="78"/>
      <c r="AS777" s="78"/>
      <c r="AT777" s="78"/>
      <c r="AU777" s="78"/>
      <c r="AV777" s="78"/>
      <c r="AW777" s="78"/>
      <c r="AX777" s="78"/>
      <c r="AY777" s="78"/>
      <c r="AZ777" s="78"/>
      <c r="BA777" s="78"/>
      <c r="BB777" s="78"/>
      <c r="BC777" s="78"/>
    </row>
    <row r="778">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c r="AA778" s="78"/>
      <c r="AB778" s="78"/>
      <c r="AC778" s="78"/>
      <c r="AD778" s="78"/>
      <c r="AE778" s="78"/>
      <c r="AF778" s="78"/>
      <c r="AG778" s="78"/>
      <c r="AH778" s="78"/>
      <c r="AI778" s="78"/>
      <c r="AJ778" s="78"/>
      <c r="AK778" s="78"/>
      <c r="AL778" s="78"/>
      <c r="AM778" s="78"/>
      <c r="AN778" s="78"/>
      <c r="AO778" s="78"/>
      <c r="AP778" s="78"/>
      <c r="AQ778" s="78"/>
      <c r="AR778" s="78"/>
      <c r="AS778" s="78"/>
      <c r="AT778" s="78"/>
      <c r="AU778" s="78"/>
      <c r="AV778" s="78"/>
      <c r="AW778" s="78"/>
      <c r="AX778" s="78"/>
      <c r="AY778" s="78"/>
      <c r="AZ778" s="78"/>
      <c r="BA778" s="78"/>
      <c r="BB778" s="78"/>
      <c r="BC778" s="78"/>
    </row>
    <row r="779">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c r="AA779" s="78"/>
      <c r="AB779" s="78"/>
      <c r="AC779" s="78"/>
      <c r="AD779" s="78"/>
      <c r="AE779" s="78"/>
      <c r="AF779" s="78"/>
      <c r="AG779" s="78"/>
      <c r="AH779" s="78"/>
      <c r="AI779" s="78"/>
      <c r="AJ779" s="78"/>
      <c r="AK779" s="78"/>
      <c r="AL779" s="78"/>
      <c r="AM779" s="78"/>
      <c r="AN779" s="78"/>
      <c r="AO779" s="78"/>
      <c r="AP779" s="78"/>
      <c r="AQ779" s="78"/>
      <c r="AR779" s="78"/>
      <c r="AS779" s="78"/>
      <c r="AT779" s="78"/>
      <c r="AU779" s="78"/>
      <c r="AV779" s="78"/>
      <c r="AW779" s="78"/>
      <c r="AX779" s="78"/>
      <c r="AY779" s="78"/>
      <c r="AZ779" s="78"/>
      <c r="BA779" s="78"/>
      <c r="BB779" s="78"/>
      <c r="BC779" s="78"/>
    </row>
    <row r="780">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c r="AA780" s="78"/>
      <c r="AB780" s="78"/>
      <c r="AC780" s="78"/>
      <c r="AD780" s="78"/>
      <c r="AE780" s="78"/>
      <c r="AF780" s="78"/>
      <c r="AG780" s="78"/>
      <c r="AH780" s="78"/>
      <c r="AI780" s="78"/>
      <c r="AJ780" s="78"/>
      <c r="AK780" s="78"/>
      <c r="AL780" s="78"/>
      <c r="AM780" s="78"/>
      <c r="AN780" s="78"/>
      <c r="AO780" s="78"/>
      <c r="AP780" s="78"/>
      <c r="AQ780" s="78"/>
      <c r="AR780" s="78"/>
      <c r="AS780" s="78"/>
      <c r="AT780" s="78"/>
      <c r="AU780" s="78"/>
      <c r="AV780" s="78"/>
      <c r="AW780" s="78"/>
      <c r="AX780" s="78"/>
      <c r="AY780" s="78"/>
      <c r="AZ780" s="78"/>
      <c r="BA780" s="78"/>
      <c r="BB780" s="78"/>
      <c r="BC780" s="78"/>
    </row>
    <row r="781">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c r="AA781" s="78"/>
      <c r="AB781" s="78"/>
      <c r="AC781" s="78"/>
      <c r="AD781" s="78"/>
      <c r="AE781" s="78"/>
      <c r="AF781" s="78"/>
      <c r="AG781" s="78"/>
      <c r="AH781" s="78"/>
      <c r="AI781" s="78"/>
      <c r="AJ781" s="78"/>
      <c r="AK781" s="78"/>
      <c r="AL781" s="78"/>
      <c r="AM781" s="78"/>
      <c r="AN781" s="78"/>
      <c r="AO781" s="78"/>
      <c r="AP781" s="78"/>
      <c r="AQ781" s="78"/>
      <c r="AR781" s="78"/>
      <c r="AS781" s="78"/>
      <c r="AT781" s="78"/>
      <c r="AU781" s="78"/>
      <c r="AV781" s="78"/>
      <c r="AW781" s="78"/>
      <c r="AX781" s="78"/>
      <c r="AY781" s="78"/>
      <c r="AZ781" s="78"/>
      <c r="BA781" s="78"/>
      <c r="BB781" s="78"/>
      <c r="BC781" s="78"/>
    </row>
    <row r="782">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c r="AA782" s="78"/>
      <c r="AB782" s="78"/>
      <c r="AC782" s="78"/>
      <c r="AD782" s="78"/>
      <c r="AE782" s="78"/>
      <c r="AF782" s="78"/>
      <c r="AG782" s="78"/>
      <c r="AH782" s="78"/>
      <c r="AI782" s="78"/>
      <c r="AJ782" s="78"/>
      <c r="AK782" s="78"/>
      <c r="AL782" s="78"/>
      <c r="AM782" s="78"/>
      <c r="AN782" s="78"/>
      <c r="AO782" s="78"/>
      <c r="AP782" s="78"/>
      <c r="AQ782" s="78"/>
      <c r="AR782" s="78"/>
      <c r="AS782" s="78"/>
      <c r="AT782" s="78"/>
      <c r="AU782" s="78"/>
      <c r="AV782" s="78"/>
      <c r="AW782" s="78"/>
      <c r="AX782" s="78"/>
      <c r="AY782" s="78"/>
      <c r="AZ782" s="78"/>
      <c r="BA782" s="78"/>
      <c r="BB782" s="78"/>
      <c r="BC782" s="78"/>
    </row>
    <row r="783">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c r="AA783" s="78"/>
      <c r="AB783" s="78"/>
      <c r="AC783" s="78"/>
      <c r="AD783" s="78"/>
      <c r="AE783" s="78"/>
      <c r="AF783" s="78"/>
      <c r="AG783" s="78"/>
      <c r="AH783" s="78"/>
      <c r="AI783" s="78"/>
      <c r="AJ783" s="78"/>
      <c r="AK783" s="78"/>
      <c r="AL783" s="78"/>
      <c r="AM783" s="78"/>
      <c r="AN783" s="78"/>
      <c r="AO783" s="78"/>
      <c r="AP783" s="78"/>
      <c r="AQ783" s="78"/>
      <c r="AR783" s="78"/>
      <c r="AS783" s="78"/>
      <c r="AT783" s="78"/>
      <c r="AU783" s="78"/>
      <c r="AV783" s="78"/>
      <c r="AW783" s="78"/>
      <c r="AX783" s="78"/>
      <c r="AY783" s="78"/>
      <c r="AZ783" s="78"/>
      <c r="BA783" s="78"/>
      <c r="BB783" s="78"/>
      <c r="BC783" s="78"/>
    </row>
    <row r="784">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c r="AA784" s="78"/>
      <c r="AB784" s="78"/>
      <c r="AC784" s="78"/>
      <c r="AD784" s="78"/>
      <c r="AE784" s="78"/>
      <c r="AF784" s="78"/>
      <c r="AG784" s="78"/>
      <c r="AH784" s="78"/>
      <c r="AI784" s="78"/>
      <c r="AJ784" s="78"/>
      <c r="AK784" s="78"/>
      <c r="AL784" s="78"/>
      <c r="AM784" s="78"/>
      <c r="AN784" s="78"/>
      <c r="AO784" s="78"/>
      <c r="AP784" s="78"/>
      <c r="AQ784" s="78"/>
      <c r="AR784" s="78"/>
      <c r="AS784" s="78"/>
      <c r="AT784" s="78"/>
      <c r="AU784" s="78"/>
      <c r="AV784" s="78"/>
      <c r="AW784" s="78"/>
      <c r="AX784" s="78"/>
      <c r="AY784" s="78"/>
      <c r="AZ784" s="78"/>
      <c r="BA784" s="78"/>
      <c r="BB784" s="78"/>
      <c r="BC784" s="78"/>
    </row>
    <row r="785">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c r="AA785" s="78"/>
      <c r="AB785" s="78"/>
      <c r="AC785" s="78"/>
      <c r="AD785" s="78"/>
      <c r="AE785" s="78"/>
      <c r="AF785" s="78"/>
      <c r="AG785" s="78"/>
      <c r="AH785" s="78"/>
      <c r="AI785" s="78"/>
      <c r="AJ785" s="78"/>
      <c r="AK785" s="78"/>
      <c r="AL785" s="78"/>
      <c r="AM785" s="78"/>
      <c r="AN785" s="78"/>
      <c r="AO785" s="78"/>
      <c r="AP785" s="78"/>
      <c r="AQ785" s="78"/>
      <c r="AR785" s="78"/>
      <c r="AS785" s="78"/>
      <c r="AT785" s="78"/>
      <c r="AU785" s="78"/>
      <c r="AV785" s="78"/>
      <c r="AW785" s="78"/>
      <c r="AX785" s="78"/>
      <c r="AY785" s="78"/>
      <c r="AZ785" s="78"/>
      <c r="BA785" s="78"/>
      <c r="BB785" s="78"/>
      <c r="BC785" s="78"/>
    </row>
    <row r="786">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c r="AA786" s="78"/>
      <c r="AB786" s="78"/>
      <c r="AC786" s="78"/>
      <c r="AD786" s="78"/>
      <c r="AE786" s="78"/>
      <c r="AF786" s="78"/>
      <c r="AG786" s="78"/>
      <c r="AH786" s="78"/>
      <c r="AI786" s="78"/>
      <c r="AJ786" s="78"/>
      <c r="AK786" s="78"/>
      <c r="AL786" s="78"/>
      <c r="AM786" s="78"/>
      <c r="AN786" s="78"/>
      <c r="AO786" s="78"/>
      <c r="AP786" s="78"/>
      <c r="AQ786" s="78"/>
      <c r="AR786" s="78"/>
      <c r="AS786" s="78"/>
      <c r="AT786" s="78"/>
      <c r="AU786" s="78"/>
      <c r="AV786" s="78"/>
      <c r="AW786" s="78"/>
      <c r="AX786" s="78"/>
      <c r="AY786" s="78"/>
      <c r="AZ786" s="78"/>
      <c r="BA786" s="78"/>
      <c r="BB786" s="78"/>
      <c r="BC786" s="78"/>
    </row>
    <row r="787">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c r="AA787" s="78"/>
      <c r="AB787" s="78"/>
      <c r="AC787" s="78"/>
      <c r="AD787" s="78"/>
      <c r="AE787" s="78"/>
      <c r="AF787" s="78"/>
      <c r="AG787" s="78"/>
      <c r="AH787" s="78"/>
      <c r="AI787" s="78"/>
      <c r="AJ787" s="78"/>
      <c r="AK787" s="78"/>
      <c r="AL787" s="78"/>
      <c r="AM787" s="78"/>
      <c r="AN787" s="78"/>
      <c r="AO787" s="78"/>
      <c r="AP787" s="78"/>
      <c r="AQ787" s="78"/>
      <c r="AR787" s="78"/>
      <c r="AS787" s="78"/>
      <c r="AT787" s="78"/>
      <c r="AU787" s="78"/>
      <c r="AV787" s="78"/>
      <c r="AW787" s="78"/>
      <c r="AX787" s="78"/>
      <c r="AY787" s="78"/>
      <c r="AZ787" s="78"/>
      <c r="BA787" s="78"/>
      <c r="BB787" s="78"/>
      <c r="BC787" s="78"/>
    </row>
    <row r="788">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c r="AA788" s="78"/>
      <c r="AB788" s="78"/>
      <c r="AC788" s="78"/>
      <c r="AD788" s="78"/>
      <c r="AE788" s="78"/>
      <c r="AF788" s="78"/>
      <c r="AG788" s="78"/>
      <c r="AH788" s="78"/>
      <c r="AI788" s="78"/>
      <c r="AJ788" s="78"/>
      <c r="AK788" s="78"/>
      <c r="AL788" s="78"/>
      <c r="AM788" s="78"/>
      <c r="AN788" s="78"/>
      <c r="AO788" s="78"/>
      <c r="AP788" s="78"/>
      <c r="AQ788" s="78"/>
      <c r="AR788" s="78"/>
      <c r="AS788" s="78"/>
      <c r="AT788" s="78"/>
      <c r="AU788" s="78"/>
      <c r="AV788" s="78"/>
      <c r="AW788" s="78"/>
      <c r="AX788" s="78"/>
      <c r="AY788" s="78"/>
      <c r="AZ788" s="78"/>
      <c r="BA788" s="78"/>
      <c r="BB788" s="78"/>
      <c r="BC788" s="78"/>
    </row>
    <row r="789">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c r="AA789" s="78"/>
      <c r="AB789" s="78"/>
      <c r="AC789" s="78"/>
      <c r="AD789" s="78"/>
      <c r="AE789" s="78"/>
      <c r="AF789" s="78"/>
      <c r="AG789" s="78"/>
      <c r="AH789" s="78"/>
      <c r="AI789" s="78"/>
      <c r="AJ789" s="78"/>
      <c r="AK789" s="78"/>
      <c r="AL789" s="78"/>
      <c r="AM789" s="78"/>
      <c r="AN789" s="78"/>
      <c r="AO789" s="78"/>
      <c r="AP789" s="78"/>
      <c r="AQ789" s="78"/>
      <c r="AR789" s="78"/>
      <c r="AS789" s="78"/>
      <c r="AT789" s="78"/>
      <c r="AU789" s="78"/>
      <c r="AV789" s="78"/>
      <c r="AW789" s="78"/>
      <c r="AX789" s="78"/>
      <c r="AY789" s="78"/>
      <c r="AZ789" s="78"/>
      <c r="BA789" s="78"/>
      <c r="BB789" s="78"/>
      <c r="BC789" s="78"/>
    </row>
    <row r="790">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c r="AA790" s="78"/>
      <c r="AB790" s="78"/>
      <c r="AC790" s="78"/>
      <c r="AD790" s="78"/>
      <c r="AE790" s="78"/>
      <c r="AF790" s="78"/>
      <c r="AG790" s="78"/>
      <c r="AH790" s="78"/>
      <c r="AI790" s="78"/>
      <c r="AJ790" s="78"/>
      <c r="AK790" s="78"/>
      <c r="AL790" s="78"/>
      <c r="AM790" s="78"/>
      <c r="AN790" s="78"/>
      <c r="AO790" s="78"/>
      <c r="AP790" s="78"/>
      <c r="AQ790" s="78"/>
      <c r="AR790" s="78"/>
      <c r="AS790" s="78"/>
      <c r="AT790" s="78"/>
      <c r="AU790" s="78"/>
      <c r="AV790" s="78"/>
      <c r="AW790" s="78"/>
      <c r="AX790" s="78"/>
      <c r="AY790" s="78"/>
      <c r="AZ790" s="78"/>
      <c r="BA790" s="78"/>
      <c r="BB790" s="78"/>
      <c r="BC790" s="78"/>
    </row>
    <row r="791">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c r="AA791" s="78"/>
      <c r="AB791" s="78"/>
      <c r="AC791" s="78"/>
      <c r="AD791" s="78"/>
      <c r="AE791" s="78"/>
      <c r="AF791" s="78"/>
      <c r="AG791" s="78"/>
      <c r="AH791" s="78"/>
      <c r="AI791" s="78"/>
      <c r="AJ791" s="78"/>
      <c r="AK791" s="78"/>
      <c r="AL791" s="78"/>
      <c r="AM791" s="78"/>
      <c r="AN791" s="78"/>
      <c r="AO791" s="78"/>
      <c r="AP791" s="78"/>
      <c r="AQ791" s="78"/>
      <c r="AR791" s="78"/>
      <c r="AS791" s="78"/>
      <c r="AT791" s="78"/>
      <c r="AU791" s="78"/>
      <c r="AV791" s="78"/>
      <c r="AW791" s="78"/>
      <c r="AX791" s="78"/>
      <c r="AY791" s="78"/>
      <c r="AZ791" s="78"/>
      <c r="BA791" s="78"/>
      <c r="BB791" s="78"/>
      <c r="BC791" s="78"/>
    </row>
    <row r="792">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c r="AA792" s="78"/>
      <c r="AB792" s="78"/>
      <c r="AC792" s="78"/>
      <c r="AD792" s="78"/>
      <c r="AE792" s="78"/>
      <c r="AF792" s="78"/>
      <c r="AG792" s="78"/>
      <c r="AH792" s="78"/>
      <c r="AI792" s="78"/>
      <c r="AJ792" s="78"/>
      <c r="AK792" s="78"/>
      <c r="AL792" s="78"/>
      <c r="AM792" s="78"/>
      <c r="AN792" s="78"/>
      <c r="AO792" s="78"/>
      <c r="AP792" s="78"/>
      <c r="AQ792" s="78"/>
      <c r="AR792" s="78"/>
      <c r="AS792" s="78"/>
      <c r="AT792" s="78"/>
      <c r="AU792" s="78"/>
      <c r="AV792" s="78"/>
      <c r="AW792" s="78"/>
      <c r="AX792" s="78"/>
      <c r="AY792" s="78"/>
      <c r="AZ792" s="78"/>
      <c r="BA792" s="78"/>
      <c r="BB792" s="78"/>
      <c r="BC792" s="78"/>
    </row>
    <row r="793">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c r="AA793" s="78"/>
      <c r="AB793" s="78"/>
      <c r="AC793" s="78"/>
      <c r="AD793" s="78"/>
      <c r="AE793" s="78"/>
      <c r="AF793" s="78"/>
      <c r="AG793" s="78"/>
      <c r="AH793" s="78"/>
      <c r="AI793" s="78"/>
      <c r="AJ793" s="78"/>
      <c r="AK793" s="78"/>
      <c r="AL793" s="78"/>
      <c r="AM793" s="78"/>
      <c r="AN793" s="78"/>
      <c r="AO793" s="78"/>
      <c r="AP793" s="78"/>
      <c r="AQ793" s="78"/>
      <c r="AR793" s="78"/>
      <c r="AS793" s="78"/>
      <c r="AT793" s="78"/>
      <c r="AU793" s="78"/>
      <c r="AV793" s="78"/>
      <c r="AW793" s="78"/>
      <c r="AX793" s="78"/>
      <c r="AY793" s="78"/>
      <c r="AZ793" s="78"/>
      <c r="BA793" s="78"/>
      <c r="BB793" s="78"/>
      <c r="BC793" s="78"/>
    </row>
    <row r="794">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c r="AA794" s="78"/>
      <c r="AB794" s="78"/>
      <c r="AC794" s="78"/>
      <c r="AD794" s="78"/>
      <c r="AE794" s="78"/>
      <c r="AF794" s="78"/>
      <c r="AG794" s="78"/>
      <c r="AH794" s="78"/>
      <c r="AI794" s="78"/>
      <c r="AJ794" s="78"/>
      <c r="AK794" s="78"/>
      <c r="AL794" s="78"/>
      <c r="AM794" s="78"/>
      <c r="AN794" s="78"/>
      <c r="AO794" s="78"/>
      <c r="AP794" s="78"/>
      <c r="AQ794" s="78"/>
      <c r="AR794" s="78"/>
      <c r="AS794" s="78"/>
      <c r="AT794" s="78"/>
      <c r="AU794" s="78"/>
      <c r="AV794" s="78"/>
      <c r="AW794" s="78"/>
      <c r="AX794" s="78"/>
      <c r="AY794" s="78"/>
      <c r="AZ794" s="78"/>
      <c r="BA794" s="78"/>
      <c r="BB794" s="78"/>
      <c r="BC794" s="78"/>
    </row>
    <row r="795">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c r="AA795" s="78"/>
      <c r="AB795" s="78"/>
      <c r="AC795" s="78"/>
      <c r="AD795" s="78"/>
      <c r="AE795" s="78"/>
      <c r="AF795" s="78"/>
      <c r="AG795" s="78"/>
      <c r="AH795" s="78"/>
      <c r="AI795" s="78"/>
      <c r="AJ795" s="78"/>
      <c r="AK795" s="78"/>
      <c r="AL795" s="78"/>
      <c r="AM795" s="78"/>
      <c r="AN795" s="78"/>
      <c r="AO795" s="78"/>
      <c r="AP795" s="78"/>
      <c r="AQ795" s="78"/>
      <c r="AR795" s="78"/>
      <c r="AS795" s="78"/>
      <c r="AT795" s="78"/>
      <c r="AU795" s="78"/>
      <c r="AV795" s="78"/>
      <c r="AW795" s="78"/>
      <c r="AX795" s="78"/>
      <c r="AY795" s="78"/>
      <c r="AZ795" s="78"/>
      <c r="BA795" s="78"/>
      <c r="BB795" s="78"/>
      <c r="BC795" s="78"/>
    </row>
    <row r="796">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c r="AA796" s="78"/>
      <c r="AB796" s="78"/>
      <c r="AC796" s="78"/>
      <c r="AD796" s="78"/>
      <c r="AE796" s="78"/>
      <c r="AF796" s="78"/>
      <c r="AG796" s="78"/>
      <c r="AH796" s="78"/>
      <c r="AI796" s="78"/>
      <c r="AJ796" s="78"/>
      <c r="AK796" s="78"/>
      <c r="AL796" s="78"/>
      <c r="AM796" s="78"/>
      <c r="AN796" s="78"/>
      <c r="AO796" s="78"/>
      <c r="AP796" s="78"/>
      <c r="AQ796" s="78"/>
      <c r="AR796" s="78"/>
      <c r="AS796" s="78"/>
      <c r="AT796" s="78"/>
      <c r="AU796" s="78"/>
      <c r="AV796" s="78"/>
      <c r="AW796" s="78"/>
      <c r="AX796" s="78"/>
      <c r="AY796" s="78"/>
      <c r="AZ796" s="78"/>
      <c r="BA796" s="78"/>
      <c r="BB796" s="78"/>
      <c r="BC796" s="78"/>
    </row>
    <row r="797">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c r="AA797" s="78"/>
      <c r="AB797" s="78"/>
      <c r="AC797" s="78"/>
      <c r="AD797" s="78"/>
      <c r="AE797" s="78"/>
      <c r="AF797" s="78"/>
      <c r="AG797" s="78"/>
      <c r="AH797" s="78"/>
      <c r="AI797" s="78"/>
      <c r="AJ797" s="78"/>
      <c r="AK797" s="78"/>
      <c r="AL797" s="78"/>
      <c r="AM797" s="78"/>
      <c r="AN797" s="78"/>
      <c r="AO797" s="78"/>
      <c r="AP797" s="78"/>
      <c r="AQ797" s="78"/>
      <c r="AR797" s="78"/>
      <c r="AS797" s="78"/>
      <c r="AT797" s="78"/>
      <c r="AU797" s="78"/>
      <c r="AV797" s="78"/>
      <c r="AW797" s="78"/>
      <c r="AX797" s="78"/>
      <c r="AY797" s="78"/>
      <c r="AZ797" s="78"/>
      <c r="BA797" s="78"/>
      <c r="BB797" s="78"/>
      <c r="BC797" s="78"/>
    </row>
    <row r="798">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c r="AA798" s="78"/>
      <c r="AB798" s="78"/>
      <c r="AC798" s="78"/>
      <c r="AD798" s="78"/>
      <c r="AE798" s="78"/>
      <c r="AF798" s="78"/>
      <c r="AG798" s="78"/>
      <c r="AH798" s="78"/>
      <c r="AI798" s="78"/>
      <c r="AJ798" s="78"/>
      <c r="AK798" s="78"/>
      <c r="AL798" s="78"/>
      <c r="AM798" s="78"/>
      <c r="AN798" s="78"/>
      <c r="AO798" s="78"/>
      <c r="AP798" s="78"/>
      <c r="AQ798" s="78"/>
      <c r="AR798" s="78"/>
      <c r="AS798" s="78"/>
      <c r="AT798" s="78"/>
      <c r="AU798" s="78"/>
      <c r="AV798" s="78"/>
      <c r="AW798" s="78"/>
      <c r="AX798" s="78"/>
      <c r="AY798" s="78"/>
      <c r="AZ798" s="78"/>
      <c r="BA798" s="78"/>
      <c r="BB798" s="78"/>
      <c r="BC798" s="78"/>
    </row>
    <row r="799">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c r="AA799" s="78"/>
      <c r="AB799" s="78"/>
      <c r="AC799" s="78"/>
      <c r="AD799" s="78"/>
      <c r="AE799" s="78"/>
      <c r="AF799" s="78"/>
      <c r="AG799" s="78"/>
      <c r="AH799" s="78"/>
      <c r="AI799" s="78"/>
      <c r="AJ799" s="78"/>
      <c r="AK799" s="78"/>
      <c r="AL799" s="78"/>
      <c r="AM799" s="78"/>
      <c r="AN799" s="78"/>
      <c r="AO799" s="78"/>
      <c r="AP799" s="78"/>
      <c r="AQ799" s="78"/>
      <c r="AR799" s="78"/>
      <c r="AS799" s="78"/>
      <c r="AT799" s="78"/>
      <c r="AU799" s="78"/>
      <c r="AV799" s="78"/>
      <c r="AW799" s="78"/>
      <c r="AX799" s="78"/>
      <c r="AY799" s="78"/>
      <c r="AZ799" s="78"/>
      <c r="BA799" s="78"/>
      <c r="BB799" s="78"/>
      <c r="BC799" s="78"/>
    </row>
    <row r="800">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c r="AA800" s="78"/>
      <c r="AB800" s="78"/>
      <c r="AC800" s="78"/>
      <c r="AD800" s="78"/>
      <c r="AE800" s="78"/>
      <c r="AF800" s="78"/>
      <c r="AG800" s="78"/>
      <c r="AH800" s="78"/>
      <c r="AI800" s="78"/>
      <c r="AJ800" s="78"/>
      <c r="AK800" s="78"/>
      <c r="AL800" s="78"/>
      <c r="AM800" s="78"/>
      <c r="AN800" s="78"/>
      <c r="AO800" s="78"/>
      <c r="AP800" s="78"/>
      <c r="AQ800" s="78"/>
      <c r="AR800" s="78"/>
      <c r="AS800" s="78"/>
      <c r="AT800" s="78"/>
      <c r="AU800" s="78"/>
      <c r="AV800" s="78"/>
      <c r="AW800" s="78"/>
      <c r="AX800" s="78"/>
      <c r="AY800" s="78"/>
      <c r="AZ800" s="78"/>
      <c r="BA800" s="78"/>
      <c r="BB800" s="78"/>
      <c r="BC800" s="78"/>
    </row>
    <row r="801">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c r="AA801" s="78"/>
      <c r="AB801" s="78"/>
      <c r="AC801" s="78"/>
      <c r="AD801" s="78"/>
      <c r="AE801" s="78"/>
      <c r="AF801" s="78"/>
      <c r="AG801" s="78"/>
      <c r="AH801" s="78"/>
      <c r="AI801" s="78"/>
      <c r="AJ801" s="78"/>
      <c r="AK801" s="78"/>
      <c r="AL801" s="78"/>
      <c r="AM801" s="78"/>
      <c r="AN801" s="78"/>
      <c r="AO801" s="78"/>
      <c r="AP801" s="78"/>
      <c r="AQ801" s="78"/>
      <c r="AR801" s="78"/>
      <c r="AS801" s="78"/>
      <c r="AT801" s="78"/>
      <c r="AU801" s="78"/>
      <c r="AV801" s="78"/>
      <c r="AW801" s="78"/>
      <c r="AX801" s="78"/>
      <c r="AY801" s="78"/>
      <c r="AZ801" s="78"/>
      <c r="BA801" s="78"/>
      <c r="BB801" s="78"/>
      <c r="BC801" s="78"/>
    </row>
    <row r="802">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c r="AA802" s="78"/>
      <c r="AB802" s="78"/>
      <c r="AC802" s="78"/>
      <c r="AD802" s="78"/>
      <c r="AE802" s="78"/>
      <c r="AF802" s="78"/>
      <c r="AG802" s="78"/>
      <c r="AH802" s="78"/>
      <c r="AI802" s="78"/>
      <c r="AJ802" s="78"/>
      <c r="AK802" s="78"/>
      <c r="AL802" s="78"/>
      <c r="AM802" s="78"/>
      <c r="AN802" s="78"/>
      <c r="AO802" s="78"/>
      <c r="AP802" s="78"/>
      <c r="AQ802" s="78"/>
      <c r="AR802" s="78"/>
      <c r="AS802" s="78"/>
      <c r="AT802" s="78"/>
      <c r="AU802" s="78"/>
      <c r="AV802" s="78"/>
      <c r="AW802" s="78"/>
      <c r="AX802" s="78"/>
      <c r="AY802" s="78"/>
      <c r="AZ802" s="78"/>
      <c r="BA802" s="78"/>
      <c r="BB802" s="78"/>
      <c r="BC802" s="78"/>
    </row>
    <row r="803">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c r="AA803" s="78"/>
      <c r="AB803" s="78"/>
      <c r="AC803" s="78"/>
      <c r="AD803" s="78"/>
      <c r="AE803" s="78"/>
      <c r="AF803" s="78"/>
      <c r="AG803" s="78"/>
      <c r="AH803" s="78"/>
      <c r="AI803" s="78"/>
      <c r="AJ803" s="78"/>
      <c r="AK803" s="78"/>
      <c r="AL803" s="78"/>
      <c r="AM803" s="78"/>
      <c r="AN803" s="78"/>
      <c r="AO803" s="78"/>
      <c r="AP803" s="78"/>
      <c r="AQ803" s="78"/>
      <c r="AR803" s="78"/>
      <c r="AS803" s="78"/>
      <c r="AT803" s="78"/>
      <c r="AU803" s="78"/>
      <c r="AV803" s="78"/>
      <c r="AW803" s="78"/>
      <c r="AX803" s="78"/>
      <c r="AY803" s="78"/>
      <c r="AZ803" s="78"/>
      <c r="BA803" s="78"/>
      <c r="BB803" s="78"/>
      <c r="BC803" s="78"/>
    </row>
    <row r="804">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c r="AA804" s="78"/>
      <c r="AB804" s="78"/>
      <c r="AC804" s="78"/>
      <c r="AD804" s="78"/>
      <c r="AE804" s="78"/>
      <c r="AF804" s="78"/>
      <c r="AG804" s="78"/>
      <c r="AH804" s="78"/>
      <c r="AI804" s="78"/>
      <c r="AJ804" s="78"/>
      <c r="AK804" s="78"/>
      <c r="AL804" s="78"/>
      <c r="AM804" s="78"/>
      <c r="AN804" s="78"/>
      <c r="AO804" s="78"/>
      <c r="AP804" s="78"/>
      <c r="AQ804" s="78"/>
      <c r="AR804" s="78"/>
      <c r="AS804" s="78"/>
      <c r="AT804" s="78"/>
      <c r="AU804" s="78"/>
      <c r="AV804" s="78"/>
      <c r="AW804" s="78"/>
      <c r="AX804" s="78"/>
      <c r="AY804" s="78"/>
      <c r="AZ804" s="78"/>
      <c r="BA804" s="78"/>
      <c r="BB804" s="78"/>
      <c r="BC804" s="78"/>
    </row>
    <row r="805">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c r="AA805" s="78"/>
      <c r="AB805" s="78"/>
      <c r="AC805" s="78"/>
      <c r="AD805" s="78"/>
      <c r="AE805" s="78"/>
      <c r="AF805" s="78"/>
      <c r="AG805" s="78"/>
      <c r="AH805" s="78"/>
      <c r="AI805" s="78"/>
      <c r="AJ805" s="78"/>
      <c r="AK805" s="78"/>
      <c r="AL805" s="78"/>
      <c r="AM805" s="78"/>
      <c r="AN805" s="78"/>
      <c r="AO805" s="78"/>
      <c r="AP805" s="78"/>
      <c r="AQ805" s="78"/>
      <c r="AR805" s="78"/>
      <c r="AS805" s="78"/>
      <c r="AT805" s="78"/>
      <c r="AU805" s="78"/>
      <c r="AV805" s="78"/>
      <c r="AW805" s="78"/>
      <c r="AX805" s="78"/>
      <c r="AY805" s="78"/>
      <c r="AZ805" s="78"/>
      <c r="BA805" s="78"/>
      <c r="BB805" s="78"/>
      <c r="BC805" s="78"/>
    </row>
    <row r="806">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c r="AA806" s="78"/>
      <c r="AB806" s="78"/>
      <c r="AC806" s="78"/>
      <c r="AD806" s="78"/>
      <c r="AE806" s="78"/>
      <c r="AF806" s="78"/>
      <c r="AG806" s="78"/>
      <c r="AH806" s="78"/>
      <c r="AI806" s="78"/>
      <c r="AJ806" s="78"/>
      <c r="AK806" s="78"/>
      <c r="AL806" s="78"/>
      <c r="AM806" s="78"/>
      <c r="AN806" s="78"/>
      <c r="AO806" s="78"/>
      <c r="AP806" s="78"/>
      <c r="AQ806" s="78"/>
      <c r="AR806" s="78"/>
      <c r="AS806" s="78"/>
      <c r="AT806" s="78"/>
      <c r="AU806" s="78"/>
      <c r="AV806" s="78"/>
      <c r="AW806" s="78"/>
      <c r="AX806" s="78"/>
      <c r="AY806" s="78"/>
      <c r="AZ806" s="78"/>
      <c r="BA806" s="78"/>
      <c r="BB806" s="78"/>
      <c r="BC806" s="78"/>
    </row>
    <row r="807">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c r="AA807" s="78"/>
      <c r="AB807" s="78"/>
      <c r="AC807" s="78"/>
      <c r="AD807" s="78"/>
      <c r="AE807" s="78"/>
      <c r="AF807" s="78"/>
      <c r="AG807" s="78"/>
      <c r="AH807" s="78"/>
      <c r="AI807" s="78"/>
      <c r="AJ807" s="78"/>
      <c r="AK807" s="78"/>
      <c r="AL807" s="78"/>
      <c r="AM807" s="78"/>
      <c r="AN807" s="78"/>
      <c r="AO807" s="78"/>
      <c r="AP807" s="78"/>
      <c r="AQ807" s="78"/>
      <c r="AR807" s="78"/>
      <c r="AS807" s="78"/>
      <c r="AT807" s="78"/>
      <c r="AU807" s="78"/>
      <c r="AV807" s="78"/>
      <c r="AW807" s="78"/>
      <c r="AX807" s="78"/>
      <c r="AY807" s="78"/>
      <c r="AZ807" s="78"/>
      <c r="BA807" s="78"/>
      <c r="BB807" s="78"/>
      <c r="BC807" s="78"/>
    </row>
    <row r="808">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c r="AA808" s="78"/>
      <c r="AB808" s="78"/>
      <c r="AC808" s="78"/>
      <c r="AD808" s="78"/>
      <c r="AE808" s="78"/>
      <c r="AF808" s="78"/>
      <c r="AG808" s="78"/>
      <c r="AH808" s="78"/>
      <c r="AI808" s="78"/>
      <c r="AJ808" s="78"/>
      <c r="AK808" s="78"/>
      <c r="AL808" s="78"/>
      <c r="AM808" s="78"/>
      <c r="AN808" s="78"/>
      <c r="AO808" s="78"/>
      <c r="AP808" s="78"/>
      <c r="AQ808" s="78"/>
      <c r="AR808" s="78"/>
      <c r="AS808" s="78"/>
      <c r="AT808" s="78"/>
      <c r="AU808" s="78"/>
      <c r="AV808" s="78"/>
      <c r="AW808" s="78"/>
      <c r="AX808" s="78"/>
      <c r="AY808" s="78"/>
      <c r="AZ808" s="78"/>
      <c r="BA808" s="78"/>
      <c r="BB808" s="78"/>
      <c r="BC808" s="78"/>
    </row>
    <row r="809">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c r="AA809" s="78"/>
      <c r="AB809" s="78"/>
      <c r="AC809" s="78"/>
      <c r="AD809" s="78"/>
      <c r="AE809" s="78"/>
      <c r="AF809" s="78"/>
      <c r="AG809" s="78"/>
      <c r="AH809" s="78"/>
      <c r="AI809" s="78"/>
      <c r="AJ809" s="78"/>
      <c r="AK809" s="78"/>
      <c r="AL809" s="78"/>
      <c r="AM809" s="78"/>
      <c r="AN809" s="78"/>
      <c r="AO809" s="78"/>
      <c r="AP809" s="78"/>
      <c r="AQ809" s="78"/>
      <c r="AR809" s="78"/>
      <c r="AS809" s="78"/>
      <c r="AT809" s="78"/>
      <c r="AU809" s="78"/>
      <c r="AV809" s="78"/>
      <c r="AW809" s="78"/>
      <c r="AX809" s="78"/>
      <c r="AY809" s="78"/>
      <c r="AZ809" s="78"/>
      <c r="BA809" s="78"/>
      <c r="BB809" s="78"/>
      <c r="BC809" s="78"/>
    </row>
    <row r="810">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c r="AA810" s="78"/>
      <c r="AB810" s="78"/>
      <c r="AC810" s="78"/>
      <c r="AD810" s="78"/>
      <c r="AE810" s="78"/>
      <c r="AF810" s="78"/>
      <c r="AG810" s="78"/>
      <c r="AH810" s="78"/>
      <c r="AI810" s="78"/>
      <c r="AJ810" s="78"/>
      <c r="AK810" s="78"/>
      <c r="AL810" s="78"/>
      <c r="AM810" s="78"/>
      <c r="AN810" s="78"/>
      <c r="AO810" s="78"/>
      <c r="AP810" s="78"/>
      <c r="AQ810" s="78"/>
      <c r="AR810" s="78"/>
      <c r="AS810" s="78"/>
      <c r="AT810" s="78"/>
      <c r="AU810" s="78"/>
      <c r="AV810" s="78"/>
      <c r="AW810" s="78"/>
      <c r="AX810" s="78"/>
      <c r="AY810" s="78"/>
      <c r="AZ810" s="78"/>
      <c r="BA810" s="78"/>
      <c r="BB810" s="78"/>
      <c r="BC810" s="78"/>
    </row>
    <row r="811">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c r="AA811" s="78"/>
      <c r="AB811" s="78"/>
      <c r="AC811" s="78"/>
      <c r="AD811" s="78"/>
      <c r="AE811" s="78"/>
      <c r="AF811" s="78"/>
      <c r="AG811" s="78"/>
      <c r="AH811" s="78"/>
      <c r="AI811" s="78"/>
      <c r="AJ811" s="78"/>
      <c r="AK811" s="78"/>
      <c r="AL811" s="78"/>
      <c r="AM811" s="78"/>
      <c r="AN811" s="78"/>
      <c r="AO811" s="78"/>
      <c r="AP811" s="78"/>
      <c r="AQ811" s="78"/>
      <c r="AR811" s="78"/>
      <c r="AS811" s="78"/>
      <c r="AT811" s="78"/>
      <c r="AU811" s="78"/>
      <c r="AV811" s="78"/>
      <c r="AW811" s="78"/>
      <c r="AX811" s="78"/>
      <c r="AY811" s="78"/>
      <c r="AZ811" s="78"/>
      <c r="BA811" s="78"/>
      <c r="BB811" s="78"/>
      <c r="BC811" s="78"/>
    </row>
    <row r="812">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c r="AA812" s="78"/>
      <c r="AB812" s="78"/>
      <c r="AC812" s="78"/>
      <c r="AD812" s="78"/>
      <c r="AE812" s="78"/>
      <c r="AF812" s="78"/>
      <c r="AG812" s="78"/>
      <c r="AH812" s="78"/>
      <c r="AI812" s="78"/>
      <c r="AJ812" s="78"/>
      <c r="AK812" s="78"/>
      <c r="AL812" s="78"/>
      <c r="AM812" s="78"/>
      <c r="AN812" s="78"/>
      <c r="AO812" s="78"/>
      <c r="AP812" s="78"/>
      <c r="AQ812" s="78"/>
      <c r="AR812" s="78"/>
      <c r="AS812" s="78"/>
      <c r="AT812" s="78"/>
      <c r="AU812" s="78"/>
      <c r="AV812" s="78"/>
      <c r="AW812" s="78"/>
      <c r="AX812" s="78"/>
      <c r="AY812" s="78"/>
      <c r="AZ812" s="78"/>
      <c r="BA812" s="78"/>
      <c r="BB812" s="78"/>
      <c r="BC812" s="78"/>
    </row>
    <row r="813">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c r="AA813" s="78"/>
      <c r="AB813" s="78"/>
      <c r="AC813" s="78"/>
      <c r="AD813" s="78"/>
      <c r="AE813" s="78"/>
      <c r="AF813" s="78"/>
      <c r="AG813" s="78"/>
      <c r="AH813" s="78"/>
      <c r="AI813" s="78"/>
      <c r="AJ813" s="78"/>
      <c r="AK813" s="78"/>
      <c r="AL813" s="78"/>
      <c r="AM813" s="78"/>
      <c r="AN813" s="78"/>
      <c r="AO813" s="78"/>
      <c r="AP813" s="78"/>
      <c r="AQ813" s="78"/>
      <c r="AR813" s="78"/>
      <c r="AS813" s="78"/>
      <c r="AT813" s="78"/>
      <c r="AU813" s="78"/>
      <c r="AV813" s="78"/>
      <c r="AW813" s="78"/>
      <c r="AX813" s="78"/>
      <c r="AY813" s="78"/>
      <c r="AZ813" s="78"/>
      <c r="BA813" s="78"/>
      <c r="BB813" s="78"/>
      <c r="BC813" s="78"/>
    </row>
    <row r="814">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c r="AA814" s="78"/>
      <c r="AB814" s="78"/>
      <c r="AC814" s="78"/>
      <c r="AD814" s="78"/>
      <c r="AE814" s="78"/>
      <c r="AF814" s="78"/>
      <c r="AG814" s="78"/>
      <c r="AH814" s="78"/>
      <c r="AI814" s="78"/>
      <c r="AJ814" s="78"/>
      <c r="AK814" s="78"/>
      <c r="AL814" s="78"/>
      <c r="AM814" s="78"/>
      <c r="AN814" s="78"/>
      <c r="AO814" s="78"/>
      <c r="AP814" s="78"/>
      <c r="AQ814" s="78"/>
      <c r="AR814" s="78"/>
      <c r="AS814" s="78"/>
      <c r="AT814" s="78"/>
      <c r="AU814" s="78"/>
      <c r="AV814" s="78"/>
      <c r="AW814" s="78"/>
      <c r="AX814" s="78"/>
      <c r="AY814" s="78"/>
      <c r="AZ814" s="78"/>
      <c r="BA814" s="78"/>
      <c r="BB814" s="78"/>
      <c r="BC814" s="78"/>
    </row>
    <row r="815">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c r="AA815" s="78"/>
      <c r="AB815" s="78"/>
      <c r="AC815" s="78"/>
      <c r="AD815" s="78"/>
      <c r="AE815" s="78"/>
      <c r="AF815" s="78"/>
      <c r="AG815" s="78"/>
      <c r="AH815" s="78"/>
      <c r="AI815" s="78"/>
      <c r="AJ815" s="78"/>
      <c r="AK815" s="78"/>
      <c r="AL815" s="78"/>
      <c r="AM815" s="78"/>
      <c r="AN815" s="78"/>
      <c r="AO815" s="78"/>
      <c r="AP815" s="78"/>
      <c r="AQ815" s="78"/>
      <c r="AR815" s="78"/>
      <c r="AS815" s="78"/>
      <c r="AT815" s="78"/>
      <c r="AU815" s="78"/>
      <c r="AV815" s="78"/>
      <c r="AW815" s="78"/>
      <c r="AX815" s="78"/>
      <c r="AY815" s="78"/>
      <c r="AZ815" s="78"/>
      <c r="BA815" s="78"/>
      <c r="BB815" s="78"/>
      <c r="BC815" s="78"/>
    </row>
    <row r="816">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c r="AA816" s="78"/>
      <c r="AB816" s="78"/>
      <c r="AC816" s="78"/>
      <c r="AD816" s="78"/>
      <c r="AE816" s="78"/>
      <c r="AF816" s="78"/>
      <c r="AG816" s="78"/>
      <c r="AH816" s="78"/>
      <c r="AI816" s="78"/>
      <c r="AJ816" s="78"/>
      <c r="AK816" s="78"/>
      <c r="AL816" s="78"/>
      <c r="AM816" s="78"/>
      <c r="AN816" s="78"/>
      <c r="AO816" s="78"/>
      <c r="AP816" s="78"/>
      <c r="AQ816" s="78"/>
      <c r="AR816" s="78"/>
      <c r="AS816" s="78"/>
      <c r="AT816" s="78"/>
      <c r="AU816" s="78"/>
      <c r="AV816" s="78"/>
      <c r="AW816" s="78"/>
      <c r="AX816" s="78"/>
      <c r="AY816" s="78"/>
      <c r="AZ816" s="78"/>
      <c r="BA816" s="78"/>
      <c r="BB816" s="78"/>
      <c r="BC816" s="78"/>
    </row>
    <row r="817">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c r="AA817" s="78"/>
      <c r="AB817" s="78"/>
      <c r="AC817" s="78"/>
      <c r="AD817" s="78"/>
      <c r="AE817" s="78"/>
      <c r="AF817" s="78"/>
      <c r="AG817" s="78"/>
      <c r="AH817" s="78"/>
      <c r="AI817" s="78"/>
      <c r="AJ817" s="78"/>
      <c r="AK817" s="78"/>
      <c r="AL817" s="78"/>
      <c r="AM817" s="78"/>
      <c r="AN817" s="78"/>
      <c r="AO817" s="78"/>
      <c r="AP817" s="78"/>
      <c r="AQ817" s="78"/>
      <c r="AR817" s="78"/>
      <c r="AS817" s="78"/>
      <c r="AT817" s="78"/>
      <c r="AU817" s="78"/>
      <c r="AV817" s="78"/>
      <c r="AW817" s="78"/>
      <c r="AX817" s="78"/>
      <c r="AY817" s="78"/>
      <c r="AZ817" s="78"/>
      <c r="BA817" s="78"/>
      <c r="BB817" s="78"/>
      <c r="BC817" s="78"/>
    </row>
    <row r="818">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c r="AA818" s="78"/>
      <c r="AB818" s="78"/>
      <c r="AC818" s="78"/>
      <c r="AD818" s="78"/>
      <c r="AE818" s="78"/>
      <c r="AF818" s="78"/>
      <c r="AG818" s="78"/>
      <c r="AH818" s="78"/>
      <c r="AI818" s="78"/>
      <c r="AJ818" s="78"/>
      <c r="AK818" s="78"/>
      <c r="AL818" s="78"/>
      <c r="AM818" s="78"/>
      <c r="AN818" s="78"/>
      <c r="AO818" s="78"/>
      <c r="AP818" s="78"/>
      <c r="AQ818" s="78"/>
      <c r="AR818" s="78"/>
      <c r="AS818" s="78"/>
      <c r="AT818" s="78"/>
      <c r="AU818" s="78"/>
      <c r="AV818" s="78"/>
      <c r="AW818" s="78"/>
      <c r="AX818" s="78"/>
      <c r="AY818" s="78"/>
      <c r="AZ818" s="78"/>
      <c r="BA818" s="78"/>
      <c r="BB818" s="78"/>
      <c r="BC818" s="78"/>
    </row>
    <row r="819">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c r="AA819" s="78"/>
      <c r="AB819" s="78"/>
      <c r="AC819" s="78"/>
      <c r="AD819" s="78"/>
      <c r="AE819" s="78"/>
      <c r="AF819" s="78"/>
      <c r="AG819" s="78"/>
      <c r="AH819" s="78"/>
      <c r="AI819" s="78"/>
      <c r="AJ819" s="78"/>
      <c r="AK819" s="78"/>
      <c r="AL819" s="78"/>
      <c r="AM819" s="78"/>
      <c r="AN819" s="78"/>
      <c r="AO819" s="78"/>
      <c r="AP819" s="78"/>
      <c r="AQ819" s="78"/>
      <c r="AR819" s="78"/>
      <c r="AS819" s="78"/>
      <c r="AT819" s="78"/>
      <c r="AU819" s="78"/>
      <c r="AV819" s="78"/>
      <c r="AW819" s="78"/>
      <c r="AX819" s="78"/>
      <c r="AY819" s="78"/>
      <c r="AZ819" s="78"/>
      <c r="BA819" s="78"/>
      <c r="BB819" s="78"/>
      <c r="BC819" s="78"/>
    </row>
    <row r="820">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c r="AA820" s="78"/>
      <c r="AB820" s="78"/>
      <c r="AC820" s="78"/>
      <c r="AD820" s="78"/>
      <c r="AE820" s="78"/>
      <c r="AF820" s="78"/>
      <c r="AG820" s="78"/>
      <c r="AH820" s="78"/>
      <c r="AI820" s="78"/>
      <c r="AJ820" s="78"/>
      <c r="AK820" s="78"/>
      <c r="AL820" s="78"/>
      <c r="AM820" s="78"/>
      <c r="AN820" s="78"/>
      <c r="AO820" s="78"/>
      <c r="AP820" s="78"/>
      <c r="AQ820" s="78"/>
      <c r="AR820" s="78"/>
      <c r="AS820" s="78"/>
      <c r="AT820" s="78"/>
      <c r="AU820" s="78"/>
      <c r="AV820" s="78"/>
      <c r="AW820" s="78"/>
      <c r="AX820" s="78"/>
      <c r="AY820" s="78"/>
      <c r="AZ820" s="78"/>
      <c r="BA820" s="78"/>
      <c r="BB820" s="78"/>
      <c r="BC820" s="78"/>
    </row>
    <row r="821">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c r="AA821" s="78"/>
      <c r="AB821" s="78"/>
      <c r="AC821" s="78"/>
      <c r="AD821" s="78"/>
      <c r="AE821" s="78"/>
      <c r="AF821" s="78"/>
      <c r="AG821" s="78"/>
      <c r="AH821" s="78"/>
      <c r="AI821" s="78"/>
      <c r="AJ821" s="78"/>
      <c r="AK821" s="78"/>
      <c r="AL821" s="78"/>
      <c r="AM821" s="78"/>
      <c r="AN821" s="78"/>
      <c r="AO821" s="78"/>
      <c r="AP821" s="78"/>
      <c r="AQ821" s="78"/>
      <c r="AR821" s="78"/>
      <c r="AS821" s="78"/>
      <c r="AT821" s="78"/>
      <c r="AU821" s="78"/>
      <c r="AV821" s="78"/>
      <c r="AW821" s="78"/>
      <c r="AX821" s="78"/>
      <c r="AY821" s="78"/>
      <c r="AZ821" s="78"/>
      <c r="BA821" s="78"/>
      <c r="BB821" s="78"/>
      <c r="BC821" s="78"/>
    </row>
    <row r="822">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c r="AA822" s="78"/>
      <c r="AB822" s="78"/>
      <c r="AC822" s="78"/>
      <c r="AD822" s="78"/>
      <c r="AE822" s="78"/>
      <c r="AF822" s="78"/>
      <c r="AG822" s="78"/>
      <c r="AH822" s="78"/>
      <c r="AI822" s="78"/>
      <c r="AJ822" s="78"/>
      <c r="AK822" s="78"/>
      <c r="AL822" s="78"/>
      <c r="AM822" s="78"/>
      <c r="AN822" s="78"/>
      <c r="AO822" s="78"/>
      <c r="AP822" s="78"/>
      <c r="AQ822" s="78"/>
      <c r="AR822" s="78"/>
      <c r="AS822" s="78"/>
      <c r="AT822" s="78"/>
      <c r="AU822" s="78"/>
      <c r="AV822" s="78"/>
      <c r="AW822" s="78"/>
      <c r="AX822" s="78"/>
      <c r="AY822" s="78"/>
      <c r="AZ822" s="78"/>
      <c r="BA822" s="78"/>
      <c r="BB822" s="78"/>
      <c r="BC822" s="78"/>
    </row>
    <row r="823">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c r="AA823" s="78"/>
      <c r="AB823" s="78"/>
      <c r="AC823" s="78"/>
      <c r="AD823" s="78"/>
      <c r="AE823" s="78"/>
      <c r="AF823" s="78"/>
      <c r="AG823" s="78"/>
      <c r="AH823" s="78"/>
      <c r="AI823" s="78"/>
      <c r="AJ823" s="78"/>
      <c r="AK823" s="78"/>
      <c r="AL823" s="78"/>
      <c r="AM823" s="78"/>
      <c r="AN823" s="78"/>
      <c r="AO823" s="78"/>
      <c r="AP823" s="78"/>
      <c r="AQ823" s="78"/>
      <c r="AR823" s="78"/>
      <c r="AS823" s="78"/>
      <c r="AT823" s="78"/>
      <c r="AU823" s="78"/>
      <c r="AV823" s="78"/>
      <c r="AW823" s="78"/>
      <c r="AX823" s="78"/>
      <c r="AY823" s="78"/>
      <c r="AZ823" s="78"/>
      <c r="BA823" s="78"/>
      <c r="BB823" s="78"/>
      <c r="BC823" s="78"/>
    </row>
    <row r="824">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c r="AA824" s="78"/>
      <c r="AB824" s="78"/>
      <c r="AC824" s="78"/>
      <c r="AD824" s="78"/>
      <c r="AE824" s="78"/>
      <c r="AF824" s="78"/>
      <c r="AG824" s="78"/>
      <c r="AH824" s="78"/>
      <c r="AI824" s="78"/>
      <c r="AJ824" s="78"/>
      <c r="AK824" s="78"/>
      <c r="AL824" s="78"/>
      <c r="AM824" s="78"/>
      <c r="AN824" s="78"/>
      <c r="AO824" s="78"/>
      <c r="AP824" s="78"/>
      <c r="AQ824" s="78"/>
      <c r="AR824" s="78"/>
      <c r="AS824" s="78"/>
      <c r="AT824" s="78"/>
      <c r="AU824" s="78"/>
      <c r="AV824" s="78"/>
      <c r="AW824" s="78"/>
      <c r="AX824" s="78"/>
      <c r="AY824" s="78"/>
      <c r="AZ824" s="78"/>
      <c r="BA824" s="78"/>
      <c r="BB824" s="78"/>
      <c r="BC824" s="78"/>
    </row>
    <row r="825">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c r="AA825" s="78"/>
      <c r="AB825" s="78"/>
      <c r="AC825" s="78"/>
      <c r="AD825" s="78"/>
      <c r="AE825" s="78"/>
      <c r="AF825" s="78"/>
      <c r="AG825" s="78"/>
      <c r="AH825" s="78"/>
      <c r="AI825" s="78"/>
      <c r="AJ825" s="78"/>
      <c r="AK825" s="78"/>
      <c r="AL825" s="78"/>
      <c r="AM825" s="78"/>
      <c r="AN825" s="78"/>
      <c r="AO825" s="78"/>
      <c r="AP825" s="78"/>
      <c r="AQ825" s="78"/>
      <c r="AR825" s="78"/>
      <c r="AS825" s="78"/>
      <c r="AT825" s="78"/>
      <c r="AU825" s="78"/>
      <c r="AV825" s="78"/>
      <c r="AW825" s="78"/>
      <c r="AX825" s="78"/>
      <c r="AY825" s="78"/>
      <c r="AZ825" s="78"/>
      <c r="BA825" s="78"/>
      <c r="BB825" s="78"/>
      <c r="BC825" s="78"/>
    </row>
    <row r="826">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c r="AA826" s="78"/>
      <c r="AB826" s="78"/>
      <c r="AC826" s="78"/>
      <c r="AD826" s="78"/>
      <c r="AE826" s="78"/>
      <c r="AF826" s="78"/>
      <c r="AG826" s="78"/>
      <c r="AH826" s="78"/>
      <c r="AI826" s="78"/>
      <c r="AJ826" s="78"/>
      <c r="AK826" s="78"/>
      <c r="AL826" s="78"/>
      <c r="AM826" s="78"/>
      <c r="AN826" s="78"/>
      <c r="AO826" s="78"/>
      <c r="AP826" s="78"/>
      <c r="AQ826" s="78"/>
      <c r="AR826" s="78"/>
      <c r="AS826" s="78"/>
      <c r="AT826" s="78"/>
      <c r="AU826" s="78"/>
      <c r="AV826" s="78"/>
      <c r="AW826" s="78"/>
      <c r="AX826" s="78"/>
      <c r="AY826" s="78"/>
      <c r="AZ826" s="78"/>
      <c r="BA826" s="78"/>
      <c r="BB826" s="78"/>
      <c r="BC826" s="78"/>
    </row>
    <row r="827">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c r="AA827" s="78"/>
      <c r="AB827" s="78"/>
      <c r="AC827" s="78"/>
      <c r="AD827" s="78"/>
      <c r="AE827" s="78"/>
      <c r="AF827" s="78"/>
      <c r="AG827" s="78"/>
      <c r="AH827" s="78"/>
      <c r="AI827" s="78"/>
      <c r="AJ827" s="78"/>
      <c r="AK827" s="78"/>
      <c r="AL827" s="78"/>
      <c r="AM827" s="78"/>
      <c r="AN827" s="78"/>
      <c r="AO827" s="78"/>
      <c r="AP827" s="78"/>
      <c r="AQ827" s="78"/>
      <c r="AR827" s="78"/>
      <c r="AS827" s="78"/>
      <c r="AT827" s="78"/>
      <c r="AU827" s="78"/>
      <c r="AV827" s="78"/>
      <c r="AW827" s="78"/>
      <c r="AX827" s="78"/>
      <c r="AY827" s="78"/>
      <c r="AZ827" s="78"/>
      <c r="BA827" s="78"/>
      <c r="BB827" s="78"/>
      <c r="BC827" s="78"/>
    </row>
    <row r="828">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c r="AA828" s="78"/>
      <c r="AB828" s="78"/>
      <c r="AC828" s="78"/>
      <c r="AD828" s="78"/>
      <c r="AE828" s="78"/>
      <c r="AF828" s="78"/>
      <c r="AG828" s="78"/>
      <c r="AH828" s="78"/>
      <c r="AI828" s="78"/>
      <c r="AJ828" s="78"/>
      <c r="AK828" s="78"/>
      <c r="AL828" s="78"/>
      <c r="AM828" s="78"/>
      <c r="AN828" s="78"/>
      <c r="AO828" s="78"/>
      <c r="AP828" s="78"/>
      <c r="AQ828" s="78"/>
      <c r="AR828" s="78"/>
      <c r="AS828" s="78"/>
      <c r="AT828" s="78"/>
      <c r="AU828" s="78"/>
      <c r="AV828" s="78"/>
      <c r="AW828" s="78"/>
      <c r="AX828" s="78"/>
      <c r="AY828" s="78"/>
      <c r="AZ828" s="78"/>
      <c r="BA828" s="78"/>
      <c r="BB828" s="78"/>
      <c r="BC828" s="78"/>
    </row>
    <row r="829">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c r="AA829" s="78"/>
      <c r="AB829" s="78"/>
      <c r="AC829" s="78"/>
      <c r="AD829" s="78"/>
      <c r="AE829" s="78"/>
      <c r="AF829" s="78"/>
      <c r="AG829" s="78"/>
      <c r="AH829" s="78"/>
      <c r="AI829" s="78"/>
      <c r="AJ829" s="78"/>
      <c r="AK829" s="78"/>
      <c r="AL829" s="78"/>
      <c r="AM829" s="78"/>
      <c r="AN829" s="78"/>
      <c r="AO829" s="78"/>
      <c r="AP829" s="78"/>
      <c r="AQ829" s="78"/>
      <c r="AR829" s="78"/>
      <c r="AS829" s="78"/>
      <c r="AT829" s="78"/>
      <c r="AU829" s="78"/>
      <c r="AV829" s="78"/>
      <c r="AW829" s="78"/>
      <c r="AX829" s="78"/>
      <c r="AY829" s="78"/>
      <c r="AZ829" s="78"/>
      <c r="BA829" s="78"/>
      <c r="BB829" s="78"/>
      <c r="BC829" s="78"/>
    </row>
    <row r="830">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c r="AA830" s="78"/>
      <c r="AB830" s="78"/>
      <c r="AC830" s="78"/>
      <c r="AD830" s="78"/>
      <c r="AE830" s="78"/>
      <c r="AF830" s="78"/>
      <c r="AG830" s="78"/>
      <c r="AH830" s="78"/>
      <c r="AI830" s="78"/>
      <c r="AJ830" s="78"/>
      <c r="AK830" s="78"/>
      <c r="AL830" s="78"/>
      <c r="AM830" s="78"/>
      <c r="AN830" s="78"/>
      <c r="AO830" s="78"/>
      <c r="AP830" s="78"/>
      <c r="AQ830" s="78"/>
      <c r="AR830" s="78"/>
      <c r="AS830" s="78"/>
      <c r="AT830" s="78"/>
      <c r="AU830" s="78"/>
      <c r="AV830" s="78"/>
      <c r="AW830" s="78"/>
      <c r="AX830" s="78"/>
      <c r="AY830" s="78"/>
      <c r="AZ830" s="78"/>
      <c r="BA830" s="78"/>
      <c r="BB830" s="78"/>
      <c r="BC830" s="78"/>
    </row>
    <row r="831">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c r="AA831" s="78"/>
      <c r="AB831" s="78"/>
      <c r="AC831" s="78"/>
      <c r="AD831" s="78"/>
      <c r="AE831" s="78"/>
      <c r="AF831" s="78"/>
      <c r="AG831" s="78"/>
      <c r="AH831" s="78"/>
      <c r="AI831" s="78"/>
      <c r="AJ831" s="78"/>
      <c r="AK831" s="78"/>
      <c r="AL831" s="78"/>
      <c r="AM831" s="78"/>
      <c r="AN831" s="78"/>
      <c r="AO831" s="78"/>
      <c r="AP831" s="78"/>
      <c r="AQ831" s="78"/>
      <c r="AR831" s="78"/>
      <c r="AS831" s="78"/>
      <c r="AT831" s="78"/>
      <c r="AU831" s="78"/>
      <c r="AV831" s="78"/>
      <c r="AW831" s="78"/>
      <c r="AX831" s="78"/>
      <c r="AY831" s="78"/>
      <c r="AZ831" s="78"/>
      <c r="BA831" s="78"/>
      <c r="BB831" s="78"/>
      <c r="BC831" s="78"/>
    </row>
    <row r="832">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c r="AA832" s="78"/>
      <c r="AB832" s="78"/>
      <c r="AC832" s="78"/>
      <c r="AD832" s="78"/>
      <c r="AE832" s="78"/>
      <c r="AF832" s="78"/>
      <c r="AG832" s="78"/>
      <c r="AH832" s="78"/>
      <c r="AI832" s="78"/>
      <c r="AJ832" s="78"/>
      <c r="AK832" s="78"/>
      <c r="AL832" s="78"/>
      <c r="AM832" s="78"/>
      <c r="AN832" s="78"/>
      <c r="AO832" s="78"/>
      <c r="AP832" s="78"/>
      <c r="AQ832" s="78"/>
      <c r="AR832" s="78"/>
      <c r="AS832" s="78"/>
      <c r="AT832" s="78"/>
      <c r="AU832" s="78"/>
      <c r="AV832" s="78"/>
      <c r="AW832" s="78"/>
      <c r="AX832" s="78"/>
      <c r="AY832" s="78"/>
      <c r="AZ832" s="78"/>
      <c r="BA832" s="78"/>
      <c r="BB832" s="78"/>
      <c r="BC832" s="78"/>
    </row>
    <row r="833">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c r="AA833" s="78"/>
      <c r="AB833" s="78"/>
      <c r="AC833" s="78"/>
      <c r="AD833" s="78"/>
      <c r="AE833" s="78"/>
      <c r="AF833" s="78"/>
      <c r="AG833" s="78"/>
      <c r="AH833" s="78"/>
      <c r="AI833" s="78"/>
      <c r="AJ833" s="78"/>
      <c r="AK833" s="78"/>
      <c r="AL833" s="78"/>
      <c r="AM833" s="78"/>
      <c r="AN833" s="78"/>
      <c r="AO833" s="78"/>
      <c r="AP833" s="78"/>
      <c r="AQ833" s="78"/>
      <c r="AR833" s="78"/>
      <c r="AS833" s="78"/>
      <c r="AT833" s="78"/>
      <c r="AU833" s="78"/>
      <c r="AV833" s="78"/>
      <c r="AW833" s="78"/>
      <c r="AX833" s="78"/>
      <c r="AY833" s="78"/>
      <c r="AZ833" s="78"/>
      <c r="BA833" s="78"/>
      <c r="BB833" s="78"/>
      <c r="BC833" s="78"/>
    </row>
    <row r="834">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c r="AA834" s="78"/>
      <c r="AB834" s="78"/>
      <c r="AC834" s="78"/>
      <c r="AD834" s="78"/>
      <c r="AE834" s="78"/>
      <c r="AF834" s="78"/>
      <c r="AG834" s="78"/>
      <c r="AH834" s="78"/>
      <c r="AI834" s="78"/>
      <c r="AJ834" s="78"/>
      <c r="AK834" s="78"/>
      <c r="AL834" s="78"/>
      <c r="AM834" s="78"/>
      <c r="AN834" s="78"/>
      <c r="AO834" s="78"/>
      <c r="AP834" s="78"/>
      <c r="AQ834" s="78"/>
      <c r="AR834" s="78"/>
      <c r="AS834" s="78"/>
      <c r="AT834" s="78"/>
      <c r="AU834" s="78"/>
      <c r="AV834" s="78"/>
      <c r="AW834" s="78"/>
      <c r="AX834" s="78"/>
      <c r="AY834" s="78"/>
      <c r="AZ834" s="78"/>
      <c r="BA834" s="78"/>
      <c r="BB834" s="78"/>
      <c r="BC834" s="78"/>
    </row>
    <row r="835">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c r="AA835" s="78"/>
      <c r="AB835" s="78"/>
      <c r="AC835" s="78"/>
      <c r="AD835" s="78"/>
      <c r="AE835" s="78"/>
      <c r="AF835" s="78"/>
      <c r="AG835" s="78"/>
      <c r="AH835" s="78"/>
      <c r="AI835" s="78"/>
      <c r="AJ835" s="78"/>
      <c r="AK835" s="78"/>
      <c r="AL835" s="78"/>
      <c r="AM835" s="78"/>
      <c r="AN835" s="78"/>
      <c r="AO835" s="78"/>
      <c r="AP835" s="78"/>
      <c r="AQ835" s="78"/>
      <c r="AR835" s="78"/>
      <c r="AS835" s="78"/>
      <c r="AT835" s="78"/>
      <c r="AU835" s="78"/>
      <c r="AV835" s="78"/>
      <c r="AW835" s="78"/>
      <c r="AX835" s="78"/>
      <c r="AY835" s="78"/>
      <c r="AZ835" s="78"/>
      <c r="BA835" s="78"/>
      <c r="BB835" s="78"/>
      <c r="BC835" s="78"/>
    </row>
    <row r="836">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c r="AA836" s="78"/>
      <c r="AB836" s="78"/>
      <c r="AC836" s="78"/>
      <c r="AD836" s="78"/>
      <c r="AE836" s="78"/>
      <c r="AF836" s="78"/>
      <c r="AG836" s="78"/>
      <c r="AH836" s="78"/>
      <c r="AI836" s="78"/>
      <c r="AJ836" s="78"/>
      <c r="AK836" s="78"/>
      <c r="AL836" s="78"/>
      <c r="AM836" s="78"/>
      <c r="AN836" s="78"/>
      <c r="AO836" s="78"/>
      <c r="AP836" s="78"/>
      <c r="AQ836" s="78"/>
      <c r="AR836" s="78"/>
      <c r="AS836" s="78"/>
      <c r="AT836" s="78"/>
      <c r="AU836" s="78"/>
      <c r="AV836" s="78"/>
      <c r="AW836" s="78"/>
      <c r="AX836" s="78"/>
      <c r="AY836" s="78"/>
      <c r="AZ836" s="78"/>
      <c r="BA836" s="78"/>
      <c r="BB836" s="78"/>
      <c r="BC836" s="78"/>
    </row>
    <row r="837">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c r="AA837" s="78"/>
      <c r="AB837" s="78"/>
      <c r="AC837" s="78"/>
      <c r="AD837" s="78"/>
      <c r="AE837" s="78"/>
      <c r="AF837" s="78"/>
      <c r="AG837" s="78"/>
      <c r="AH837" s="78"/>
      <c r="AI837" s="78"/>
      <c r="AJ837" s="78"/>
      <c r="AK837" s="78"/>
      <c r="AL837" s="78"/>
      <c r="AM837" s="78"/>
      <c r="AN837" s="78"/>
      <c r="AO837" s="78"/>
      <c r="AP837" s="78"/>
      <c r="AQ837" s="78"/>
      <c r="AR837" s="78"/>
      <c r="AS837" s="78"/>
      <c r="AT837" s="78"/>
      <c r="AU837" s="78"/>
      <c r="AV837" s="78"/>
      <c r="AW837" s="78"/>
      <c r="AX837" s="78"/>
      <c r="AY837" s="78"/>
      <c r="AZ837" s="78"/>
      <c r="BA837" s="78"/>
      <c r="BB837" s="78"/>
      <c r="BC837" s="78"/>
    </row>
    <row r="838">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c r="AA838" s="78"/>
      <c r="AB838" s="78"/>
      <c r="AC838" s="78"/>
      <c r="AD838" s="78"/>
      <c r="AE838" s="78"/>
      <c r="AF838" s="78"/>
      <c r="AG838" s="78"/>
      <c r="AH838" s="78"/>
      <c r="AI838" s="78"/>
      <c r="AJ838" s="78"/>
      <c r="AK838" s="78"/>
      <c r="AL838" s="78"/>
      <c r="AM838" s="78"/>
      <c r="AN838" s="78"/>
      <c r="AO838" s="78"/>
      <c r="AP838" s="78"/>
      <c r="AQ838" s="78"/>
      <c r="AR838" s="78"/>
      <c r="AS838" s="78"/>
      <c r="AT838" s="78"/>
      <c r="AU838" s="78"/>
      <c r="AV838" s="78"/>
      <c r="AW838" s="78"/>
      <c r="AX838" s="78"/>
      <c r="AY838" s="78"/>
      <c r="AZ838" s="78"/>
      <c r="BA838" s="78"/>
      <c r="BB838" s="78"/>
      <c r="BC838" s="78"/>
    </row>
    <row r="839">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c r="AA839" s="78"/>
      <c r="AB839" s="78"/>
      <c r="AC839" s="78"/>
      <c r="AD839" s="78"/>
      <c r="AE839" s="78"/>
      <c r="AF839" s="78"/>
      <c r="AG839" s="78"/>
      <c r="AH839" s="78"/>
      <c r="AI839" s="78"/>
      <c r="AJ839" s="78"/>
      <c r="AK839" s="78"/>
      <c r="AL839" s="78"/>
      <c r="AM839" s="78"/>
      <c r="AN839" s="78"/>
      <c r="AO839" s="78"/>
      <c r="AP839" s="78"/>
      <c r="AQ839" s="78"/>
      <c r="AR839" s="78"/>
      <c r="AS839" s="78"/>
      <c r="AT839" s="78"/>
      <c r="AU839" s="78"/>
      <c r="AV839" s="78"/>
      <c r="AW839" s="78"/>
      <c r="AX839" s="78"/>
      <c r="AY839" s="78"/>
      <c r="AZ839" s="78"/>
      <c r="BA839" s="78"/>
      <c r="BB839" s="78"/>
      <c r="BC839" s="78"/>
    </row>
    <row r="840">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c r="AA840" s="78"/>
      <c r="AB840" s="78"/>
      <c r="AC840" s="78"/>
      <c r="AD840" s="78"/>
      <c r="AE840" s="78"/>
      <c r="AF840" s="78"/>
      <c r="AG840" s="78"/>
      <c r="AH840" s="78"/>
      <c r="AI840" s="78"/>
      <c r="AJ840" s="78"/>
      <c r="AK840" s="78"/>
      <c r="AL840" s="78"/>
      <c r="AM840" s="78"/>
      <c r="AN840" s="78"/>
      <c r="AO840" s="78"/>
      <c r="AP840" s="78"/>
      <c r="AQ840" s="78"/>
      <c r="AR840" s="78"/>
      <c r="AS840" s="78"/>
      <c r="AT840" s="78"/>
      <c r="AU840" s="78"/>
      <c r="AV840" s="78"/>
      <c r="AW840" s="78"/>
      <c r="AX840" s="78"/>
      <c r="AY840" s="78"/>
      <c r="AZ840" s="78"/>
      <c r="BA840" s="78"/>
      <c r="BB840" s="78"/>
      <c r="BC840" s="78"/>
    </row>
    <row r="841">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c r="AA841" s="78"/>
      <c r="AB841" s="78"/>
      <c r="AC841" s="78"/>
      <c r="AD841" s="78"/>
      <c r="AE841" s="78"/>
      <c r="AF841" s="78"/>
      <c r="AG841" s="78"/>
      <c r="AH841" s="78"/>
      <c r="AI841" s="78"/>
      <c r="AJ841" s="78"/>
      <c r="AK841" s="78"/>
      <c r="AL841" s="78"/>
      <c r="AM841" s="78"/>
      <c r="AN841" s="78"/>
      <c r="AO841" s="78"/>
      <c r="AP841" s="78"/>
      <c r="AQ841" s="78"/>
      <c r="AR841" s="78"/>
      <c r="AS841" s="78"/>
      <c r="AT841" s="78"/>
      <c r="AU841" s="78"/>
      <c r="AV841" s="78"/>
      <c r="AW841" s="78"/>
      <c r="AX841" s="78"/>
      <c r="AY841" s="78"/>
      <c r="AZ841" s="78"/>
      <c r="BA841" s="78"/>
      <c r="BB841" s="78"/>
      <c r="BC841" s="78"/>
    </row>
    <row r="842">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c r="AA842" s="78"/>
      <c r="AB842" s="78"/>
      <c r="AC842" s="78"/>
      <c r="AD842" s="78"/>
      <c r="AE842" s="78"/>
      <c r="AF842" s="78"/>
      <c r="AG842" s="78"/>
      <c r="AH842" s="78"/>
      <c r="AI842" s="78"/>
      <c r="AJ842" s="78"/>
      <c r="AK842" s="78"/>
      <c r="AL842" s="78"/>
      <c r="AM842" s="78"/>
      <c r="AN842" s="78"/>
      <c r="AO842" s="78"/>
      <c r="AP842" s="78"/>
      <c r="AQ842" s="78"/>
      <c r="AR842" s="78"/>
      <c r="AS842" s="78"/>
      <c r="AT842" s="78"/>
      <c r="AU842" s="78"/>
      <c r="AV842" s="78"/>
      <c r="AW842" s="78"/>
      <c r="AX842" s="78"/>
      <c r="AY842" s="78"/>
      <c r="AZ842" s="78"/>
      <c r="BA842" s="78"/>
      <c r="BB842" s="78"/>
      <c r="BC842" s="78"/>
    </row>
    <row r="843">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c r="AA843" s="78"/>
      <c r="AB843" s="78"/>
      <c r="AC843" s="78"/>
      <c r="AD843" s="78"/>
      <c r="AE843" s="78"/>
      <c r="AF843" s="78"/>
      <c r="AG843" s="78"/>
      <c r="AH843" s="78"/>
      <c r="AI843" s="78"/>
      <c r="AJ843" s="78"/>
      <c r="AK843" s="78"/>
      <c r="AL843" s="78"/>
      <c r="AM843" s="78"/>
      <c r="AN843" s="78"/>
      <c r="AO843" s="78"/>
      <c r="AP843" s="78"/>
      <c r="AQ843" s="78"/>
      <c r="AR843" s="78"/>
      <c r="AS843" s="78"/>
      <c r="AT843" s="78"/>
      <c r="AU843" s="78"/>
      <c r="AV843" s="78"/>
      <c r="AW843" s="78"/>
      <c r="AX843" s="78"/>
      <c r="AY843" s="78"/>
      <c r="AZ843" s="78"/>
      <c r="BA843" s="78"/>
      <c r="BB843" s="78"/>
      <c r="BC843" s="78"/>
    </row>
    <row r="844">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c r="AA844" s="78"/>
      <c r="AB844" s="78"/>
      <c r="AC844" s="78"/>
      <c r="AD844" s="78"/>
      <c r="AE844" s="78"/>
      <c r="AF844" s="78"/>
      <c r="AG844" s="78"/>
      <c r="AH844" s="78"/>
      <c r="AI844" s="78"/>
      <c r="AJ844" s="78"/>
      <c r="AK844" s="78"/>
      <c r="AL844" s="78"/>
      <c r="AM844" s="78"/>
      <c r="AN844" s="78"/>
      <c r="AO844" s="78"/>
      <c r="AP844" s="78"/>
      <c r="AQ844" s="78"/>
      <c r="AR844" s="78"/>
      <c r="AS844" s="78"/>
      <c r="AT844" s="78"/>
      <c r="AU844" s="78"/>
      <c r="AV844" s="78"/>
      <c r="AW844" s="78"/>
      <c r="AX844" s="78"/>
      <c r="AY844" s="78"/>
      <c r="AZ844" s="78"/>
      <c r="BA844" s="78"/>
      <c r="BB844" s="78"/>
      <c r="BC844" s="78"/>
    </row>
    <row r="845">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c r="AA845" s="78"/>
      <c r="AB845" s="78"/>
      <c r="AC845" s="78"/>
      <c r="AD845" s="78"/>
      <c r="AE845" s="78"/>
      <c r="AF845" s="78"/>
      <c r="AG845" s="78"/>
      <c r="AH845" s="78"/>
      <c r="AI845" s="78"/>
      <c r="AJ845" s="78"/>
      <c r="AK845" s="78"/>
      <c r="AL845" s="78"/>
      <c r="AM845" s="78"/>
      <c r="AN845" s="78"/>
      <c r="AO845" s="78"/>
      <c r="AP845" s="78"/>
      <c r="AQ845" s="78"/>
      <c r="AR845" s="78"/>
      <c r="AS845" s="78"/>
      <c r="AT845" s="78"/>
      <c r="AU845" s="78"/>
      <c r="AV845" s="78"/>
      <c r="AW845" s="78"/>
      <c r="AX845" s="78"/>
      <c r="AY845" s="78"/>
      <c r="AZ845" s="78"/>
      <c r="BA845" s="78"/>
      <c r="BB845" s="78"/>
      <c r="BC845" s="78"/>
    </row>
    <row r="846">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c r="AA846" s="78"/>
      <c r="AB846" s="78"/>
      <c r="AC846" s="78"/>
      <c r="AD846" s="78"/>
      <c r="AE846" s="78"/>
      <c r="AF846" s="78"/>
      <c r="AG846" s="78"/>
      <c r="AH846" s="78"/>
      <c r="AI846" s="78"/>
      <c r="AJ846" s="78"/>
      <c r="AK846" s="78"/>
      <c r="AL846" s="78"/>
      <c r="AM846" s="78"/>
      <c r="AN846" s="78"/>
      <c r="AO846" s="78"/>
      <c r="AP846" s="78"/>
      <c r="AQ846" s="78"/>
      <c r="AR846" s="78"/>
      <c r="AS846" s="78"/>
      <c r="AT846" s="78"/>
      <c r="AU846" s="78"/>
      <c r="AV846" s="78"/>
      <c r="AW846" s="78"/>
      <c r="AX846" s="78"/>
      <c r="AY846" s="78"/>
      <c r="AZ846" s="78"/>
      <c r="BA846" s="78"/>
      <c r="BB846" s="78"/>
      <c r="BC846" s="78"/>
    </row>
    <row r="847">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c r="AA847" s="78"/>
      <c r="AB847" s="78"/>
      <c r="AC847" s="78"/>
      <c r="AD847" s="78"/>
      <c r="AE847" s="78"/>
      <c r="AF847" s="78"/>
      <c r="AG847" s="78"/>
      <c r="AH847" s="78"/>
      <c r="AI847" s="78"/>
      <c r="AJ847" s="78"/>
      <c r="AK847" s="78"/>
      <c r="AL847" s="78"/>
      <c r="AM847" s="78"/>
      <c r="AN847" s="78"/>
      <c r="AO847" s="78"/>
      <c r="AP847" s="78"/>
      <c r="AQ847" s="78"/>
      <c r="AR847" s="78"/>
      <c r="AS847" s="78"/>
      <c r="AT847" s="78"/>
      <c r="AU847" s="78"/>
      <c r="AV847" s="78"/>
      <c r="AW847" s="78"/>
      <c r="AX847" s="78"/>
      <c r="AY847" s="78"/>
      <c r="AZ847" s="78"/>
      <c r="BA847" s="78"/>
      <c r="BB847" s="78"/>
      <c r="BC847" s="78"/>
    </row>
    <row r="848">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c r="AA848" s="78"/>
      <c r="AB848" s="78"/>
      <c r="AC848" s="78"/>
      <c r="AD848" s="78"/>
      <c r="AE848" s="78"/>
      <c r="AF848" s="78"/>
      <c r="AG848" s="78"/>
      <c r="AH848" s="78"/>
      <c r="AI848" s="78"/>
      <c r="AJ848" s="78"/>
      <c r="AK848" s="78"/>
      <c r="AL848" s="78"/>
      <c r="AM848" s="78"/>
      <c r="AN848" s="78"/>
      <c r="AO848" s="78"/>
      <c r="AP848" s="78"/>
      <c r="AQ848" s="78"/>
      <c r="AR848" s="78"/>
      <c r="AS848" s="78"/>
      <c r="AT848" s="78"/>
      <c r="AU848" s="78"/>
      <c r="AV848" s="78"/>
      <c r="AW848" s="78"/>
      <c r="AX848" s="78"/>
      <c r="AY848" s="78"/>
      <c r="AZ848" s="78"/>
      <c r="BA848" s="78"/>
      <c r="BB848" s="78"/>
      <c r="BC848" s="78"/>
    </row>
    <row r="849">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c r="AA849" s="78"/>
      <c r="AB849" s="78"/>
      <c r="AC849" s="78"/>
      <c r="AD849" s="78"/>
      <c r="AE849" s="78"/>
      <c r="AF849" s="78"/>
      <c r="AG849" s="78"/>
      <c r="AH849" s="78"/>
      <c r="AI849" s="78"/>
      <c r="AJ849" s="78"/>
      <c r="AK849" s="78"/>
      <c r="AL849" s="78"/>
      <c r="AM849" s="78"/>
      <c r="AN849" s="78"/>
      <c r="AO849" s="78"/>
      <c r="AP849" s="78"/>
      <c r="AQ849" s="78"/>
      <c r="AR849" s="78"/>
      <c r="AS849" s="78"/>
      <c r="AT849" s="78"/>
      <c r="AU849" s="78"/>
      <c r="AV849" s="78"/>
      <c r="AW849" s="78"/>
      <c r="AX849" s="78"/>
      <c r="AY849" s="78"/>
      <c r="AZ849" s="78"/>
      <c r="BA849" s="78"/>
      <c r="BB849" s="78"/>
      <c r="BC849" s="78"/>
    </row>
    <row r="850">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c r="AA850" s="78"/>
      <c r="AB850" s="78"/>
      <c r="AC850" s="78"/>
      <c r="AD850" s="78"/>
      <c r="AE850" s="78"/>
      <c r="AF850" s="78"/>
      <c r="AG850" s="78"/>
      <c r="AH850" s="78"/>
      <c r="AI850" s="78"/>
      <c r="AJ850" s="78"/>
      <c r="AK850" s="78"/>
      <c r="AL850" s="78"/>
      <c r="AM850" s="78"/>
      <c r="AN850" s="78"/>
      <c r="AO850" s="78"/>
      <c r="AP850" s="78"/>
      <c r="AQ850" s="78"/>
      <c r="AR850" s="78"/>
      <c r="AS850" s="78"/>
      <c r="AT850" s="78"/>
      <c r="AU850" s="78"/>
      <c r="AV850" s="78"/>
      <c r="AW850" s="78"/>
      <c r="AX850" s="78"/>
      <c r="AY850" s="78"/>
      <c r="AZ850" s="78"/>
      <c r="BA850" s="78"/>
      <c r="BB850" s="78"/>
      <c r="BC850" s="78"/>
    </row>
    <row r="851">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c r="AA851" s="78"/>
      <c r="AB851" s="78"/>
      <c r="AC851" s="78"/>
      <c r="AD851" s="78"/>
      <c r="AE851" s="78"/>
      <c r="AF851" s="78"/>
      <c r="AG851" s="78"/>
      <c r="AH851" s="78"/>
      <c r="AI851" s="78"/>
      <c r="AJ851" s="78"/>
      <c r="AK851" s="78"/>
      <c r="AL851" s="78"/>
      <c r="AM851" s="78"/>
      <c r="AN851" s="78"/>
      <c r="AO851" s="78"/>
      <c r="AP851" s="78"/>
      <c r="AQ851" s="78"/>
      <c r="AR851" s="78"/>
      <c r="AS851" s="78"/>
      <c r="AT851" s="78"/>
      <c r="AU851" s="78"/>
      <c r="AV851" s="78"/>
      <c r="AW851" s="78"/>
      <c r="AX851" s="78"/>
      <c r="AY851" s="78"/>
      <c r="AZ851" s="78"/>
      <c r="BA851" s="78"/>
      <c r="BB851" s="78"/>
      <c r="BC851" s="78"/>
    </row>
    <row r="852">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c r="AA852" s="78"/>
      <c r="AB852" s="78"/>
      <c r="AC852" s="78"/>
      <c r="AD852" s="78"/>
      <c r="AE852" s="78"/>
      <c r="AF852" s="78"/>
      <c r="AG852" s="78"/>
      <c r="AH852" s="78"/>
      <c r="AI852" s="78"/>
      <c r="AJ852" s="78"/>
      <c r="AK852" s="78"/>
      <c r="AL852" s="78"/>
      <c r="AM852" s="78"/>
      <c r="AN852" s="78"/>
      <c r="AO852" s="78"/>
      <c r="AP852" s="78"/>
      <c r="AQ852" s="78"/>
      <c r="AR852" s="78"/>
      <c r="AS852" s="78"/>
      <c r="AT852" s="78"/>
      <c r="AU852" s="78"/>
      <c r="AV852" s="78"/>
      <c r="AW852" s="78"/>
      <c r="AX852" s="78"/>
      <c r="AY852" s="78"/>
      <c r="AZ852" s="78"/>
      <c r="BA852" s="78"/>
      <c r="BB852" s="78"/>
      <c r="BC852" s="78"/>
    </row>
    <row r="853">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c r="AA853" s="78"/>
      <c r="AB853" s="78"/>
      <c r="AC853" s="78"/>
      <c r="AD853" s="78"/>
      <c r="AE853" s="78"/>
      <c r="AF853" s="78"/>
      <c r="AG853" s="78"/>
      <c r="AH853" s="78"/>
      <c r="AI853" s="78"/>
      <c r="AJ853" s="78"/>
      <c r="AK853" s="78"/>
      <c r="AL853" s="78"/>
      <c r="AM853" s="78"/>
      <c r="AN853" s="78"/>
      <c r="AO853" s="78"/>
      <c r="AP853" s="78"/>
      <c r="AQ853" s="78"/>
      <c r="AR853" s="78"/>
      <c r="AS853" s="78"/>
      <c r="AT853" s="78"/>
      <c r="AU853" s="78"/>
      <c r="AV853" s="78"/>
      <c r="AW853" s="78"/>
      <c r="AX853" s="78"/>
      <c r="AY853" s="78"/>
      <c r="AZ853" s="78"/>
      <c r="BA853" s="78"/>
      <c r="BB853" s="78"/>
      <c r="BC853" s="78"/>
    </row>
    <row r="854">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c r="AA854" s="78"/>
      <c r="AB854" s="78"/>
      <c r="AC854" s="78"/>
      <c r="AD854" s="78"/>
      <c r="AE854" s="78"/>
      <c r="AF854" s="78"/>
      <c r="AG854" s="78"/>
      <c r="AH854" s="78"/>
      <c r="AI854" s="78"/>
      <c r="AJ854" s="78"/>
      <c r="AK854" s="78"/>
      <c r="AL854" s="78"/>
      <c r="AM854" s="78"/>
      <c r="AN854" s="78"/>
      <c r="AO854" s="78"/>
      <c r="AP854" s="78"/>
      <c r="AQ854" s="78"/>
      <c r="AR854" s="78"/>
      <c r="AS854" s="78"/>
      <c r="AT854" s="78"/>
      <c r="AU854" s="78"/>
      <c r="AV854" s="78"/>
      <c r="AW854" s="78"/>
      <c r="AX854" s="78"/>
      <c r="AY854" s="78"/>
      <c r="AZ854" s="78"/>
      <c r="BA854" s="78"/>
      <c r="BB854" s="78"/>
      <c r="BC854" s="78"/>
    </row>
    <row r="855">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c r="AA855" s="78"/>
      <c r="AB855" s="78"/>
      <c r="AC855" s="78"/>
      <c r="AD855" s="78"/>
      <c r="AE855" s="78"/>
      <c r="AF855" s="78"/>
      <c r="AG855" s="78"/>
      <c r="AH855" s="78"/>
      <c r="AI855" s="78"/>
      <c r="AJ855" s="78"/>
      <c r="AK855" s="78"/>
      <c r="AL855" s="78"/>
      <c r="AM855" s="78"/>
      <c r="AN855" s="78"/>
      <c r="AO855" s="78"/>
      <c r="AP855" s="78"/>
      <c r="AQ855" s="78"/>
      <c r="AR855" s="78"/>
      <c r="AS855" s="78"/>
      <c r="AT855" s="78"/>
      <c r="AU855" s="78"/>
      <c r="AV855" s="78"/>
      <c r="AW855" s="78"/>
      <c r="AX855" s="78"/>
      <c r="AY855" s="78"/>
      <c r="AZ855" s="78"/>
      <c r="BA855" s="78"/>
      <c r="BB855" s="78"/>
      <c r="BC855" s="78"/>
    </row>
    <row r="856">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c r="AA856" s="78"/>
      <c r="AB856" s="78"/>
      <c r="AC856" s="78"/>
      <c r="AD856" s="78"/>
      <c r="AE856" s="78"/>
      <c r="AF856" s="78"/>
      <c r="AG856" s="78"/>
      <c r="AH856" s="78"/>
      <c r="AI856" s="78"/>
      <c r="AJ856" s="78"/>
      <c r="AK856" s="78"/>
      <c r="AL856" s="78"/>
      <c r="AM856" s="78"/>
      <c r="AN856" s="78"/>
      <c r="AO856" s="78"/>
      <c r="AP856" s="78"/>
      <c r="AQ856" s="78"/>
      <c r="AR856" s="78"/>
      <c r="AS856" s="78"/>
      <c r="AT856" s="78"/>
      <c r="AU856" s="78"/>
      <c r="AV856" s="78"/>
      <c r="AW856" s="78"/>
      <c r="AX856" s="78"/>
      <c r="AY856" s="78"/>
      <c r="AZ856" s="78"/>
      <c r="BA856" s="78"/>
      <c r="BB856" s="78"/>
      <c r="BC856" s="78"/>
    </row>
    <row r="857">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c r="AA857" s="78"/>
      <c r="AB857" s="78"/>
      <c r="AC857" s="78"/>
      <c r="AD857" s="78"/>
      <c r="AE857" s="78"/>
      <c r="AF857" s="78"/>
      <c r="AG857" s="78"/>
      <c r="AH857" s="78"/>
      <c r="AI857" s="78"/>
      <c r="AJ857" s="78"/>
      <c r="AK857" s="78"/>
      <c r="AL857" s="78"/>
      <c r="AM857" s="78"/>
      <c r="AN857" s="78"/>
      <c r="AO857" s="78"/>
      <c r="AP857" s="78"/>
      <c r="AQ857" s="78"/>
      <c r="AR857" s="78"/>
      <c r="AS857" s="78"/>
      <c r="AT857" s="78"/>
      <c r="AU857" s="78"/>
      <c r="AV857" s="78"/>
      <c r="AW857" s="78"/>
      <c r="AX857" s="78"/>
      <c r="AY857" s="78"/>
      <c r="AZ857" s="78"/>
      <c r="BA857" s="78"/>
      <c r="BB857" s="78"/>
      <c r="BC857" s="78"/>
    </row>
    <row r="858">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c r="AA858" s="78"/>
      <c r="AB858" s="78"/>
      <c r="AC858" s="78"/>
      <c r="AD858" s="78"/>
      <c r="AE858" s="78"/>
      <c r="AF858" s="78"/>
      <c r="AG858" s="78"/>
      <c r="AH858" s="78"/>
      <c r="AI858" s="78"/>
      <c r="AJ858" s="78"/>
      <c r="AK858" s="78"/>
      <c r="AL858" s="78"/>
      <c r="AM858" s="78"/>
      <c r="AN858" s="78"/>
      <c r="AO858" s="78"/>
      <c r="AP858" s="78"/>
      <c r="AQ858" s="78"/>
      <c r="AR858" s="78"/>
      <c r="AS858" s="78"/>
      <c r="AT858" s="78"/>
      <c r="AU858" s="78"/>
      <c r="AV858" s="78"/>
      <c r="AW858" s="78"/>
      <c r="AX858" s="78"/>
      <c r="AY858" s="78"/>
      <c r="AZ858" s="78"/>
      <c r="BA858" s="78"/>
      <c r="BB858" s="78"/>
      <c r="BC858" s="78"/>
    </row>
    <row r="859">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c r="AA859" s="78"/>
      <c r="AB859" s="78"/>
      <c r="AC859" s="78"/>
      <c r="AD859" s="78"/>
      <c r="AE859" s="78"/>
      <c r="AF859" s="78"/>
      <c r="AG859" s="78"/>
      <c r="AH859" s="78"/>
      <c r="AI859" s="78"/>
      <c r="AJ859" s="78"/>
      <c r="AK859" s="78"/>
      <c r="AL859" s="78"/>
      <c r="AM859" s="78"/>
      <c r="AN859" s="78"/>
      <c r="AO859" s="78"/>
      <c r="AP859" s="78"/>
      <c r="AQ859" s="78"/>
      <c r="AR859" s="78"/>
      <c r="AS859" s="78"/>
      <c r="AT859" s="78"/>
      <c r="AU859" s="78"/>
      <c r="AV859" s="78"/>
      <c r="AW859" s="78"/>
      <c r="AX859" s="78"/>
      <c r="AY859" s="78"/>
      <c r="AZ859" s="78"/>
      <c r="BA859" s="78"/>
      <c r="BB859" s="78"/>
      <c r="BC859" s="78"/>
    </row>
    <row r="860">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c r="AA860" s="78"/>
      <c r="AB860" s="78"/>
      <c r="AC860" s="78"/>
      <c r="AD860" s="78"/>
      <c r="AE860" s="78"/>
      <c r="AF860" s="78"/>
      <c r="AG860" s="78"/>
      <c r="AH860" s="78"/>
      <c r="AI860" s="78"/>
      <c r="AJ860" s="78"/>
      <c r="AK860" s="78"/>
      <c r="AL860" s="78"/>
      <c r="AM860" s="78"/>
      <c r="AN860" s="78"/>
      <c r="AO860" s="78"/>
      <c r="AP860" s="78"/>
      <c r="AQ860" s="78"/>
      <c r="AR860" s="78"/>
      <c r="AS860" s="78"/>
      <c r="AT860" s="78"/>
      <c r="AU860" s="78"/>
      <c r="AV860" s="78"/>
      <c r="AW860" s="78"/>
      <c r="AX860" s="78"/>
      <c r="AY860" s="78"/>
      <c r="AZ860" s="78"/>
      <c r="BA860" s="78"/>
      <c r="BB860" s="78"/>
      <c r="BC860" s="78"/>
    </row>
    <row r="861">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c r="AA861" s="78"/>
      <c r="AB861" s="78"/>
      <c r="AC861" s="78"/>
      <c r="AD861" s="78"/>
      <c r="AE861" s="78"/>
      <c r="AF861" s="78"/>
      <c r="AG861" s="78"/>
      <c r="AH861" s="78"/>
      <c r="AI861" s="78"/>
      <c r="AJ861" s="78"/>
      <c r="AK861" s="78"/>
      <c r="AL861" s="78"/>
      <c r="AM861" s="78"/>
      <c r="AN861" s="78"/>
      <c r="AO861" s="78"/>
      <c r="AP861" s="78"/>
      <c r="AQ861" s="78"/>
      <c r="AR861" s="78"/>
      <c r="AS861" s="78"/>
      <c r="AT861" s="78"/>
      <c r="AU861" s="78"/>
      <c r="AV861" s="78"/>
      <c r="AW861" s="78"/>
      <c r="AX861" s="78"/>
      <c r="AY861" s="78"/>
      <c r="AZ861" s="78"/>
      <c r="BA861" s="78"/>
      <c r="BB861" s="78"/>
      <c r="BC861" s="78"/>
    </row>
    <row r="862">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c r="AA862" s="78"/>
      <c r="AB862" s="78"/>
      <c r="AC862" s="78"/>
      <c r="AD862" s="78"/>
      <c r="AE862" s="78"/>
      <c r="AF862" s="78"/>
      <c r="AG862" s="78"/>
      <c r="AH862" s="78"/>
      <c r="AI862" s="78"/>
      <c r="AJ862" s="78"/>
      <c r="AK862" s="78"/>
      <c r="AL862" s="78"/>
      <c r="AM862" s="78"/>
      <c r="AN862" s="78"/>
      <c r="AO862" s="78"/>
      <c r="AP862" s="78"/>
      <c r="AQ862" s="78"/>
      <c r="AR862" s="78"/>
      <c r="AS862" s="78"/>
      <c r="AT862" s="78"/>
      <c r="AU862" s="78"/>
      <c r="AV862" s="78"/>
      <c r="AW862" s="78"/>
      <c r="AX862" s="78"/>
      <c r="AY862" s="78"/>
      <c r="AZ862" s="78"/>
      <c r="BA862" s="78"/>
      <c r="BB862" s="78"/>
      <c r="BC862" s="78"/>
    </row>
    <row r="863">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c r="AA863" s="78"/>
      <c r="AB863" s="78"/>
      <c r="AC863" s="78"/>
      <c r="AD863" s="78"/>
      <c r="AE863" s="78"/>
      <c r="AF863" s="78"/>
      <c r="AG863" s="78"/>
      <c r="AH863" s="78"/>
      <c r="AI863" s="78"/>
      <c r="AJ863" s="78"/>
      <c r="AK863" s="78"/>
      <c r="AL863" s="78"/>
      <c r="AM863" s="78"/>
      <c r="AN863" s="78"/>
      <c r="AO863" s="78"/>
      <c r="AP863" s="78"/>
      <c r="AQ863" s="78"/>
      <c r="AR863" s="78"/>
      <c r="AS863" s="78"/>
      <c r="AT863" s="78"/>
      <c r="AU863" s="78"/>
      <c r="AV863" s="78"/>
      <c r="AW863" s="78"/>
      <c r="AX863" s="78"/>
      <c r="AY863" s="78"/>
      <c r="AZ863" s="78"/>
      <c r="BA863" s="78"/>
      <c r="BB863" s="78"/>
      <c r="BC863" s="78"/>
    </row>
    <row r="864">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c r="AA864" s="78"/>
      <c r="AB864" s="78"/>
      <c r="AC864" s="78"/>
      <c r="AD864" s="78"/>
      <c r="AE864" s="78"/>
      <c r="AF864" s="78"/>
      <c r="AG864" s="78"/>
      <c r="AH864" s="78"/>
      <c r="AI864" s="78"/>
      <c r="AJ864" s="78"/>
      <c r="AK864" s="78"/>
      <c r="AL864" s="78"/>
      <c r="AM864" s="78"/>
      <c r="AN864" s="78"/>
      <c r="AO864" s="78"/>
      <c r="AP864" s="78"/>
      <c r="AQ864" s="78"/>
      <c r="AR864" s="78"/>
      <c r="AS864" s="78"/>
      <c r="AT864" s="78"/>
      <c r="AU864" s="78"/>
      <c r="AV864" s="78"/>
      <c r="AW864" s="78"/>
      <c r="AX864" s="78"/>
      <c r="AY864" s="78"/>
      <c r="AZ864" s="78"/>
      <c r="BA864" s="78"/>
      <c r="BB864" s="78"/>
      <c r="BC864" s="78"/>
    </row>
    <row r="865">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c r="AA865" s="78"/>
      <c r="AB865" s="78"/>
      <c r="AC865" s="78"/>
      <c r="AD865" s="78"/>
      <c r="AE865" s="78"/>
      <c r="AF865" s="78"/>
      <c r="AG865" s="78"/>
      <c r="AH865" s="78"/>
      <c r="AI865" s="78"/>
      <c r="AJ865" s="78"/>
      <c r="AK865" s="78"/>
      <c r="AL865" s="78"/>
      <c r="AM865" s="78"/>
      <c r="AN865" s="78"/>
      <c r="AO865" s="78"/>
      <c r="AP865" s="78"/>
      <c r="AQ865" s="78"/>
      <c r="AR865" s="78"/>
      <c r="AS865" s="78"/>
      <c r="AT865" s="78"/>
      <c r="AU865" s="78"/>
      <c r="AV865" s="78"/>
      <c r="AW865" s="78"/>
      <c r="AX865" s="78"/>
      <c r="AY865" s="78"/>
      <c r="AZ865" s="78"/>
      <c r="BA865" s="78"/>
      <c r="BB865" s="78"/>
      <c r="BC865" s="78"/>
    </row>
    <row r="866">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c r="AA866" s="78"/>
      <c r="AB866" s="78"/>
      <c r="AC866" s="78"/>
      <c r="AD866" s="78"/>
      <c r="AE866" s="78"/>
      <c r="AF866" s="78"/>
      <c r="AG866" s="78"/>
      <c r="AH866" s="78"/>
      <c r="AI866" s="78"/>
      <c r="AJ866" s="78"/>
      <c r="AK866" s="78"/>
      <c r="AL866" s="78"/>
      <c r="AM866" s="78"/>
      <c r="AN866" s="78"/>
      <c r="AO866" s="78"/>
      <c r="AP866" s="78"/>
      <c r="AQ866" s="78"/>
      <c r="AR866" s="78"/>
      <c r="AS866" s="78"/>
      <c r="AT866" s="78"/>
      <c r="AU866" s="78"/>
      <c r="AV866" s="78"/>
      <c r="AW866" s="78"/>
      <c r="AX866" s="78"/>
      <c r="AY866" s="78"/>
      <c r="AZ866" s="78"/>
      <c r="BA866" s="78"/>
      <c r="BB866" s="78"/>
      <c r="BC866" s="78"/>
    </row>
    <row r="867">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c r="AA867" s="78"/>
      <c r="AB867" s="78"/>
      <c r="AC867" s="78"/>
      <c r="AD867" s="78"/>
      <c r="AE867" s="78"/>
      <c r="AF867" s="78"/>
      <c r="AG867" s="78"/>
      <c r="AH867" s="78"/>
      <c r="AI867" s="78"/>
      <c r="AJ867" s="78"/>
      <c r="AK867" s="78"/>
      <c r="AL867" s="78"/>
      <c r="AM867" s="78"/>
      <c r="AN867" s="78"/>
      <c r="AO867" s="78"/>
      <c r="AP867" s="78"/>
      <c r="AQ867" s="78"/>
      <c r="AR867" s="78"/>
      <c r="AS867" s="78"/>
      <c r="AT867" s="78"/>
      <c r="AU867" s="78"/>
      <c r="AV867" s="78"/>
      <c r="AW867" s="78"/>
      <c r="AX867" s="78"/>
      <c r="AY867" s="78"/>
      <c r="AZ867" s="78"/>
      <c r="BA867" s="78"/>
      <c r="BB867" s="78"/>
      <c r="BC867" s="78"/>
    </row>
    <row r="868">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c r="AA868" s="78"/>
      <c r="AB868" s="78"/>
      <c r="AC868" s="78"/>
      <c r="AD868" s="78"/>
      <c r="AE868" s="78"/>
      <c r="AF868" s="78"/>
      <c r="AG868" s="78"/>
      <c r="AH868" s="78"/>
      <c r="AI868" s="78"/>
      <c r="AJ868" s="78"/>
      <c r="AK868" s="78"/>
      <c r="AL868" s="78"/>
      <c r="AM868" s="78"/>
      <c r="AN868" s="78"/>
      <c r="AO868" s="78"/>
      <c r="AP868" s="78"/>
      <c r="AQ868" s="78"/>
      <c r="AR868" s="78"/>
      <c r="AS868" s="78"/>
      <c r="AT868" s="78"/>
      <c r="AU868" s="78"/>
      <c r="AV868" s="78"/>
      <c r="AW868" s="78"/>
      <c r="AX868" s="78"/>
      <c r="AY868" s="78"/>
      <c r="AZ868" s="78"/>
      <c r="BA868" s="78"/>
      <c r="BB868" s="78"/>
      <c r="BC868" s="78"/>
    </row>
    <row r="869">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c r="AA869" s="78"/>
      <c r="AB869" s="78"/>
      <c r="AC869" s="78"/>
      <c r="AD869" s="78"/>
      <c r="AE869" s="78"/>
      <c r="AF869" s="78"/>
      <c r="AG869" s="78"/>
      <c r="AH869" s="78"/>
      <c r="AI869" s="78"/>
      <c r="AJ869" s="78"/>
      <c r="AK869" s="78"/>
      <c r="AL869" s="78"/>
      <c r="AM869" s="78"/>
      <c r="AN869" s="78"/>
      <c r="AO869" s="78"/>
      <c r="AP869" s="78"/>
      <c r="AQ869" s="78"/>
      <c r="AR869" s="78"/>
      <c r="AS869" s="78"/>
      <c r="AT869" s="78"/>
      <c r="AU869" s="78"/>
      <c r="AV869" s="78"/>
      <c r="AW869" s="78"/>
      <c r="AX869" s="78"/>
      <c r="AY869" s="78"/>
      <c r="AZ869" s="78"/>
      <c r="BA869" s="78"/>
      <c r="BB869" s="78"/>
      <c r="BC869" s="78"/>
    </row>
    <row r="870">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c r="AA870" s="78"/>
      <c r="AB870" s="78"/>
      <c r="AC870" s="78"/>
      <c r="AD870" s="78"/>
      <c r="AE870" s="78"/>
      <c r="AF870" s="78"/>
      <c r="AG870" s="78"/>
      <c r="AH870" s="78"/>
      <c r="AI870" s="78"/>
      <c r="AJ870" s="78"/>
      <c r="AK870" s="78"/>
      <c r="AL870" s="78"/>
      <c r="AM870" s="78"/>
      <c r="AN870" s="78"/>
      <c r="AO870" s="78"/>
      <c r="AP870" s="78"/>
      <c r="AQ870" s="78"/>
      <c r="AR870" s="78"/>
      <c r="AS870" s="78"/>
      <c r="AT870" s="78"/>
      <c r="AU870" s="78"/>
      <c r="AV870" s="78"/>
      <c r="AW870" s="78"/>
      <c r="AX870" s="78"/>
      <c r="AY870" s="78"/>
      <c r="AZ870" s="78"/>
      <c r="BA870" s="78"/>
      <c r="BB870" s="78"/>
      <c r="BC870" s="78"/>
    </row>
    <row r="871">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c r="AA871" s="78"/>
      <c r="AB871" s="78"/>
      <c r="AC871" s="78"/>
      <c r="AD871" s="78"/>
      <c r="AE871" s="78"/>
      <c r="AF871" s="78"/>
      <c r="AG871" s="78"/>
      <c r="AH871" s="78"/>
      <c r="AI871" s="78"/>
      <c r="AJ871" s="78"/>
      <c r="AK871" s="78"/>
      <c r="AL871" s="78"/>
      <c r="AM871" s="78"/>
      <c r="AN871" s="78"/>
      <c r="AO871" s="78"/>
      <c r="AP871" s="78"/>
      <c r="AQ871" s="78"/>
      <c r="AR871" s="78"/>
      <c r="AS871" s="78"/>
      <c r="AT871" s="78"/>
      <c r="AU871" s="78"/>
      <c r="AV871" s="78"/>
      <c r="AW871" s="78"/>
      <c r="AX871" s="78"/>
      <c r="AY871" s="78"/>
      <c r="AZ871" s="78"/>
      <c r="BA871" s="78"/>
      <c r="BB871" s="78"/>
      <c r="BC871" s="78"/>
    </row>
    <row r="872">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c r="AA872" s="78"/>
      <c r="AB872" s="78"/>
      <c r="AC872" s="78"/>
      <c r="AD872" s="78"/>
      <c r="AE872" s="78"/>
      <c r="AF872" s="78"/>
      <c r="AG872" s="78"/>
      <c r="AH872" s="78"/>
      <c r="AI872" s="78"/>
      <c r="AJ872" s="78"/>
      <c r="AK872" s="78"/>
      <c r="AL872" s="78"/>
      <c r="AM872" s="78"/>
      <c r="AN872" s="78"/>
      <c r="AO872" s="78"/>
      <c r="AP872" s="78"/>
      <c r="AQ872" s="78"/>
      <c r="AR872" s="78"/>
      <c r="AS872" s="78"/>
      <c r="AT872" s="78"/>
      <c r="AU872" s="78"/>
      <c r="AV872" s="78"/>
      <c r="AW872" s="78"/>
      <c r="AX872" s="78"/>
      <c r="AY872" s="78"/>
      <c r="AZ872" s="78"/>
      <c r="BA872" s="78"/>
      <c r="BB872" s="78"/>
      <c r="BC872" s="78"/>
    </row>
    <row r="873">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c r="AA873" s="78"/>
      <c r="AB873" s="78"/>
      <c r="AC873" s="78"/>
      <c r="AD873" s="78"/>
      <c r="AE873" s="78"/>
      <c r="AF873" s="78"/>
      <c r="AG873" s="78"/>
      <c r="AH873" s="78"/>
      <c r="AI873" s="78"/>
      <c r="AJ873" s="78"/>
      <c r="AK873" s="78"/>
      <c r="AL873" s="78"/>
      <c r="AM873" s="78"/>
      <c r="AN873" s="78"/>
      <c r="AO873" s="78"/>
      <c r="AP873" s="78"/>
      <c r="AQ873" s="78"/>
      <c r="AR873" s="78"/>
      <c r="AS873" s="78"/>
      <c r="AT873" s="78"/>
      <c r="AU873" s="78"/>
      <c r="AV873" s="78"/>
      <c r="AW873" s="78"/>
      <c r="AX873" s="78"/>
      <c r="AY873" s="78"/>
      <c r="AZ873" s="78"/>
      <c r="BA873" s="78"/>
      <c r="BB873" s="78"/>
      <c r="BC873" s="78"/>
    </row>
    <row r="874">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c r="AA874" s="78"/>
      <c r="AB874" s="78"/>
      <c r="AC874" s="78"/>
      <c r="AD874" s="78"/>
      <c r="AE874" s="78"/>
      <c r="AF874" s="78"/>
      <c r="AG874" s="78"/>
      <c r="AH874" s="78"/>
      <c r="AI874" s="78"/>
      <c r="AJ874" s="78"/>
      <c r="AK874" s="78"/>
      <c r="AL874" s="78"/>
      <c r="AM874" s="78"/>
      <c r="AN874" s="78"/>
      <c r="AO874" s="78"/>
      <c r="AP874" s="78"/>
      <c r="AQ874" s="78"/>
      <c r="AR874" s="78"/>
      <c r="AS874" s="78"/>
      <c r="AT874" s="78"/>
      <c r="AU874" s="78"/>
      <c r="AV874" s="78"/>
      <c r="AW874" s="78"/>
      <c r="AX874" s="78"/>
      <c r="AY874" s="78"/>
      <c r="AZ874" s="78"/>
      <c r="BA874" s="78"/>
      <c r="BB874" s="78"/>
      <c r="BC874" s="78"/>
    </row>
    <row r="875">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c r="AA875" s="78"/>
      <c r="AB875" s="78"/>
      <c r="AC875" s="78"/>
      <c r="AD875" s="78"/>
      <c r="AE875" s="78"/>
      <c r="AF875" s="78"/>
      <c r="AG875" s="78"/>
      <c r="AH875" s="78"/>
      <c r="AI875" s="78"/>
      <c r="AJ875" s="78"/>
      <c r="AK875" s="78"/>
      <c r="AL875" s="78"/>
      <c r="AM875" s="78"/>
      <c r="AN875" s="78"/>
      <c r="AO875" s="78"/>
      <c r="AP875" s="78"/>
      <c r="AQ875" s="78"/>
      <c r="AR875" s="78"/>
      <c r="AS875" s="78"/>
      <c r="AT875" s="78"/>
      <c r="AU875" s="78"/>
      <c r="AV875" s="78"/>
      <c r="AW875" s="78"/>
      <c r="AX875" s="78"/>
      <c r="AY875" s="78"/>
      <c r="AZ875" s="78"/>
      <c r="BA875" s="78"/>
      <c r="BB875" s="78"/>
      <c r="BC875" s="78"/>
    </row>
    <row r="876">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c r="AA876" s="78"/>
      <c r="AB876" s="78"/>
      <c r="AC876" s="78"/>
      <c r="AD876" s="78"/>
      <c r="AE876" s="78"/>
      <c r="AF876" s="78"/>
      <c r="AG876" s="78"/>
      <c r="AH876" s="78"/>
      <c r="AI876" s="78"/>
      <c r="AJ876" s="78"/>
      <c r="AK876" s="78"/>
      <c r="AL876" s="78"/>
      <c r="AM876" s="78"/>
      <c r="AN876" s="78"/>
      <c r="AO876" s="78"/>
      <c r="AP876" s="78"/>
      <c r="AQ876" s="78"/>
      <c r="AR876" s="78"/>
      <c r="AS876" s="78"/>
      <c r="AT876" s="78"/>
      <c r="AU876" s="78"/>
      <c r="AV876" s="78"/>
      <c r="AW876" s="78"/>
      <c r="AX876" s="78"/>
      <c r="AY876" s="78"/>
      <c r="AZ876" s="78"/>
      <c r="BA876" s="78"/>
      <c r="BB876" s="78"/>
      <c r="BC876" s="78"/>
    </row>
    <row r="877">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c r="AA877" s="78"/>
      <c r="AB877" s="78"/>
      <c r="AC877" s="78"/>
      <c r="AD877" s="78"/>
      <c r="AE877" s="78"/>
      <c r="AF877" s="78"/>
      <c r="AG877" s="78"/>
      <c r="AH877" s="78"/>
      <c r="AI877" s="78"/>
      <c r="AJ877" s="78"/>
      <c r="AK877" s="78"/>
      <c r="AL877" s="78"/>
      <c r="AM877" s="78"/>
      <c r="AN877" s="78"/>
      <c r="AO877" s="78"/>
      <c r="AP877" s="78"/>
      <c r="AQ877" s="78"/>
      <c r="AR877" s="78"/>
      <c r="AS877" s="78"/>
      <c r="AT877" s="78"/>
      <c r="AU877" s="78"/>
      <c r="AV877" s="78"/>
      <c r="AW877" s="78"/>
      <c r="AX877" s="78"/>
      <c r="AY877" s="78"/>
      <c r="AZ877" s="78"/>
      <c r="BA877" s="78"/>
      <c r="BB877" s="78"/>
      <c r="BC877" s="78"/>
    </row>
    <row r="878">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c r="AA878" s="78"/>
      <c r="AB878" s="78"/>
      <c r="AC878" s="78"/>
      <c r="AD878" s="78"/>
      <c r="AE878" s="78"/>
      <c r="AF878" s="78"/>
      <c r="AG878" s="78"/>
      <c r="AH878" s="78"/>
      <c r="AI878" s="78"/>
      <c r="AJ878" s="78"/>
      <c r="AK878" s="78"/>
      <c r="AL878" s="78"/>
      <c r="AM878" s="78"/>
      <c r="AN878" s="78"/>
      <c r="AO878" s="78"/>
      <c r="AP878" s="78"/>
      <c r="AQ878" s="78"/>
      <c r="AR878" s="78"/>
      <c r="AS878" s="78"/>
      <c r="AT878" s="78"/>
      <c r="AU878" s="78"/>
      <c r="AV878" s="78"/>
      <c r="AW878" s="78"/>
      <c r="AX878" s="78"/>
      <c r="AY878" s="78"/>
      <c r="AZ878" s="78"/>
      <c r="BA878" s="78"/>
      <c r="BB878" s="78"/>
      <c r="BC878" s="78"/>
    </row>
    <row r="879">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c r="AA879" s="78"/>
      <c r="AB879" s="78"/>
      <c r="AC879" s="78"/>
      <c r="AD879" s="78"/>
      <c r="AE879" s="78"/>
      <c r="AF879" s="78"/>
      <c r="AG879" s="78"/>
      <c r="AH879" s="78"/>
      <c r="AI879" s="78"/>
      <c r="AJ879" s="78"/>
      <c r="AK879" s="78"/>
      <c r="AL879" s="78"/>
      <c r="AM879" s="78"/>
      <c r="AN879" s="78"/>
      <c r="AO879" s="78"/>
      <c r="AP879" s="78"/>
      <c r="AQ879" s="78"/>
      <c r="AR879" s="78"/>
      <c r="AS879" s="78"/>
      <c r="AT879" s="78"/>
      <c r="AU879" s="78"/>
      <c r="AV879" s="78"/>
      <c r="AW879" s="78"/>
      <c r="AX879" s="78"/>
      <c r="AY879" s="78"/>
      <c r="AZ879" s="78"/>
      <c r="BA879" s="78"/>
      <c r="BB879" s="78"/>
      <c r="BC879" s="78"/>
    </row>
    <row r="880">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c r="AA880" s="78"/>
      <c r="AB880" s="78"/>
      <c r="AC880" s="78"/>
      <c r="AD880" s="78"/>
      <c r="AE880" s="78"/>
      <c r="AF880" s="78"/>
      <c r="AG880" s="78"/>
      <c r="AH880" s="78"/>
      <c r="AI880" s="78"/>
      <c r="AJ880" s="78"/>
      <c r="AK880" s="78"/>
      <c r="AL880" s="78"/>
      <c r="AM880" s="78"/>
      <c r="AN880" s="78"/>
      <c r="AO880" s="78"/>
      <c r="AP880" s="78"/>
      <c r="AQ880" s="78"/>
      <c r="AR880" s="78"/>
      <c r="AS880" s="78"/>
      <c r="AT880" s="78"/>
      <c r="AU880" s="78"/>
      <c r="AV880" s="78"/>
      <c r="AW880" s="78"/>
      <c r="AX880" s="78"/>
      <c r="AY880" s="78"/>
      <c r="AZ880" s="78"/>
      <c r="BA880" s="78"/>
      <c r="BB880" s="78"/>
      <c r="BC880" s="78"/>
    </row>
    <row r="881">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c r="AA881" s="78"/>
      <c r="AB881" s="78"/>
      <c r="AC881" s="78"/>
      <c r="AD881" s="78"/>
      <c r="AE881" s="78"/>
      <c r="AF881" s="78"/>
      <c r="AG881" s="78"/>
      <c r="AH881" s="78"/>
      <c r="AI881" s="78"/>
      <c r="AJ881" s="78"/>
      <c r="AK881" s="78"/>
      <c r="AL881" s="78"/>
      <c r="AM881" s="78"/>
      <c r="AN881" s="78"/>
      <c r="AO881" s="78"/>
      <c r="AP881" s="78"/>
      <c r="AQ881" s="78"/>
      <c r="AR881" s="78"/>
      <c r="AS881" s="78"/>
      <c r="AT881" s="78"/>
      <c r="AU881" s="78"/>
      <c r="AV881" s="78"/>
      <c r="AW881" s="78"/>
      <c r="AX881" s="78"/>
      <c r="AY881" s="78"/>
      <c r="AZ881" s="78"/>
      <c r="BA881" s="78"/>
      <c r="BB881" s="78"/>
      <c r="BC881" s="78"/>
    </row>
    <row r="882">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c r="AA882" s="78"/>
      <c r="AB882" s="78"/>
      <c r="AC882" s="78"/>
      <c r="AD882" s="78"/>
      <c r="AE882" s="78"/>
      <c r="AF882" s="78"/>
      <c r="AG882" s="78"/>
      <c r="AH882" s="78"/>
      <c r="AI882" s="78"/>
      <c r="AJ882" s="78"/>
      <c r="AK882" s="78"/>
      <c r="AL882" s="78"/>
      <c r="AM882" s="78"/>
      <c r="AN882" s="78"/>
      <c r="AO882" s="78"/>
      <c r="AP882" s="78"/>
      <c r="AQ882" s="78"/>
      <c r="AR882" s="78"/>
      <c r="AS882" s="78"/>
      <c r="AT882" s="78"/>
      <c r="AU882" s="78"/>
      <c r="AV882" s="78"/>
      <c r="AW882" s="78"/>
      <c r="AX882" s="78"/>
      <c r="AY882" s="78"/>
      <c r="AZ882" s="78"/>
      <c r="BA882" s="78"/>
      <c r="BB882" s="78"/>
      <c r="BC882" s="78"/>
    </row>
    <row r="883">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c r="AA883" s="78"/>
      <c r="AB883" s="78"/>
      <c r="AC883" s="78"/>
      <c r="AD883" s="78"/>
      <c r="AE883" s="78"/>
      <c r="AF883" s="78"/>
      <c r="AG883" s="78"/>
      <c r="AH883" s="78"/>
      <c r="AI883" s="78"/>
      <c r="AJ883" s="78"/>
      <c r="AK883" s="78"/>
      <c r="AL883" s="78"/>
      <c r="AM883" s="78"/>
      <c r="AN883" s="78"/>
      <c r="AO883" s="78"/>
      <c r="AP883" s="78"/>
      <c r="AQ883" s="78"/>
      <c r="AR883" s="78"/>
      <c r="AS883" s="78"/>
      <c r="AT883" s="78"/>
      <c r="AU883" s="78"/>
      <c r="AV883" s="78"/>
      <c r="AW883" s="78"/>
      <c r="AX883" s="78"/>
      <c r="AY883" s="78"/>
      <c r="AZ883" s="78"/>
      <c r="BA883" s="78"/>
      <c r="BB883" s="78"/>
      <c r="BC883" s="78"/>
    </row>
    <row r="884">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c r="AA884" s="78"/>
      <c r="AB884" s="78"/>
      <c r="AC884" s="78"/>
      <c r="AD884" s="78"/>
      <c r="AE884" s="78"/>
      <c r="AF884" s="78"/>
      <c r="AG884" s="78"/>
      <c r="AH884" s="78"/>
      <c r="AI884" s="78"/>
      <c r="AJ884" s="78"/>
      <c r="AK884" s="78"/>
      <c r="AL884" s="78"/>
      <c r="AM884" s="78"/>
      <c r="AN884" s="78"/>
      <c r="AO884" s="78"/>
      <c r="AP884" s="78"/>
      <c r="AQ884" s="78"/>
      <c r="AR884" s="78"/>
      <c r="AS884" s="78"/>
      <c r="AT884" s="78"/>
      <c r="AU884" s="78"/>
      <c r="AV884" s="78"/>
      <c r="AW884" s="78"/>
      <c r="AX884" s="78"/>
      <c r="AY884" s="78"/>
      <c r="AZ884" s="78"/>
      <c r="BA884" s="78"/>
      <c r="BB884" s="78"/>
      <c r="BC884" s="78"/>
    </row>
    <row r="885">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c r="AA885" s="78"/>
      <c r="AB885" s="78"/>
      <c r="AC885" s="78"/>
      <c r="AD885" s="78"/>
      <c r="AE885" s="78"/>
      <c r="AF885" s="78"/>
      <c r="AG885" s="78"/>
      <c r="AH885" s="78"/>
      <c r="AI885" s="78"/>
      <c r="AJ885" s="78"/>
      <c r="AK885" s="78"/>
      <c r="AL885" s="78"/>
      <c r="AM885" s="78"/>
      <c r="AN885" s="78"/>
      <c r="AO885" s="78"/>
      <c r="AP885" s="78"/>
      <c r="AQ885" s="78"/>
      <c r="AR885" s="78"/>
      <c r="AS885" s="78"/>
      <c r="AT885" s="78"/>
      <c r="AU885" s="78"/>
      <c r="AV885" s="78"/>
      <c r="AW885" s="78"/>
      <c r="AX885" s="78"/>
      <c r="AY885" s="78"/>
      <c r="AZ885" s="78"/>
      <c r="BA885" s="78"/>
      <c r="BB885" s="78"/>
      <c r="BC885" s="78"/>
    </row>
    <row r="886">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c r="AA886" s="78"/>
      <c r="AB886" s="78"/>
      <c r="AC886" s="78"/>
      <c r="AD886" s="78"/>
      <c r="AE886" s="78"/>
      <c r="AF886" s="78"/>
      <c r="AG886" s="78"/>
      <c r="AH886" s="78"/>
      <c r="AI886" s="78"/>
      <c r="AJ886" s="78"/>
      <c r="AK886" s="78"/>
      <c r="AL886" s="78"/>
      <c r="AM886" s="78"/>
      <c r="AN886" s="78"/>
      <c r="AO886" s="78"/>
      <c r="AP886" s="78"/>
      <c r="AQ886" s="78"/>
      <c r="AR886" s="78"/>
      <c r="AS886" s="78"/>
      <c r="AT886" s="78"/>
      <c r="AU886" s="78"/>
      <c r="AV886" s="78"/>
      <c r="AW886" s="78"/>
      <c r="AX886" s="78"/>
      <c r="AY886" s="78"/>
      <c r="AZ886" s="78"/>
      <c r="BA886" s="78"/>
      <c r="BB886" s="78"/>
      <c r="BC886" s="78"/>
    </row>
    <row r="887">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c r="AA887" s="78"/>
      <c r="AB887" s="78"/>
      <c r="AC887" s="78"/>
      <c r="AD887" s="78"/>
      <c r="AE887" s="78"/>
      <c r="AF887" s="78"/>
      <c r="AG887" s="78"/>
      <c r="AH887" s="78"/>
      <c r="AI887" s="78"/>
      <c r="AJ887" s="78"/>
      <c r="AK887" s="78"/>
      <c r="AL887" s="78"/>
      <c r="AM887" s="78"/>
      <c r="AN887" s="78"/>
      <c r="AO887" s="78"/>
      <c r="AP887" s="78"/>
      <c r="AQ887" s="78"/>
      <c r="AR887" s="78"/>
      <c r="AS887" s="78"/>
      <c r="AT887" s="78"/>
      <c r="AU887" s="78"/>
      <c r="AV887" s="78"/>
      <c r="AW887" s="78"/>
      <c r="AX887" s="78"/>
      <c r="AY887" s="78"/>
      <c r="AZ887" s="78"/>
      <c r="BA887" s="78"/>
      <c r="BB887" s="78"/>
      <c r="BC887" s="78"/>
    </row>
    <row r="888">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c r="AA888" s="78"/>
      <c r="AB888" s="78"/>
      <c r="AC888" s="78"/>
      <c r="AD888" s="78"/>
      <c r="AE888" s="78"/>
      <c r="AF888" s="78"/>
      <c r="AG888" s="78"/>
      <c r="AH888" s="78"/>
      <c r="AI888" s="78"/>
      <c r="AJ888" s="78"/>
      <c r="AK888" s="78"/>
      <c r="AL888" s="78"/>
      <c r="AM888" s="78"/>
      <c r="AN888" s="78"/>
      <c r="AO888" s="78"/>
      <c r="AP888" s="78"/>
      <c r="AQ888" s="78"/>
      <c r="AR888" s="78"/>
      <c r="AS888" s="78"/>
      <c r="AT888" s="78"/>
      <c r="AU888" s="78"/>
      <c r="AV888" s="78"/>
      <c r="AW888" s="78"/>
      <c r="AX888" s="78"/>
      <c r="AY888" s="78"/>
      <c r="AZ888" s="78"/>
      <c r="BA888" s="78"/>
      <c r="BB888" s="78"/>
      <c r="BC888" s="78"/>
    </row>
    <row r="889">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c r="AA889" s="78"/>
      <c r="AB889" s="78"/>
      <c r="AC889" s="78"/>
      <c r="AD889" s="78"/>
      <c r="AE889" s="78"/>
      <c r="AF889" s="78"/>
      <c r="AG889" s="78"/>
      <c r="AH889" s="78"/>
      <c r="AI889" s="78"/>
      <c r="AJ889" s="78"/>
      <c r="AK889" s="78"/>
      <c r="AL889" s="78"/>
      <c r="AM889" s="78"/>
      <c r="AN889" s="78"/>
      <c r="AO889" s="78"/>
      <c r="AP889" s="78"/>
      <c r="AQ889" s="78"/>
      <c r="AR889" s="78"/>
      <c r="AS889" s="78"/>
      <c r="AT889" s="78"/>
      <c r="AU889" s="78"/>
      <c r="AV889" s="78"/>
      <c r="AW889" s="78"/>
      <c r="AX889" s="78"/>
      <c r="AY889" s="78"/>
      <c r="AZ889" s="78"/>
      <c r="BA889" s="78"/>
      <c r="BB889" s="78"/>
      <c r="BC889" s="78"/>
    </row>
    <row r="890">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c r="AA890" s="78"/>
      <c r="AB890" s="78"/>
      <c r="AC890" s="78"/>
      <c r="AD890" s="78"/>
      <c r="AE890" s="78"/>
      <c r="AF890" s="78"/>
      <c r="AG890" s="78"/>
      <c r="AH890" s="78"/>
      <c r="AI890" s="78"/>
      <c r="AJ890" s="78"/>
      <c r="AK890" s="78"/>
      <c r="AL890" s="78"/>
      <c r="AM890" s="78"/>
      <c r="AN890" s="78"/>
      <c r="AO890" s="78"/>
      <c r="AP890" s="78"/>
      <c r="AQ890" s="78"/>
      <c r="AR890" s="78"/>
      <c r="AS890" s="78"/>
      <c r="AT890" s="78"/>
      <c r="AU890" s="78"/>
      <c r="AV890" s="78"/>
      <c r="AW890" s="78"/>
      <c r="AX890" s="78"/>
      <c r="AY890" s="78"/>
      <c r="AZ890" s="78"/>
      <c r="BA890" s="78"/>
      <c r="BB890" s="78"/>
      <c r="BC890" s="78"/>
    </row>
    <row r="891">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c r="AA891" s="78"/>
      <c r="AB891" s="78"/>
      <c r="AC891" s="78"/>
      <c r="AD891" s="78"/>
      <c r="AE891" s="78"/>
      <c r="AF891" s="78"/>
      <c r="AG891" s="78"/>
      <c r="AH891" s="78"/>
      <c r="AI891" s="78"/>
      <c r="AJ891" s="78"/>
      <c r="AK891" s="78"/>
      <c r="AL891" s="78"/>
      <c r="AM891" s="78"/>
      <c r="AN891" s="78"/>
      <c r="AO891" s="78"/>
      <c r="AP891" s="78"/>
      <c r="AQ891" s="78"/>
      <c r="AR891" s="78"/>
      <c r="AS891" s="78"/>
      <c r="AT891" s="78"/>
      <c r="AU891" s="78"/>
      <c r="AV891" s="78"/>
      <c r="AW891" s="78"/>
      <c r="AX891" s="78"/>
      <c r="AY891" s="78"/>
      <c r="AZ891" s="78"/>
      <c r="BA891" s="78"/>
      <c r="BB891" s="78"/>
      <c r="BC891" s="78"/>
    </row>
    <row r="892">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c r="AA892" s="78"/>
      <c r="AB892" s="78"/>
      <c r="AC892" s="78"/>
      <c r="AD892" s="78"/>
      <c r="AE892" s="78"/>
      <c r="AF892" s="78"/>
      <c r="AG892" s="78"/>
      <c r="AH892" s="78"/>
      <c r="AI892" s="78"/>
      <c r="AJ892" s="78"/>
      <c r="AK892" s="78"/>
      <c r="AL892" s="78"/>
      <c r="AM892" s="78"/>
      <c r="AN892" s="78"/>
      <c r="AO892" s="78"/>
      <c r="AP892" s="78"/>
      <c r="AQ892" s="78"/>
      <c r="AR892" s="78"/>
      <c r="AS892" s="78"/>
      <c r="AT892" s="78"/>
      <c r="AU892" s="78"/>
      <c r="AV892" s="78"/>
      <c r="AW892" s="78"/>
      <c r="AX892" s="78"/>
      <c r="AY892" s="78"/>
      <c r="AZ892" s="78"/>
      <c r="BA892" s="78"/>
      <c r="BB892" s="78"/>
      <c r="BC892" s="78"/>
    </row>
    <row r="893">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c r="AA893" s="78"/>
      <c r="AB893" s="78"/>
      <c r="AC893" s="78"/>
      <c r="AD893" s="78"/>
      <c r="AE893" s="78"/>
      <c r="AF893" s="78"/>
      <c r="AG893" s="78"/>
      <c r="AH893" s="78"/>
      <c r="AI893" s="78"/>
      <c r="AJ893" s="78"/>
      <c r="AK893" s="78"/>
      <c r="AL893" s="78"/>
      <c r="AM893" s="78"/>
      <c r="AN893" s="78"/>
      <c r="AO893" s="78"/>
      <c r="AP893" s="78"/>
      <c r="AQ893" s="78"/>
      <c r="AR893" s="78"/>
      <c r="AS893" s="78"/>
      <c r="AT893" s="78"/>
      <c r="AU893" s="78"/>
      <c r="AV893" s="78"/>
      <c r="AW893" s="78"/>
      <c r="AX893" s="78"/>
      <c r="AY893" s="78"/>
      <c r="AZ893" s="78"/>
      <c r="BA893" s="78"/>
      <c r="BB893" s="78"/>
      <c r="BC893" s="78"/>
    </row>
    <row r="894">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c r="AA894" s="78"/>
      <c r="AB894" s="78"/>
      <c r="AC894" s="78"/>
      <c r="AD894" s="78"/>
      <c r="AE894" s="78"/>
      <c r="AF894" s="78"/>
      <c r="AG894" s="78"/>
      <c r="AH894" s="78"/>
      <c r="AI894" s="78"/>
      <c r="AJ894" s="78"/>
      <c r="AK894" s="78"/>
      <c r="AL894" s="78"/>
      <c r="AM894" s="78"/>
      <c r="AN894" s="78"/>
      <c r="AO894" s="78"/>
      <c r="AP894" s="78"/>
      <c r="AQ894" s="78"/>
      <c r="AR894" s="78"/>
      <c r="AS894" s="78"/>
      <c r="AT894" s="78"/>
      <c r="AU894" s="78"/>
      <c r="AV894" s="78"/>
      <c r="AW894" s="78"/>
      <c r="AX894" s="78"/>
      <c r="AY894" s="78"/>
      <c r="AZ894" s="78"/>
      <c r="BA894" s="78"/>
      <c r="BB894" s="78"/>
      <c r="BC894" s="78"/>
    </row>
    <row r="895">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c r="AA895" s="78"/>
      <c r="AB895" s="78"/>
      <c r="AC895" s="78"/>
      <c r="AD895" s="78"/>
      <c r="AE895" s="78"/>
      <c r="AF895" s="78"/>
      <c r="AG895" s="78"/>
      <c r="AH895" s="78"/>
      <c r="AI895" s="78"/>
      <c r="AJ895" s="78"/>
      <c r="AK895" s="78"/>
      <c r="AL895" s="78"/>
      <c r="AM895" s="78"/>
      <c r="AN895" s="78"/>
      <c r="AO895" s="78"/>
      <c r="AP895" s="78"/>
      <c r="AQ895" s="78"/>
      <c r="AR895" s="78"/>
      <c r="AS895" s="78"/>
      <c r="AT895" s="78"/>
      <c r="AU895" s="78"/>
      <c r="AV895" s="78"/>
      <c r="AW895" s="78"/>
      <c r="AX895" s="78"/>
      <c r="AY895" s="78"/>
      <c r="AZ895" s="78"/>
      <c r="BA895" s="78"/>
      <c r="BB895" s="78"/>
      <c r="BC895" s="78"/>
    </row>
    <row r="896">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c r="AA896" s="78"/>
      <c r="AB896" s="78"/>
      <c r="AC896" s="78"/>
      <c r="AD896" s="78"/>
      <c r="AE896" s="78"/>
      <c r="AF896" s="78"/>
      <c r="AG896" s="78"/>
      <c r="AH896" s="78"/>
      <c r="AI896" s="78"/>
      <c r="AJ896" s="78"/>
      <c r="AK896" s="78"/>
      <c r="AL896" s="78"/>
      <c r="AM896" s="78"/>
      <c r="AN896" s="78"/>
      <c r="AO896" s="78"/>
      <c r="AP896" s="78"/>
      <c r="AQ896" s="78"/>
      <c r="AR896" s="78"/>
      <c r="AS896" s="78"/>
      <c r="AT896" s="78"/>
      <c r="AU896" s="78"/>
      <c r="AV896" s="78"/>
      <c r="AW896" s="78"/>
      <c r="AX896" s="78"/>
      <c r="AY896" s="78"/>
      <c r="AZ896" s="78"/>
      <c r="BA896" s="78"/>
      <c r="BB896" s="78"/>
      <c r="BC896" s="78"/>
    </row>
    <row r="897">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c r="AA897" s="78"/>
      <c r="AB897" s="78"/>
      <c r="AC897" s="78"/>
      <c r="AD897" s="78"/>
      <c r="AE897" s="78"/>
      <c r="AF897" s="78"/>
      <c r="AG897" s="78"/>
      <c r="AH897" s="78"/>
      <c r="AI897" s="78"/>
      <c r="AJ897" s="78"/>
      <c r="AK897" s="78"/>
      <c r="AL897" s="78"/>
      <c r="AM897" s="78"/>
      <c r="AN897" s="78"/>
      <c r="AO897" s="78"/>
      <c r="AP897" s="78"/>
      <c r="AQ897" s="78"/>
      <c r="AR897" s="78"/>
      <c r="AS897" s="78"/>
      <c r="AT897" s="78"/>
      <c r="AU897" s="78"/>
      <c r="AV897" s="78"/>
      <c r="AW897" s="78"/>
      <c r="AX897" s="78"/>
      <c r="AY897" s="78"/>
      <c r="AZ897" s="78"/>
      <c r="BA897" s="78"/>
      <c r="BB897" s="78"/>
      <c r="BC897" s="78"/>
    </row>
    <row r="898">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c r="AA898" s="78"/>
      <c r="AB898" s="78"/>
      <c r="AC898" s="78"/>
      <c r="AD898" s="78"/>
      <c r="AE898" s="78"/>
      <c r="AF898" s="78"/>
      <c r="AG898" s="78"/>
      <c r="AH898" s="78"/>
      <c r="AI898" s="78"/>
      <c r="AJ898" s="78"/>
      <c r="AK898" s="78"/>
      <c r="AL898" s="78"/>
      <c r="AM898" s="78"/>
      <c r="AN898" s="78"/>
      <c r="AO898" s="78"/>
      <c r="AP898" s="78"/>
      <c r="AQ898" s="78"/>
      <c r="AR898" s="78"/>
      <c r="AS898" s="78"/>
      <c r="AT898" s="78"/>
      <c r="AU898" s="78"/>
      <c r="AV898" s="78"/>
      <c r="AW898" s="78"/>
      <c r="AX898" s="78"/>
      <c r="AY898" s="78"/>
      <c r="AZ898" s="78"/>
      <c r="BA898" s="78"/>
      <c r="BB898" s="78"/>
      <c r="BC898" s="78"/>
    </row>
    <row r="899">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c r="AA899" s="78"/>
      <c r="AB899" s="78"/>
      <c r="AC899" s="78"/>
      <c r="AD899" s="78"/>
      <c r="AE899" s="78"/>
      <c r="AF899" s="78"/>
      <c r="AG899" s="78"/>
      <c r="AH899" s="78"/>
      <c r="AI899" s="78"/>
      <c r="AJ899" s="78"/>
      <c r="AK899" s="78"/>
      <c r="AL899" s="78"/>
      <c r="AM899" s="78"/>
      <c r="AN899" s="78"/>
      <c r="AO899" s="78"/>
      <c r="AP899" s="78"/>
      <c r="AQ899" s="78"/>
      <c r="AR899" s="78"/>
      <c r="AS899" s="78"/>
      <c r="AT899" s="78"/>
      <c r="AU899" s="78"/>
      <c r="AV899" s="78"/>
      <c r="AW899" s="78"/>
      <c r="AX899" s="78"/>
      <c r="AY899" s="78"/>
      <c r="AZ899" s="78"/>
      <c r="BA899" s="78"/>
      <c r="BB899" s="78"/>
      <c r="BC899" s="78"/>
    </row>
    <row r="900">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c r="AA900" s="78"/>
      <c r="AB900" s="78"/>
      <c r="AC900" s="78"/>
      <c r="AD900" s="78"/>
      <c r="AE900" s="78"/>
      <c r="AF900" s="78"/>
      <c r="AG900" s="78"/>
      <c r="AH900" s="78"/>
      <c r="AI900" s="78"/>
      <c r="AJ900" s="78"/>
      <c r="AK900" s="78"/>
      <c r="AL900" s="78"/>
      <c r="AM900" s="78"/>
      <c r="AN900" s="78"/>
      <c r="AO900" s="78"/>
      <c r="AP900" s="78"/>
      <c r="AQ900" s="78"/>
      <c r="AR900" s="78"/>
      <c r="AS900" s="78"/>
      <c r="AT900" s="78"/>
      <c r="AU900" s="78"/>
      <c r="AV900" s="78"/>
      <c r="AW900" s="78"/>
      <c r="AX900" s="78"/>
      <c r="AY900" s="78"/>
      <c r="AZ900" s="78"/>
      <c r="BA900" s="78"/>
      <c r="BB900" s="78"/>
      <c r="BC900" s="78"/>
    </row>
    <row r="901">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c r="AA901" s="78"/>
      <c r="AB901" s="78"/>
      <c r="AC901" s="78"/>
      <c r="AD901" s="78"/>
      <c r="AE901" s="78"/>
      <c r="AF901" s="78"/>
      <c r="AG901" s="78"/>
      <c r="AH901" s="78"/>
      <c r="AI901" s="78"/>
      <c r="AJ901" s="78"/>
      <c r="AK901" s="78"/>
      <c r="AL901" s="78"/>
      <c r="AM901" s="78"/>
      <c r="AN901" s="78"/>
      <c r="AO901" s="78"/>
      <c r="AP901" s="78"/>
      <c r="AQ901" s="78"/>
      <c r="AR901" s="78"/>
      <c r="AS901" s="78"/>
      <c r="AT901" s="78"/>
      <c r="AU901" s="78"/>
      <c r="AV901" s="78"/>
      <c r="AW901" s="78"/>
      <c r="AX901" s="78"/>
      <c r="AY901" s="78"/>
      <c r="AZ901" s="78"/>
      <c r="BA901" s="78"/>
      <c r="BB901" s="78"/>
      <c r="BC901" s="78"/>
    </row>
    <row r="902">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c r="AA902" s="78"/>
      <c r="AB902" s="78"/>
      <c r="AC902" s="78"/>
      <c r="AD902" s="78"/>
      <c r="AE902" s="78"/>
      <c r="AF902" s="78"/>
      <c r="AG902" s="78"/>
      <c r="AH902" s="78"/>
      <c r="AI902" s="78"/>
      <c r="AJ902" s="78"/>
      <c r="AK902" s="78"/>
      <c r="AL902" s="78"/>
      <c r="AM902" s="78"/>
      <c r="AN902" s="78"/>
      <c r="AO902" s="78"/>
      <c r="AP902" s="78"/>
      <c r="AQ902" s="78"/>
      <c r="AR902" s="78"/>
      <c r="AS902" s="78"/>
      <c r="AT902" s="78"/>
      <c r="AU902" s="78"/>
      <c r="AV902" s="78"/>
      <c r="AW902" s="78"/>
      <c r="AX902" s="78"/>
      <c r="AY902" s="78"/>
      <c r="AZ902" s="78"/>
      <c r="BA902" s="78"/>
      <c r="BB902" s="78"/>
      <c r="BC902" s="78"/>
    </row>
    <row r="903">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c r="AA903" s="78"/>
      <c r="AB903" s="78"/>
      <c r="AC903" s="78"/>
      <c r="AD903" s="78"/>
      <c r="AE903" s="78"/>
      <c r="AF903" s="78"/>
      <c r="AG903" s="78"/>
      <c r="AH903" s="78"/>
      <c r="AI903" s="78"/>
      <c r="AJ903" s="78"/>
      <c r="AK903" s="78"/>
      <c r="AL903" s="78"/>
      <c r="AM903" s="78"/>
      <c r="AN903" s="78"/>
      <c r="AO903" s="78"/>
      <c r="AP903" s="78"/>
      <c r="AQ903" s="78"/>
      <c r="AR903" s="78"/>
      <c r="AS903" s="78"/>
      <c r="AT903" s="78"/>
      <c r="AU903" s="78"/>
      <c r="AV903" s="78"/>
      <c r="AW903" s="78"/>
      <c r="AX903" s="78"/>
      <c r="AY903" s="78"/>
      <c r="AZ903" s="78"/>
      <c r="BA903" s="78"/>
      <c r="BB903" s="78"/>
      <c r="BC903" s="78"/>
    </row>
    <row r="904">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c r="AA904" s="78"/>
      <c r="AB904" s="78"/>
      <c r="AC904" s="78"/>
      <c r="AD904" s="78"/>
      <c r="AE904" s="78"/>
      <c r="AF904" s="78"/>
      <c r="AG904" s="78"/>
      <c r="AH904" s="78"/>
      <c r="AI904" s="78"/>
      <c r="AJ904" s="78"/>
      <c r="AK904" s="78"/>
      <c r="AL904" s="78"/>
      <c r="AM904" s="78"/>
      <c r="AN904" s="78"/>
      <c r="AO904" s="78"/>
      <c r="AP904" s="78"/>
      <c r="AQ904" s="78"/>
      <c r="AR904" s="78"/>
      <c r="AS904" s="78"/>
      <c r="AT904" s="78"/>
      <c r="AU904" s="78"/>
      <c r="AV904" s="78"/>
      <c r="AW904" s="78"/>
      <c r="AX904" s="78"/>
      <c r="AY904" s="78"/>
      <c r="AZ904" s="78"/>
      <c r="BA904" s="78"/>
      <c r="BB904" s="78"/>
      <c r="BC904" s="78"/>
    </row>
    <row r="905">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c r="AA905" s="78"/>
      <c r="AB905" s="78"/>
      <c r="AC905" s="78"/>
      <c r="AD905" s="78"/>
      <c r="AE905" s="78"/>
      <c r="AF905" s="78"/>
      <c r="AG905" s="78"/>
      <c r="AH905" s="78"/>
      <c r="AI905" s="78"/>
      <c r="AJ905" s="78"/>
      <c r="AK905" s="78"/>
      <c r="AL905" s="78"/>
      <c r="AM905" s="78"/>
      <c r="AN905" s="78"/>
      <c r="AO905" s="78"/>
      <c r="AP905" s="78"/>
      <c r="AQ905" s="78"/>
      <c r="AR905" s="78"/>
      <c r="AS905" s="78"/>
      <c r="AT905" s="78"/>
      <c r="AU905" s="78"/>
      <c r="AV905" s="78"/>
      <c r="AW905" s="78"/>
      <c r="AX905" s="78"/>
      <c r="AY905" s="78"/>
      <c r="AZ905" s="78"/>
      <c r="BA905" s="78"/>
      <c r="BB905" s="78"/>
      <c r="BC905" s="78"/>
    </row>
    <row r="906">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c r="AA906" s="78"/>
      <c r="AB906" s="78"/>
      <c r="AC906" s="78"/>
      <c r="AD906" s="78"/>
      <c r="AE906" s="78"/>
      <c r="AF906" s="78"/>
      <c r="AG906" s="78"/>
      <c r="AH906" s="78"/>
      <c r="AI906" s="78"/>
      <c r="AJ906" s="78"/>
      <c r="AK906" s="78"/>
      <c r="AL906" s="78"/>
      <c r="AM906" s="78"/>
      <c r="AN906" s="78"/>
      <c r="AO906" s="78"/>
      <c r="AP906" s="78"/>
      <c r="AQ906" s="78"/>
      <c r="AR906" s="78"/>
      <c r="AS906" s="78"/>
      <c r="AT906" s="78"/>
      <c r="AU906" s="78"/>
      <c r="AV906" s="78"/>
      <c r="AW906" s="78"/>
      <c r="AX906" s="78"/>
      <c r="AY906" s="78"/>
      <c r="AZ906" s="78"/>
      <c r="BA906" s="78"/>
      <c r="BB906" s="78"/>
      <c r="BC906" s="78"/>
    </row>
    <row r="907">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c r="AA907" s="78"/>
      <c r="AB907" s="78"/>
      <c r="AC907" s="78"/>
      <c r="AD907" s="78"/>
      <c r="AE907" s="78"/>
      <c r="AF907" s="78"/>
      <c r="AG907" s="78"/>
      <c r="AH907" s="78"/>
      <c r="AI907" s="78"/>
      <c r="AJ907" s="78"/>
      <c r="AK907" s="78"/>
      <c r="AL907" s="78"/>
      <c r="AM907" s="78"/>
      <c r="AN907" s="78"/>
      <c r="AO907" s="78"/>
      <c r="AP907" s="78"/>
      <c r="AQ907" s="78"/>
      <c r="AR907" s="78"/>
      <c r="AS907" s="78"/>
      <c r="AT907" s="78"/>
      <c r="AU907" s="78"/>
      <c r="AV907" s="78"/>
      <c r="AW907" s="78"/>
      <c r="AX907" s="78"/>
      <c r="AY907" s="78"/>
      <c r="AZ907" s="78"/>
      <c r="BA907" s="78"/>
      <c r="BB907" s="78"/>
      <c r="BC907" s="78"/>
    </row>
    <row r="908">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c r="AA908" s="78"/>
      <c r="AB908" s="78"/>
      <c r="AC908" s="78"/>
      <c r="AD908" s="78"/>
      <c r="AE908" s="78"/>
      <c r="AF908" s="78"/>
      <c r="AG908" s="78"/>
      <c r="AH908" s="78"/>
      <c r="AI908" s="78"/>
      <c r="AJ908" s="78"/>
      <c r="AK908" s="78"/>
      <c r="AL908" s="78"/>
      <c r="AM908" s="78"/>
      <c r="AN908" s="78"/>
      <c r="AO908" s="78"/>
      <c r="AP908" s="78"/>
      <c r="AQ908" s="78"/>
      <c r="AR908" s="78"/>
      <c r="AS908" s="78"/>
      <c r="AT908" s="78"/>
      <c r="AU908" s="78"/>
      <c r="AV908" s="78"/>
      <c r="AW908" s="78"/>
      <c r="AX908" s="78"/>
      <c r="AY908" s="78"/>
      <c r="AZ908" s="78"/>
      <c r="BA908" s="78"/>
      <c r="BB908" s="78"/>
      <c r="BC908" s="78"/>
    </row>
    <row r="909">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c r="AA909" s="78"/>
      <c r="AB909" s="78"/>
      <c r="AC909" s="78"/>
      <c r="AD909" s="78"/>
      <c r="AE909" s="78"/>
      <c r="AF909" s="78"/>
      <c r="AG909" s="78"/>
      <c r="AH909" s="78"/>
      <c r="AI909" s="78"/>
      <c r="AJ909" s="78"/>
      <c r="AK909" s="78"/>
      <c r="AL909" s="78"/>
      <c r="AM909" s="78"/>
      <c r="AN909" s="78"/>
      <c r="AO909" s="78"/>
      <c r="AP909" s="78"/>
      <c r="AQ909" s="78"/>
      <c r="AR909" s="78"/>
      <c r="AS909" s="78"/>
      <c r="AT909" s="78"/>
      <c r="AU909" s="78"/>
      <c r="AV909" s="78"/>
      <c r="AW909" s="78"/>
      <c r="AX909" s="78"/>
      <c r="AY909" s="78"/>
      <c r="AZ909" s="78"/>
      <c r="BA909" s="78"/>
      <c r="BB909" s="78"/>
      <c r="BC909" s="78"/>
    </row>
    <row r="910">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c r="AA910" s="78"/>
      <c r="AB910" s="78"/>
      <c r="AC910" s="78"/>
      <c r="AD910" s="78"/>
      <c r="AE910" s="78"/>
      <c r="AF910" s="78"/>
      <c r="AG910" s="78"/>
      <c r="AH910" s="78"/>
      <c r="AI910" s="78"/>
      <c r="AJ910" s="78"/>
      <c r="AK910" s="78"/>
      <c r="AL910" s="78"/>
      <c r="AM910" s="78"/>
      <c r="AN910" s="78"/>
      <c r="AO910" s="78"/>
      <c r="AP910" s="78"/>
      <c r="AQ910" s="78"/>
      <c r="AR910" s="78"/>
      <c r="AS910" s="78"/>
      <c r="AT910" s="78"/>
      <c r="AU910" s="78"/>
      <c r="AV910" s="78"/>
      <c r="AW910" s="78"/>
      <c r="AX910" s="78"/>
      <c r="AY910" s="78"/>
      <c r="AZ910" s="78"/>
      <c r="BA910" s="78"/>
      <c r="BB910" s="78"/>
      <c r="BC910" s="78"/>
    </row>
    <row r="911">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c r="AA911" s="78"/>
      <c r="AB911" s="78"/>
      <c r="AC911" s="78"/>
      <c r="AD911" s="78"/>
      <c r="AE911" s="78"/>
      <c r="AF911" s="78"/>
      <c r="AG911" s="78"/>
      <c r="AH911" s="78"/>
      <c r="AI911" s="78"/>
      <c r="AJ911" s="78"/>
      <c r="AK911" s="78"/>
      <c r="AL911" s="78"/>
      <c r="AM911" s="78"/>
      <c r="AN911" s="78"/>
      <c r="AO911" s="78"/>
      <c r="AP911" s="78"/>
      <c r="AQ911" s="78"/>
      <c r="AR911" s="78"/>
      <c r="AS911" s="78"/>
      <c r="AT911" s="78"/>
      <c r="AU911" s="78"/>
      <c r="AV911" s="78"/>
      <c r="AW911" s="78"/>
      <c r="AX911" s="78"/>
      <c r="AY911" s="78"/>
      <c r="AZ911" s="78"/>
      <c r="BA911" s="78"/>
      <c r="BB911" s="78"/>
      <c r="BC911" s="78"/>
    </row>
    <row r="912">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c r="AA912" s="78"/>
      <c r="AB912" s="78"/>
      <c r="AC912" s="78"/>
      <c r="AD912" s="78"/>
      <c r="AE912" s="78"/>
      <c r="AF912" s="78"/>
      <c r="AG912" s="78"/>
      <c r="AH912" s="78"/>
      <c r="AI912" s="78"/>
      <c r="AJ912" s="78"/>
      <c r="AK912" s="78"/>
      <c r="AL912" s="78"/>
      <c r="AM912" s="78"/>
      <c r="AN912" s="78"/>
      <c r="AO912" s="78"/>
      <c r="AP912" s="78"/>
      <c r="AQ912" s="78"/>
      <c r="AR912" s="78"/>
      <c r="AS912" s="78"/>
      <c r="AT912" s="78"/>
      <c r="AU912" s="78"/>
      <c r="AV912" s="78"/>
      <c r="AW912" s="78"/>
      <c r="AX912" s="78"/>
      <c r="AY912" s="78"/>
      <c r="AZ912" s="78"/>
      <c r="BA912" s="78"/>
      <c r="BB912" s="78"/>
      <c r="BC912" s="78"/>
    </row>
    <row r="913">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c r="AA913" s="78"/>
      <c r="AB913" s="78"/>
      <c r="AC913" s="78"/>
      <c r="AD913" s="78"/>
      <c r="AE913" s="78"/>
      <c r="AF913" s="78"/>
      <c r="AG913" s="78"/>
      <c r="AH913" s="78"/>
      <c r="AI913" s="78"/>
      <c r="AJ913" s="78"/>
      <c r="AK913" s="78"/>
      <c r="AL913" s="78"/>
      <c r="AM913" s="78"/>
      <c r="AN913" s="78"/>
      <c r="AO913" s="78"/>
      <c r="AP913" s="78"/>
      <c r="AQ913" s="78"/>
      <c r="AR913" s="78"/>
      <c r="AS913" s="78"/>
      <c r="AT913" s="78"/>
      <c r="AU913" s="78"/>
      <c r="AV913" s="78"/>
      <c r="AW913" s="78"/>
      <c r="AX913" s="78"/>
      <c r="AY913" s="78"/>
      <c r="AZ913" s="78"/>
      <c r="BA913" s="78"/>
      <c r="BB913" s="78"/>
      <c r="BC913" s="78"/>
    </row>
    <row r="914">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c r="AA914" s="78"/>
      <c r="AB914" s="78"/>
      <c r="AC914" s="78"/>
      <c r="AD914" s="78"/>
      <c r="AE914" s="78"/>
      <c r="AF914" s="78"/>
      <c r="AG914" s="78"/>
      <c r="AH914" s="78"/>
      <c r="AI914" s="78"/>
      <c r="AJ914" s="78"/>
      <c r="AK914" s="78"/>
      <c r="AL914" s="78"/>
      <c r="AM914" s="78"/>
      <c r="AN914" s="78"/>
      <c r="AO914" s="78"/>
      <c r="AP914" s="78"/>
      <c r="AQ914" s="78"/>
      <c r="AR914" s="78"/>
      <c r="AS914" s="78"/>
      <c r="AT914" s="78"/>
      <c r="AU914" s="78"/>
      <c r="AV914" s="78"/>
      <c r="AW914" s="78"/>
      <c r="AX914" s="78"/>
      <c r="AY914" s="78"/>
      <c r="AZ914" s="78"/>
      <c r="BA914" s="78"/>
      <c r="BB914" s="78"/>
      <c r="BC914" s="78"/>
    </row>
    <row r="915">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c r="AA915" s="78"/>
      <c r="AB915" s="78"/>
      <c r="AC915" s="78"/>
      <c r="AD915" s="78"/>
      <c r="AE915" s="78"/>
      <c r="AF915" s="78"/>
      <c r="AG915" s="78"/>
      <c r="AH915" s="78"/>
      <c r="AI915" s="78"/>
      <c r="AJ915" s="78"/>
      <c r="AK915" s="78"/>
      <c r="AL915" s="78"/>
      <c r="AM915" s="78"/>
      <c r="AN915" s="78"/>
      <c r="AO915" s="78"/>
      <c r="AP915" s="78"/>
      <c r="AQ915" s="78"/>
      <c r="AR915" s="78"/>
      <c r="AS915" s="78"/>
      <c r="AT915" s="78"/>
      <c r="AU915" s="78"/>
      <c r="AV915" s="78"/>
      <c r="AW915" s="78"/>
      <c r="AX915" s="78"/>
      <c r="AY915" s="78"/>
      <c r="AZ915" s="78"/>
      <c r="BA915" s="78"/>
      <c r="BB915" s="78"/>
      <c r="BC915" s="78"/>
    </row>
    <row r="916">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c r="AA916" s="78"/>
      <c r="AB916" s="78"/>
      <c r="AC916" s="78"/>
      <c r="AD916" s="78"/>
      <c r="AE916" s="78"/>
      <c r="AF916" s="78"/>
      <c r="AG916" s="78"/>
      <c r="AH916" s="78"/>
      <c r="AI916" s="78"/>
      <c r="AJ916" s="78"/>
      <c r="AK916" s="78"/>
      <c r="AL916" s="78"/>
      <c r="AM916" s="78"/>
      <c r="AN916" s="78"/>
      <c r="AO916" s="78"/>
      <c r="AP916" s="78"/>
      <c r="AQ916" s="78"/>
      <c r="AR916" s="78"/>
      <c r="AS916" s="78"/>
      <c r="AT916" s="78"/>
      <c r="AU916" s="78"/>
      <c r="AV916" s="78"/>
      <c r="AW916" s="78"/>
      <c r="AX916" s="78"/>
      <c r="AY916" s="78"/>
      <c r="AZ916" s="78"/>
      <c r="BA916" s="78"/>
      <c r="BB916" s="78"/>
      <c r="BC916" s="78"/>
    </row>
    <row r="917">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c r="AA917" s="78"/>
      <c r="AB917" s="78"/>
      <c r="AC917" s="78"/>
      <c r="AD917" s="78"/>
      <c r="AE917" s="78"/>
      <c r="AF917" s="78"/>
      <c r="AG917" s="78"/>
      <c r="AH917" s="78"/>
      <c r="AI917" s="78"/>
      <c r="AJ917" s="78"/>
      <c r="AK917" s="78"/>
      <c r="AL917" s="78"/>
      <c r="AM917" s="78"/>
      <c r="AN917" s="78"/>
      <c r="AO917" s="78"/>
      <c r="AP917" s="78"/>
      <c r="AQ917" s="78"/>
      <c r="AR917" s="78"/>
      <c r="AS917" s="78"/>
      <c r="AT917" s="78"/>
      <c r="AU917" s="78"/>
      <c r="AV917" s="78"/>
      <c r="AW917" s="78"/>
      <c r="AX917" s="78"/>
      <c r="AY917" s="78"/>
      <c r="AZ917" s="78"/>
      <c r="BA917" s="78"/>
      <c r="BB917" s="78"/>
      <c r="BC917" s="78"/>
    </row>
    <row r="918">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c r="AA918" s="78"/>
      <c r="AB918" s="78"/>
      <c r="AC918" s="78"/>
      <c r="AD918" s="78"/>
      <c r="AE918" s="78"/>
      <c r="AF918" s="78"/>
      <c r="AG918" s="78"/>
      <c r="AH918" s="78"/>
      <c r="AI918" s="78"/>
      <c r="AJ918" s="78"/>
      <c r="AK918" s="78"/>
      <c r="AL918" s="78"/>
      <c r="AM918" s="78"/>
      <c r="AN918" s="78"/>
      <c r="AO918" s="78"/>
      <c r="AP918" s="78"/>
      <c r="AQ918" s="78"/>
      <c r="AR918" s="78"/>
      <c r="AS918" s="78"/>
      <c r="AT918" s="78"/>
      <c r="AU918" s="78"/>
      <c r="AV918" s="78"/>
      <c r="AW918" s="78"/>
      <c r="AX918" s="78"/>
      <c r="AY918" s="78"/>
      <c r="AZ918" s="78"/>
      <c r="BA918" s="78"/>
      <c r="BB918" s="78"/>
      <c r="BC918" s="78"/>
    </row>
    <row r="919">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c r="AA919" s="78"/>
      <c r="AB919" s="78"/>
      <c r="AC919" s="78"/>
      <c r="AD919" s="78"/>
      <c r="AE919" s="78"/>
      <c r="AF919" s="78"/>
      <c r="AG919" s="78"/>
      <c r="AH919" s="78"/>
      <c r="AI919" s="78"/>
      <c r="AJ919" s="78"/>
      <c r="AK919" s="78"/>
      <c r="AL919" s="78"/>
      <c r="AM919" s="78"/>
      <c r="AN919" s="78"/>
      <c r="AO919" s="78"/>
      <c r="AP919" s="78"/>
      <c r="AQ919" s="78"/>
      <c r="AR919" s="78"/>
      <c r="AS919" s="78"/>
      <c r="AT919" s="78"/>
      <c r="AU919" s="78"/>
      <c r="AV919" s="78"/>
      <c r="AW919" s="78"/>
      <c r="AX919" s="78"/>
      <c r="AY919" s="78"/>
      <c r="AZ919" s="78"/>
      <c r="BA919" s="78"/>
      <c r="BB919" s="78"/>
      <c r="BC919" s="78"/>
    </row>
    <row r="920">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c r="AA920" s="78"/>
      <c r="AB920" s="78"/>
      <c r="AC920" s="78"/>
      <c r="AD920" s="78"/>
      <c r="AE920" s="78"/>
      <c r="AF920" s="78"/>
      <c r="AG920" s="78"/>
      <c r="AH920" s="78"/>
      <c r="AI920" s="78"/>
      <c r="AJ920" s="78"/>
      <c r="AK920" s="78"/>
      <c r="AL920" s="78"/>
      <c r="AM920" s="78"/>
      <c r="AN920" s="78"/>
      <c r="AO920" s="78"/>
      <c r="AP920" s="78"/>
      <c r="AQ920" s="78"/>
      <c r="AR920" s="78"/>
      <c r="AS920" s="78"/>
      <c r="AT920" s="78"/>
      <c r="AU920" s="78"/>
      <c r="AV920" s="78"/>
      <c r="AW920" s="78"/>
      <c r="AX920" s="78"/>
      <c r="AY920" s="78"/>
      <c r="AZ920" s="78"/>
      <c r="BA920" s="78"/>
      <c r="BB920" s="78"/>
      <c r="BC920" s="78"/>
    </row>
    <row r="921">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c r="AA921" s="78"/>
      <c r="AB921" s="78"/>
      <c r="AC921" s="78"/>
      <c r="AD921" s="78"/>
      <c r="AE921" s="78"/>
      <c r="AF921" s="78"/>
      <c r="AG921" s="78"/>
      <c r="AH921" s="78"/>
      <c r="AI921" s="78"/>
      <c r="AJ921" s="78"/>
      <c r="AK921" s="78"/>
      <c r="AL921" s="78"/>
      <c r="AM921" s="78"/>
      <c r="AN921" s="78"/>
      <c r="AO921" s="78"/>
      <c r="AP921" s="78"/>
      <c r="AQ921" s="78"/>
      <c r="AR921" s="78"/>
      <c r="AS921" s="78"/>
      <c r="AT921" s="78"/>
      <c r="AU921" s="78"/>
      <c r="AV921" s="78"/>
      <c r="AW921" s="78"/>
      <c r="AX921" s="78"/>
      <c r="AY921" s="78"/>
      <c r="AZ921" s="78"/>
      <c r="BA921" s="78"/>
      <c r="BB921" s="78"/>
      <c r="BC921" s="78"/>
    </row>
    <row r="922">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c r="AA922" s="78"/>
      <c r="AB922" s="78"/>
      <c r="AC922" s="78"/>
      <c r="AD922" s="78"/>
      <c r="AE922" s="78"/>
      <c r="AF922" s="78"/>
      <c r="AG922" s="78"/>
      <c r="AH922" s="78"/>
      <c r="AI922" s="78"/>
      <c r="AJ922" s="78"/>
      <c r="AK922" s="78"/>
      <c r="AL922" s="78"/>
      <c r="AM922" s="78"/>
      <c r="AN922" s="78"/>
      <c r="AO922" s="78"/>
      <c r="AP922" s="78"/>
      <c r="AQ922" s="78"/>
      <c r="AR922" s="78"/>
      <c r="AS922" s="78"/>
      <c r="AT922" s="78"/>
      <c r="AU922" s="78"/>
      <c r="AV922" s="78"/>
      <c r="AW922" s="78"/>
      <c r="AX922" s="78"/>
      <c r="AY922" s="78"/>
      <c r="AZ922" s="78"/>
      <c r="BA922" s="78"/>
      <c r="BB922" s="78"/>
      <c r="BC922" s="78"/>
    </row>
    <row r="923">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c r="AA923" s="78"/>
      <c r="AB923" s="78"/>
      <c r="AC923" s="78"/>
      <c r="AD923" s="78"/>
      <c r="AE923" s="78"/>
      <c r="AF923" s="78"/>
      <c r="AG923" s="78"/>
      <c r="AH923" s="78"/>
      <c r="AI923" s="78"/>
      <c r="AJ923" s="78"/>
      <c r="AK923" s="78"/>
      <c r="AL923" s="78"/>
      <c r="AM923" s="78"/>
      <c r="AN923" s="78"/>
      <c r="AO923" s="78"/>
      <c r="AP923" s="78"/>
      <c r="AQ923" s="78"/>
      <c r="AR923" s="78"/>
      <c r="AS923" s="78"/>
      <c r="AT923" s="78"/>
      <c r="AU923" s="78"/>
      <c r="AV923" s="78"/>
      <c r="AW923" s="78"/>
      <c r="AX923" s="78"/>
      <c r="AY923" s="78"/>
      <c r="AZ923" s="78"/>
      <c r="BA923" s="78"/>
      <c r="BB923" s="78"/>
      <c r="BC923" s="78"/>
    </row>
    <row r="924">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c r="AA924" s="78"/>
      <c r="AB924" s="78"/>
      <c r="AC924" s="78"/>
      <c r="AD924" s="78"/>
      <c r="AE924" s="78"/>
      <c r="AF924" s="78"/>
      <c r="AG924" s="78"/>
      <c r="AH924" s="78"/>
      <c r="AI924" s="78"/>
      <c r="AJ924" s="78"/>
      <c r="AK924" s="78"/>
      <c r="AL924" s="78"/>
      <c r="AM924" s="78"/>
      <c r="AN924" s="78"/>
      <c r="AO924" s="78"/>
      <c r="AP924" s="78"/>
      <c r="AQ924" s="78"/>
      <c r="AR924" s="78"/>
      <c r="AS924" s="78"/>
      <c r="AT924" s="78"/>
      <c r="AU924" s="78"/>
      <c r="AV924" s="78"/>
      <c r="AW924" s="78"/>
      <c r="AX924" s="78"/>
      <c r="AY924" s="78"/>
      <c r="AZ924" s="78"/>
      <c r="BA924" s="78"/>
      <c r="BB924" s="78"/>
      <c r="BC924" s="78"/>
    </row>
    <row r="925">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c r="AA925" s="78"/>
      <c r="AB925" s="78"/>
      <c r="AC925" s="78"/>
      <c r="AD925" s="78"/>
      <c r="AE925" s="78"/>
      <c r="AF925" s="78"/>
      <c r="AG925" s="78"/>
      <c r="AH925" s="78"/>
      <c r="AI925" s="78"/>
      <c r="AJ925" s="78"/>
      <c r="AK925" s="78"/>
      <c r="AL925" s="78"/>
      <c r="AM925" s="78"/>
      <c r="AN925" s="78"/>
      <c r="AO925" s="78"/>
      <c r="AP925" s="78"/>
      <c r="AQ925" s="78"/>
      <c r="AR925" s="78"/>
      <c r="AS925" s="78"/>
      <c r="AT925" s="78"/>
      <c r="AU925" s="78"/>
      <c r="AV925" s="78"/>
      <c r="AW925" s="78"/>
      <c r="AX925" s="78"/>
      <c r="AY925" s="78"/>
      <c r="AZ925" s="78"/>
      <c r="BA925" s="78"/>
      <c r="BB925" s="78"/>
      <c r="BC925" s="78"/>
    </row>
    <row r="926">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c r="AA926" s="78"/>
      <c r="AB926" s="78"/>
      <c r="AC926" s="78"/>
      <c r="AD926" s="78"/>
      <c r="AE926" s="78"/>
      <c r="AF926" s="78"/>
      <c r="AG926" s="78"/>
      <c r="AH926" s="78"/>
      <c r="AI926" s="78"/>
      <c r="AJ926" s="78"/>
      <c r="AK926" s="78"/>
      <c r="AL926" s="78"/>
      <c r="AM926" s="78"/>
      <c r="AN926" s="78"/>
      <c r="AO926" s="78"/>
      <c r="AP926" s="78"/>
      <c r="AQ926" s="78"/>
      <c r="AR926" s="78"/>
      <c r="AS926" s="78"/>
      <c r="AT926" s="78"/>
      <c r="AU926" s="78"/>
      <c r="AV926" s="78"/>
      <c r="AW926" s="78"/>
      <c r="AX926" s="78"/>
      <c r="AY926" s="78"/>
      <c r="AZ926" s="78"/>
      <c r="BA926" s="78"/>
      <c r="BB926" s="78"/>
      <c r="BC926" s="78"/>
    </row>
    <row r="927">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c r="AA927" s="78"/>
      <c r="AB927" s="78"/>
      <c r="AC927" s="78"/>
      <c r="AD927" s="78"/>
      <c r="AE927" s="78"/>
      <c r="AF927" s="78"/>
      <c r="AG927" s="78"/>
      <c r="AH927" s="78"/>
      <c r="AI927" s="78"/>
      <c r="AJ927" s="78"/>
      <c r="AK927" s="78"/>
      <c r="AL927" s="78"/>
      <c r="AM927" s="78"/>
      <c r="AN927" s="78"/>
      <c r="AO927" s="78"/>
      <c r="AP927" s="78"/>
      <c r="AQ927" s="78"/>
      <c r="AR927" s="78"/>
      <c r="AS927" s="78"/>
      <c r="AT927" s="78"/>
      <c r="AU927" s="78"/>
      <c r="AV927" s="78"/>
      <c r="AW927" s="78"/>
      <c r="AX927" s="78"/>
      <c r="AY927" s="78"/>
      <c r="AZ927" s="78"/>
      <c r="BA927" s="78"/>
      <c r="BB927" s="78"/>
      <c r="BC927" s="78"/>
    </row>
    <row r="928">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c r="AA928" s="78"/>
      <c r="AB928" s="78"/>
      <c r="AC928" s="78"/>
      <c r="AD928" s="78"/>
      <c r="AE928" s="78"/>
      <c r="AF928" s="78"/>
      <c r="AG928" s="78"/>
      <c r="AH928" s="78"/>
      <c r="AI928" s="78"/>
      <c r="AJ928" s="78"/>
      <c r="AK928" s="78"/>
      <c r="AL928" s="78"/>
      <c r="AM928" s="78"/>
      <c r="AN928" s="78"/>
      <c r="AO928" s="78"/>
      <c r="AP928" s="78"/>
      <c r="AQ928" s="78"/>
      <c r="AR928" s="78"/>
      <c r="AS928" s="78"/>
      <c r="AT928" s="78"/>
      <c r="AU928" s="78"/>
      <c r="AV928" s="78"/>
      <c r="AW928" s="78"/>
      <c r="AX928" s="78"/>
      <c r="AY928" s="78"/>
      <c r="AZ928" s="78"/>
      <c r="BA928" s="78"/>
      <c r="BB928" s="78"/>
      <c r="BC928" s="78"/>
    </row>
    <row r="929">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c r="AA929" s="78"/>
      <c r="AB929" s="78"/>
      <c r="AC929" s="78"/>
      <c r="AD929" s="78"/>
      <c r="AE929" s="78"/>
      <c r="AF929" s="78"/>
      <c r="AG929" s="78"/>
      <c r="AH929" s="78"/>
      <c r="AI929" s="78"/>
      <c r="AJ929" s="78"/>
      <c r="AK929" s="78"/>
      <c r="AL929" s="78"/>
      <c r="AM929" s="78"/>
      <c r="AN929" s="78"/>
      <c r="AO929" s="78"/>
      <c r="AP929" s="78"/>
      <c r="AQ929" s="78"/>
      <c r="AR929" s="78"/>
      <c r="AS929" s="78"/>
      <c r="AT929" s="78"/>
      <c r="AU929" s="78"/>
      <c r="AV929" s="78"/>
      <c r="AW929" s="78"/>
      <c r="AX929" s="78"/>
      <c r="AY929" s="78"/>
      <c r="AZ929" s="78"/>
      <c r="BA929" s="78"/>
      <c r="BB929" s="78"/>
      <c r="BC929" s="78"/>
    </row>
    <row r="930">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c r="AA930" s="78"/>
      <c r="AB930" s="78"/>
      <c r="AC930" s="78"/>
      <c r="AD930" s="78"/>
      <c r="AE930" s="78"/>
      <c r="AF930" s="78"/>
      <c r="AG930" s="78"/>
      <c r="AH930" s="78"/>
      <c r="AI930" s="78"/>
      <c r="AJ930" s="78"/>
      <c r="AK930" s="78"/>
      <c r="AL930" s="78"/>
      <c r="AM930" s="78"/>
      <c r="AN930" s="78"/>
      <c r="AO930" s="78"/>
      <c r="AP930" s="78"/>
      <c r="AQ930" s="78"/>
      <c r="AR930" s="78"/>
      <c r="AS930" s="78"/>
      <c r="AT930" s="78"/>
      <c r="AU930" s="78"/>
      <c r="AV930" s="78"/>
      <c r="AW930" s="78"/>
      <c r="AX930" s="78"/>
      <c r="AY930" s="78"/>
      <c r="AZ930" s="78"/>
      <c r="BA930" s="78"/>
      <c r="BB930" s="78"/>
      <c r="BC930" s="78"/>
    </row>
    <row r="931">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c r="AA931" s="78"/>
      <c r="AB931" s="78"/>
      <c r="AC931" s="78"/>
      <c r="AD931" s="78"/>
      <c r="AE931" s="78"/>
      <c r="AF931" s="78"/>
      <c r="AG931" s="78"/>
      <c r="AH931" s="78"/>
      <c r="AI931" s="78"/>
      <c r="AJ931" s="78"/>
      <c r="AK931" s="78"/>
      <c r="AL931" s="78"/>
      <c r="AM931" s="78"/>
      <c r="AN931" s="78"/>
      <c r="AO931" s="78"/>
      <c r="AP931" s="78"/>
      <c r="AQ931" s="78"/>
      <c r="AR931" s="78"/>
      <c r="AS931" s="78"/>
      <c r="AT931" s="78"/>
      <c r="AU931" s="78"/>
      <c r="AV931" s="78"/>
      <c r="AW931" s="78"/>
      <c r="AX931" s="78"/>
      <c r="AY931" s="78"/>
      <c r="AZ931" s="78"/>
      <c r="BA931" s="78"/>
      <c r="BB931" s="78"/>
      <c r="BC931" s="78"/>
    </row>
    <row r="932">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c r="AA932" s="78"/>
      <c r="AB932" s="78"/>
      <c r="AC932" s="78"/>
      <c r="AD932" s="78"/>
      <c r="AE932" s="78"/>
      <c r="AF932" s="78"/>
      <c r="AG932" s="78"/>
      <c r="AH932" s="78"/>
      <c r="AI932" s="78"/>
      <c r="AJ932" s="78"/>
      <c r="AK932" s="78"/>
      <c r="AL932" s="78"/>
      <c r="AM932" s="78"/>
      <c r="AN932" s="78"/>
      <c r="AO932" s="78"/>
      <c r="AP932" s="78"/>
      <c r="AQ932" s="78"/>
      <c r="AR932" s="78"/>
      <c r="AS932" s="78"/>
      <c r="AT932" s="78"/>
      <c r="AU932" s="78"/>
      <c r="AV932" s="78"/>
      <c r="AW932" s="78"/>
      <c r="AX932" s="78"/>
      <c r="AY932" s="78"/>
      <c r="AZ932" s="78"/>
      <c r="BA932" s="78"/>
      <c r="BB932" s="78"/>
      <c r="BC932" s="78"/>
    </row>
    <row r="933">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c r="AA933" s="78"/>
      <c r="AB933" s="78"/>
      <c r="AC933" s="78"/>
      <c r="AD933" s="78"/>
      <c r="AE933" s="78"/>
      <c r="AF933" s="78"/>
      <c r="AG933" s="78"/>
      <c r="AH933" s="78"/>
      <c r="AI933" s="78"/>
      <c r="AJ933" s="78"/>
      <c r="AK933" s="78"/>
      <c r="AL933" s="78"/>
      <c r="AM933" s="78"/>
      <c r="AN933" s="78"/>
      <c r="AO933" s="78"/>
      <c r="AP933" s="78"/>
      <c r="AQ933" s="78"/>
      <c r="AR933" s="78"/>
      <c r="AS933" s="78"/>
      <c r="AT933" s="78"/>
      <c r="AU933" s="78"/>
      <c r="AV933" s="78"/>
      <c r="AW933" s="78"/>
      <c r="AX933" s="78"/>
      <c r="AY933" s="78"/>
      <c r="AZ933" s="78"/>
      <c r="BA933" s="78"/>
      <c r="BB933" s="78"/>
      <c r="BC933" s="78"/>
    </row>
    <row r="934">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c r="AA934" s="78"/>
      <c r="AB934" s="78"/>
      <c r="AC934" s="78"/>
      <c r="AD934" s="78"/>
      <c r="AE934" s="78"/>
      <c r="AF934" s="78"/>
      <c r="AG934" s="78"/>
      <c r="AH934" s="78"/>
      <c r="AI934" s="78"/>
      <c r="AJ934" s="78"/>
      <c r="AK934" s="78"/>
      <c r="AL934" s="78"/>
      <c r="AM934" s="78"/>
      <c r="AN934" s="78"/>
      <c r="AO934" s="78"/>
      <c r="AP934" s="78"/>
      <c r="AQ934" s="78"/>
      <c r="AR934" s="78"/>
      <c r="AS934" s="78"/>
      <c r="AT934" s="78"/>
      <c r="AU934" s="78"/>
      <c r="AV934" s="78"/>
      <c r="AW934" s="78"/>
      <c r="AX934" s="78"/>
      <c r="AY934" s="78"/>
      <c r="AZ934" s="78"/>
      <c r="BA934" s="78"/>
      <c r="BB934" s="78"/>
      <c r="BC934" s="78"/>
    </row>
    <row r="935">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c r="AA935" s="78"/>
      <c r="AB935" s="78"/>
      <c r="AC935" s="78"/>
      <c r="AD935" s="78"/>
      <c r="AE935" s="78"/>
      <c r="AF935" s="78"/>
      <c r="AG935" s="78"/>
      <c r="AH935" s="78"/>
      <c r="AI935" s="78"/>
      <c r="AJ935" s="78"/>
      <c r="AK935" s="78"/>
      <c r="AL935" s="78"/>
      <c r="AM935" s="78"/>
      <c r="AN935" s="78"/>
      <c r="AO935" s="78"/>
      <c r="AP935" s="78"/>
      <c r="AQ935" s="78"/>
      <c r="AR935" s="78"/>
      <c r="AS935" s="78"/>
      <c r="AT935" s="78"/>
      <c r="AU935" s="78"/>
      <c r="AV935" s="78"/>
      <c r="AW935" s="78"/>
      <c r="AX935" s="78"/>
      <c r="AY935" s="78"/>
      <c r="AZ935" s="78"/>
      <c r="BA935" s="78"/>
      <c r="BB935" s="78"/>
      <c r="BC935" s="78"/>
    </row>
    <row r="936">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c r="AA936" s="78"/>
      <c r="AB936" s="78"/>
      <c r="AC936" s="78"/>
      <c r="AD936" s="78"/>
      <c r="AE936" s="78"/>
      <c r="AF936" s="78"/>
      <c r="AG936" s="78"/>
      <c r="AH936" s="78"/>
      <c r="AI936" s="78"/>
      <c r="AJ936" s="78"/>
      <c r="AK936" s="78"/>
      <c r="AL936" s="78"/>
      <c r="AM936" s="78"/>
      <c r="AN936" s="78"/>
      <c r="AO936" s="78"/>
      <c r="AP936" s="78"/>
      <c r="AQ936" s="78"/>
      <c r="AR936" s="78"/>
      <c r="AS936" s="78"/>
      <c r="AT936" s="78"/>
      <c r="AU936" s="78"/>
      <c r="AV936" s="78"/>
      <c r="AW936" s="78"/>
      <c r="AX936" s="78"/>
      <c r="AY936" s="78"/>
      <c r="AZ936" s="78"/>
      <c r="BA936" s="78"/>
      <c r="BB936" s="78"/>
      <c r="BC936" s="78"/>
    </row>
    <row r="937">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c r="AA937" s="78"/>
      <c r="AB937" s="78"/>
      <c r="AC937" s="78"/>
      <c r="AD937" s="78"/>
      <c r="AE937" s="78"/>
      <c r="AF937" s="78"/>
      <c r="AG937" s="78"/>
      <c r="AH937" s="78"/>
      <c r="AI937" s="78"/>
      <c r="AJ937" s="78"/>
      <c r="AK937" s="78"/>
      <c r="AL937" s="78"/>
      <c r="AM937" s="78"/>
      <c r="AN937" s="78"/>
      <c r="AO937" s="78"/>
      <c r="AP937" s="78"/>
      <c r="AQ937" s="78"/>
      <c r="AR937" s="78"/>
      <c r="AS937" s="78"/>
      <c r="AT937" s="78"/>
      <c r="AU937" s="78"/>
      <c r="AV937" s="78"/>
      <c r="AW937" s="78"/>
      <c r="AX937" s="78"/>
      <c r="AY937" s="78"/>
      <c r="AZ937" s="78"/>
      <c r="BA937" s="78"/>
      <c r="BB937" s="78"/>
      <c r="BC937" s="78"/>
    </row>
    <row r="938">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c r="AA938" s="78"/>
      <c r="AB938" s="78"/>
      <c r="AC938" s="78"/>
      <c r="AD938" s="78"/>
      <c r="AE938" s="78"/>
      <c r="AF938" s="78"/>
      <c r="AG938" s="78"/>
      <c r="AH938" s="78"/>
      <c r="AI938" s="78"/>
      <c r="AJ938" s="78"/>
      <c r="AK938" s="78"/>
      <c r="AL938" s="78"/>
      <c r="AM938" s="78"/>
      <c r="AN938" s="78"/>
      <c r="AO938" s="78"/>
      <c r="AP938" s="78"/>
      <c r="AQ938" s="78"/>
      <c r="AR938" s="78"/>
      <c r="AS938" s="78"/>
      <c r="AT938" s="78"/>
      <c r="AU938" s="78"/>
      <c r="AV938" s="78"/>
      <c r="AW938" s="78"/>
      <c r="AX938" s="78"/>
      <c r="AY938" s="78"/>
      <c r="AZ938" s="78"/>
      <c r="BA938" s="78"/>
      <c r="BB938" s="78"/>
      <c r="BC938" s="78"/>
    </row>
    <row r="939">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c r="AA939" s="78"/>
      <c r="AB939" s="78"/>
      <c r="AC939" s="78"/>
      <c r="AD939" s="78"/>
      <c r="AE939" s="78"/>
      <c r="AF939" s="78"/>
      <c r="AG939" s="78"/>
      <c r="AH939" s="78"/>
      <c r="AI939" s="78"/>
      <c r="AJ939" s="78"/>
      <c r="AK939" s="78"/>
      <c r="AL939" s="78"/>
      <c r="AM939" s="78"/>
      <c r="AN939" s="78"/>
      <c r="AO939" s="78"/>
      <c r="AP939" s="78"/>
      <c r="AQ939" s="78"/>
      <c r="AR939" s="78"/>
      <c r="AS939" s="78"/>
      <c r="AT939" s="78"/>
      <c r="AU939" s="78"/>
      <c r="AV939" s="78"/>
      <c r="AW939" s="78"/>
      <c r="AX939" s="78"/>
      <c r="AY939" s="78"/>
      <c r="AZ939" s="78"/>
      <c r="BA939" s="78"/>
      <c r="BB939" s="78"/>
      <c r="BC939" s="78"/>
    </row>
    <row r="940">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c r="AA940" s="78"/>
      <c r="AB940" s="78"/>
      <c r="AC940" s="78"/>
      <c r="AD940" s="78"/>
      <c r="AE940" s="78"/>
      <c r="AF940" s="78"/>
      <c r="AG940" s="78"/>
      <c r="AH940" s="78"/>
      <c r="AI940" s="78"/>
      <c r="AJ940" s="78"/>
      <c r="AK940" s="78"/>
      <c r="AL940" s="78"/>
      <c r="AM940" s="78"/>
      <c r="AN940" s="78"/>
      <c r="AO940" s="78"/>
      <c r="AP940" s="78"/>
      <c r="AQ940" s="78"/>
      <c r="AR940" s="78"/>
      <c r="AS940" s="78"/>
      <c r="AT940" s="78"/>
      <c r="AU940" s="78"/>
      <c r="AV940" s="78"/>
      <c r="AW940" s="78"/>
      <c r="AX940" s="78"/>
      <c r="AY940" s="78"/>
      <c r="AZ940" s="78"/>
      <c r="BA940" s="78"/>
      <c r="BB940" s="78"/>
      <c r="BC940" s="78"/>
    </row>
    <row r="941">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c r="AA941" s="78"/>
      <c r="AB941" s="78"/>
      <c r="AC941" s="78"/>
      <c r="AD941" s="78"/>
      <c r="AE941" s="78"/>
      <c r="AF941" s="78"/>
      <c r="AG941" s="78"/>
      <c r="AH941" s="78"/>
      <c r="AI941" s="78"/>
      <c r="AJ941" s="78"/>
      <c r="AK941" s="78"/>
      <c r="AL941" s="78"/>
      <c r="AM941" s="78"/>
      <c r="AN941" s="78"/>
      <c r="AO941" s="78"/>
      <c r="AP941" s="78"/>
      <c r="AQ941" s="78"/>
      <c r="AR941" s="78"/>
      <c r="AS941" s="78"/>
      <c r="AT941" s="78"/>
      <c r="AU941" s="78"/>
      <c r="AV941" s="78"/>
      <c r="AW941" s="78"/>
      <c r="AX941" s="78"/>
      <c r="AY941" s="78"/>
      <c r="AZ941" s="78"/>
      <c r="BA941" s="78"/>
      <c r="BB941" s="78"/>
      <c r="BC941" s="78"/>
    </row>
    <row r="942">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c r="AA942" s="78"/>
      <c r="AB942" s="78"/>
      <c r="AC942" s="78"/>
      <c r="AD942" s="78"/>
      <c r="AE942" s="78"/>
      <c r="AF942" s="78"/>
      <c r="AG942" s="78"/>
      <c r="AH942" s="78"/>
      <c r="AI942" s="78"/>
      <c r="AJ942" s="78"/>
      <c r="AK942" s="78"/>
      <c r="AL942" s="78"/>
      <c r="AM942" s="78"/>
      <c r="AN942" s="78"/>
      <c r="AO942" s="78"/>
      <c r="AP942" s="78"/>
      <c r="AQ942" s="78"/>
      <c r="AR942" s="78"/>
      <c r="AS942" s="78"/>
      <c r="AT942" s="78"/>
      <c r="AU942" s="78"/>
      <c r="AV942" s="78"/>
      <c r="AW942" s="78"/>
      <c r="AX942" s="78"/>
      <c r="AY942" s="78"/>
      <c r="AZ942" s="78"/>
      <c r="BA942" s="78"/>
      <c r="BB942" s="78"/>
      <c r="BC942" s="78"/>
    </row>
    <row r="943">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c r="AA943" s="78"/>
      <c r="AB943" s="78"/>
      <c r="AC943" s="78"/>
      <c r="AD943" s="78"/>
      <c r="AE943" s="78"/>
      <c r="AF943" s="78"/>
      <c r="AG943" s="78"/>
      <c r="AH943" s="78"/>
      <c r="AI943" s="78"/>
      <c r="AJ943" s="78"/>
      <c r="AK943" s="78"/>
      <c r="AL943" s="78"/>
      <c r="AM943" s="78"/>
      <c r="AN943" s="78"/>
      <c r="AO943" s="78"/>
      <c r="AP943" s="78"/>
      <c r="AQ943" s="78"/>
      <c r="AR943" s="78"/>
      <c r="AS943" s="78"/>
      <c r="AT943" s="78"/>
      <c r="AU943" s="78"/>
      <c r="AV943" s="78"/>
      <c r="AW943" s="78"/>
      <c r="AX943" s="78"/>
      <c r="AY943" s="78"/>
      <c r="AZ943" s="78"/>
      <c r="BA943" s="78"/>
      <c r="BB943" s="78"/>
      <c r="BC943" s="78"/>
    </row>
    <row r="944">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c r="AA944" s="78"/>
      <c r="AB944" s="78"/>
      <c r="AC944" s="78"/>
      <c r="AD944" s="78"/>
      <c r="AE944" s="78"/>
      <c r="AF944" s="78"/>
      <c r="AG944" s="78"/>
      <c r="AH944" s="78"/>
      <c r="AI944" s="78"/>
      <c r="AJ944" s="78"/>
      <c r="AK944" s="78"/>
      <c r="AL944" s="78"/>
      <c r="AM944" s="78"/>
      <c r="AN944" s="78"/>
      <c r="AO944" s="78"/>
      <c r="AP944" s="78"/>
      <c r="AQ944" s="78"/>
      <c r="AR944" s="78"/>
      <c r="AS944" s="78"/>
      <c r="AT944" s="78"/>
      <c r="AU944" s="78"/>
      <c r="AV944" s="78"/>
      <c r="AW944" s="78"/>
      <c r="AX944" s="78"/>
      <c r="AY944" s="78"/>
      <c r="AZ944" s="78"/>
      <c r="BA944" s="78"/>
      <c r="BB944" s="78"/>
      <c r="BC944" s="78"/>
    </row>
    <row r="945">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c r="AA945" s="78"/>
      <c r="AB945" s="78"/>
      <c r="AC945" s="78"/>
      <c r="AD945" s="78"/>
      <c r="AE945" s="78"/>
      <c r="AF945" s="78"/>
      <c r="AG945" s="78"/>
      <c r="AH945" s="78"/>
      <c r="AI945" s="78"/>
      <c r="AJ945" s="78"/>
      <c r="AK945" s="78"/>
      <c r="AL945" s="78"/>
      <c r="AM945" s="78"/>
      <c r="AN945" s="78"/>
      <c r="AO945" s="78"/>
      <c r="AP945" s="78"/>
      <c r="AQ945" s="78"/>
      <c r="AR945" s="78"/>
      <c r="AS945" s="78"/>
      <c r="AT945" s="78"/>
      <c r="AU945" s="78"/>
      <c r="AV945" s="78"/>
      <c r="AW945" s="78"/>
      <c r="AX945" s="78"/>
      <c r="AY945" s="78"/>
      <c r="AZ945" s="78"/>
      <c r="BA945" s="78"/>
      <c r="BB945" s="78"/>
      <c r="BC945" s="78"/>
    </row>
    <row r="946">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c r="AA946" s="78"/>
      <c r="AB946" s="78"/>
      <c r="AC946" s="78"/>
      <c r="AD946" s="78"/>
      <c r="AE946" s="78"/>
      <c r="AF946" s="78"/>
      <c r="AG946" s="78"/>
      <c r="AH946" s="78"/>
      <c r="AI946" s="78"/>
      <c r="AJ946" s="78"/>
      <c r="AK946" s="78"/>
      <c r="AL946" s="78"/>
      <c r="AM946" s="78"/>
      <c r="AN946" s="78"/>
      <c r="AO946" s="78"/>
      <c r="AP946" s="78"/>
      <c r="AQ946" s="78"/>
      <c r="AR946" s="78"/>
      <c r="AS946" s="78"/>
      <c r="AT946" s="78"/>
      <c r="AU946" s="78"/>
      <c r="AV946" s="78"/>
      <c r="AW946" s="78"/>
      <c r="AX946" s="78"/>
      <c r="AY946" s="78"/>
      <c r="AZ946" s="78"/>
      <c r="BA946" s="78"/>
      <c r="BB946" s="78"/>
      <c r="BC946" s="78"/>
    </row>
    <row r="947">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c r="AA947" s="78"/>
      <c r="AB947" s="78"/>
      <c r="AC947" s="78"/>
      <c r="AD947" s="78"/>
      <c r="AE947" s="78"/>
      <c r="AF947" s="78"/>
      <c r="AG947" s="78"/>
      <c r="AH947" s="78"/>
      <c r="AI947" s="78"/>
      <c r="AJ947" s="78"/>
      <c r="AK947" s="78"/>
      <c r="AL947" s="78"/>
      <c r="AM947" s="78"/>
      <c r="AN947" s="78"/>
      <c r="AO947" s="78"/>
      <c r="AP947" s="78"/>
      <c r="AQ947" s="78"/>
      <c r="AR947" s="78"/>
      <c r="AS947" s="78"/>
      <c r="AT947" s="78"/>
      <c r="AU947" s="78"/>
      <c r="AV947" s="78"/>
      <c r="AW947" s="78"/>
      <c r="AX947" s="78"/>
      <c r="AY947" s="78"/>
      <c r="AZ947" s="78"/>
      <c r="BA947" s="78"/>
      <c r="BB947" s="78"/>
      <c r="BC947" s="78"/>
    </row>
    <row r="948">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c r="AA948" s="78"/>
      <c r="AB948" s="78"/>
      <c r="AC948" s="78"/>
      <c r="AD948" s="78"/>
      <c r="AE948" s="78"/>
      <c r="AF948" s="78"/>
      <c r="AG948" s="78"/>
      <c r="AH948" s="78"/>
      <c r="AI948" s="78"/>
      <c r="AJ948" s="78"/>
      <c r="AK948" s="78"/>
      <c r="AL948" s="78"/>
      <c r="AM948" s="78"/>
      <c r="AN948" s="78"/>
      <c r="AO948" s="78"/>
      <c r="AP948" s="78"/>
      <c r="AQ948" s="78"/>
      <c r="AR948" s="78"/>
      <c r="AS948" s="78"/>
      <c r="AT948" s="78"/>
      <c r="AU948" s="78"/>
      <c r="AV948" s="78"/>
      <c r="AW948" s="78"/>
      <c r="AX948" s="78"/>
      <c r="AY948" s="78"/>
      <c r="AZ948" s="78"/>
      <c r="BA948" s="78"/>
      <c r="BB948" s="78"/>
      <c r="BC948" s="78"/>
    </row>
    <row r="949">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c r="AA949" s="78"/>
      <c r="AB949" s="78"/>
      <c r="AC949" s="78"/>
      <c r="AD949" s="78"/>
      <c r="AE949" s="78"/>
      <c r="AF949" s="78"/>
      <c r="AG949" s="78"/>
      <c r="AH949" s="78"/>
      <c r="AI949" s="78"/>
      <c r="AJ949" s="78"/>
      <c r="AK949" s="78"/>
      <c r="AL949" s="78"/>
      <c r="AM949" s="78"/>
      <c r="AN949" s="78"/>
      <c r="AO949" s="78"/>
      <c r="AP949" s="78"/>
      <c r="AQ949" s="78"/>
      <c r="AR949" s="78"/>
      <c r="AS949" s="78"/>
      <c r="AT949" s="78"/>
      <c r="AU949" s="78"/>
      <c r="AV949" s="78"/>
      <c r="AW949" s="78"/>
      <c r="AX949" s="78"/>
      <c r="AY949" s="78"/>
      <c r="AZ949" s="78"/>
      <c r="BA949" s="78"/>
      <c r="BB949" s="78"/>
      <c r="BC949" s="78"/>
    </row>
    <row r="950">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c r="AA950" s="78"/>
      <c r="AB950" s="78"/>
      <c r="AC950" s="78"/>
      <c r="AD950" s="78"/>
      <c r="AE950" s="78"/>
      <c r="AF950" s="78"/>
      <c r="AG950" s="78"/>
      <c r="AH950" s="78"/>
      <c r="AI950" s="78"/>
      <c r="AJ950" s="78"/>
      <c r="AK950" s="78"/>
      <c r="AL950" s="78"/>
      <c r="AM950" s="78"/>
      <c r="AN950" s="78"/>
      <c r="AO950" s="78"/>
      <c r="AP950" s="78"/>
      <c r="AQ950" s="78"/>
      <c r="AR950" s="78"/>
      <c r="AS950" s="78"/>
      <c r="AT950" s="78"/>
      <c r="AU950" s="78"/>
      <c r="AV950" s="78"/>
      <c r="AW950" s="78"/>
      <c r="AX950" s="78"/>
      <c r="AY950" s="78"/>
      <c r="AZ950" s="78"/>
      <c r="BA950" s="78"/>
      <c r="BB950" s="78"/>
      <c r="BC950" s="78"/>
    </row>
    <row r="951">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c r="AA951" s="78"/>
      <c r="AB951" s="78"/>
      <c r="AC951" s="78"/>
      <c r="AD951" s="78"/>
      <c r="AE951" s="78"/>
      <c r="AF951" s="78"/>
      <c r="AG951" s="78"/>
      <c r="AH951" s="78"/>
      <c r="AI951" s="78"/>
      <c r="AJ951" s="78"/>
      <c r="AK951" s="78"/>
      <c r="AL951" s="78"/>
      <c r="AM951" s="78"/>
      <c r="AN951" s="78"/>
      <c r="AO951" s="78"/>
      <c r="AP951" s="78"/>
      <c r="AQ951" s="78"/>
      <c r="AR951" s="78"/>
      <c r="AS951" s="78"/>
      <c r="AT951" s="78"/>
      <c r="AU951" s="78"/>
      <c r="AV951" s="78"/>
      <c r="AW951" s="78"/>
      <c r="AX951" s="78"/>
      <c r="AY951" s="78"/>
      <c r="AZ951" s="78"/>
      <c r="BA951" s="78"/>
      <c r="BB951" s="78"/>
      <c r="BC951" s="78"/>
    </row>
    <row r="952">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c r="AA952" s="78"/>
      <c r="AB952" s="78"/>
      <c r="AC952" s="78"/>
      <c r="AD952" s="78"/>
      <c r="AE952" s="78"/>
      <c r="AF952" s="78"/>
      <c r="AG952" s="78"/>
      <c r="AH952" s="78"/>
      <c r="AI952" s="78"/>
      <c r="AJ952" s="78"/>
      <c r="AK952" s="78"/>
      <c r="AL952" s="78"/>
      <c r="AM952" s="78"/>
      <c r="AN952" s="78"/>
      <c r="AO952" s="78"/>
      <c r="AP952" s="78"/>
      <c r="AQ952" s="78"/>
      <c r="AR952" s="78"/>
      <c r="AS952" s="78"/>
      <c r="AT952" s="78"/>
      <c r="AU952" s="78"/>
      <c r="AV952" s="78"/>
      <c r="AW952" s="78"/>
      <c r="AX952" s="78"/>
      <c r="AY952" s="78"/>
      <c r="AZ952" s="78"/>
      <c r="BA952" s="78"/>
      <c r="BB952" s="78"/>
      <c r="BC952" s="78"/>
    </row>
    <row r="953">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c r="AA953" s="78"/>
      <c r="AB953" s="78"/>
      <c r="AC953" s="78"/>
      <c r="AD953" s="78"/>
      <c r="AE953" s="78"/>
      <c r="AF953" s="78"/>
      <c r="AG953" s="78"/>
      <c r="AH953" s="78"/>
      <c r="AI953" s="78"/>
      <c r="AJ953" s="78"/>
      <c r="AK953" s="78"/>
      <c r="AL953" s="78"/>
      <c r="AM953" s="78"/>
      <c r="AN953" s="78"/>
      <c r="AO953" s="78"/>
      <c r="AP953" s="78"/>
      <c r="AQ953" s="78"/>
      <c r="AR953" s="78"/>
      <c r="AS953" s="78"/>
      <c r="AT953" s="78"/>
      <c r="AU953" s="78"/>
      <c r="AV953" s="78"/>
      <c r="AW953" s="78"/>
      <c r="AX953" s="78"/>
      <c r="AY953" s="78"/>
      <c r="AZ953" s="78"/>
      <c r="BA953" s="78"/>
      <c r="BB953" s="78"/>
      <c r="BC953" s="78"/>
    </row>
    <row r="954">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c r="AA954" s="78"/>
      <c r="AB954" s="78"/>
      <c r="AC954" s="78"/>
      <c r="AD954" s="78"/>
      <c r="AE954" s="78"/>
      <c r="AF954" s="78"/>
      <c r="AG954" s="78"/>
      <c r="AH954" s="78"/>
      <c r="AI954" s="78"/>
      <c r="AJ954" s="78"/>
      <c r="AK954" s="78"/>
      <c r="AL954" s="78"/>
      <c r="AM954" s="78"/>
      <c r="AN954" s="78"/>
      <c r="AO954" s="78"/>
      <c r="AP954" s="78"/>
      <c r="AQ954" s="78"/>
      <c r="AR954" s="78"/>
      <c r="AS954" s="78"/>
      <c r="AT954" s="78"/>
      <c r="AU954" s="78"/>
      <c r="AV954" s="78"/>
      <c r="AW954" s="78"/>
      <c r="AX954" s="78"/>
      <c r="AY954" s="78"/>
      <c r="AZ954" s="78"/>
      <c r="BA954" s="78"/>
      <c r="BB954" s="78"/>
      <c r="BC954" s="78"/>
    </row>
    <row r="955">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c r="AA955" s="78"/>
      <c r="AB955" s="78"/>
      <c r="AC955" s="78"/>
      <c r="AD955" s="78"/>
      <c r="AE955" s="78"/>
      <c r="AF955" s="78"/>
      <c r="AG955" s="78"/>
      <c r="AH955" s="78"/>
      <c r="AI955" s="78"/>
      <c r="AJ955" s="78"/>
      <c r="AK955" s="78"/>
      <c r="AL955" s="78"/>
      <c r="AM955" s="78"/>
      <c r="AN955" s="78"/>
      <c r="AO955" s="78"/>
      <c r="AP955" s="78"/>
      <c r="AQ955" s="78"/>
      <c r="AR955" s="78"/>
      <c r="AS955" s="78"/>
      <c r="AT955" s="78"/>
      <c r="AU955" s="78"/>
      <c r="AV955" s="78"/>
      <c r="AW955" s="78"/>
      <c r="AX955" s="78"/>
      <c r="AY955" s="78"/>
      <c r="AZ955" s="78"/>
      <c r="BA955" s="78"/>
      <c r="BB955" s="78"/>
      <c r="BC955" s="78"/>
    </row>
    <row r="956">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c r="AA956" s="78"/>
      <c r="AB956" s="78"/>
      <c r="AC956" s="78"/>
      <c r="AD956" s="78"/>
      <c r="AE956" s="78"/>
      <c r="AF956" s="78"/>
      <c r="AG956" s="78"/>
      <c r="AH956" s="78"/>
      <c r="AI956" s="78"/>
      <c r="AJ956" s="78"/>
      <c r="AK956" s="78"/>
      <c r="AL956" s="78"/>
      <c r="AM956" s="78"/>
      <c r="AN956" s="78"/>
      <c r="AO956" s="78"/>
      <c r="AP956" s="78"/>
      <c r="AQ956" s="78"/>
      <c r="AR956" s="78"/>
      <c r="AS956" s="78"/>
      <c r="AT956" s="78"/>
      <c r="AU956" s="78"/>
      <c r="AV956" s="78"/>
      <c r="AW956" s="78"/>
      <c r="AX956" s="78"/>
      <c r="AY956" s="78"/>
      <c r="AZ956" s="78"/>
      <c r="BA956" s="78"/>
      <c r="BB956" s="78"/>
      <c r="BC956" s="78"/>
    </row>
    <row r="957">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c r="AA957" s="78"/>
      <c r="AB957" s="78"/>
      <c r="AC957" s="78"/>
      <c r="AD957" s="78"/>
      <c r="AE957" s="78"/>
      <c r="AF957" s="78"/>
      <c r="AG957" s="78"/>
      <c r="AH957" s="78"/>
      <c r="AI957" s="78"/>
      <c r="AJ957" s="78"/>
      <c r="AK957" s="78"/>
      <c r="AL957" s="78"/>
      <c r="AM957" s="78"/>
      <c r="AN957" s="78"/>
      <c r="AO957" s="78"/>
      <c r="AP957" s="78"/>
      <c r="AQ957" s="78"/>
      <c r="AR957" s="78"/>
      <c r="AS957" s="78"/>
      <c r="AT957" s="78"/>
      <c r="AU957" s="78"/>
      <c r="AV957" s="78"/>
      <c r="AW957" s="78"/>
      <c r="AX957" s="78"/>
      <c r="AY957" s="78"/>
      <c r="AZ957" s="78"/>
      <c r="BA957" s="78"/>
      <c r="BB957" s="78"/>
      <c r="BC957" s="78"/>
    </row>
    <row r="958">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c r="AA958" s="78"/>
      <c r="AB958" s="78"/>
      <c r="AC958" s="78"/>
      <c r="AD958" s="78"/>
      <c r="AE958" s="78"/>
      <c r="AF958" s="78"/>
      <c r="AG958" s="78"/>
      <c r="AH958" s="78"/>
      <c r="AI958" s="78"/>
      <c r="AJ958" s="78"/>
      <c r="AK958" s="78"/>
      <c r="AL958" s="78"/>
      <c r="AM958" s="78"/>
      <c r="AN958" s="78"/>
      <c r="AO958" s="78"/>
      <c r="AP958" s="78"/>
      <c r="AQ958" s="78"/>
      <c r="AR958" s="78"/>
      <c r="AS958" s="78"/>
      <c r="AT958" s="78"/>
      <c r="AU958" s="78"/>
      <c r="AV958" s="78"/>
      <c r="AW958" s="78"/>
      <c r="AX958" s="78"/>
      <c r="AY958" s="78"/>
      <c r="AZ958" s="78"/>
      <c r="BA958" s="78"/>
      <c r="BB958" s="78"/>
      <c r="BC958" s="78"/>
    </row>
    <row r="959">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c r="AA959" s="78"/>
      <c r="AB959" s="78"/>
      <c r="AC959" s="78"/>
      <c r="AD959" s="78"/>
      <c r="AE959" s="78"/>
      <c r="AF959" s="78"/>
      <c r="AG959" s="78"/>
      <c r="AH959" s="78"/>
      <c r="AI959" s="78"/>
      <c r="AJ959" s="78"/>
      <c r="AK959" s="78"/>
      <c r="AL959" s="78"/>
      <c r="AM959" s="78"/>
      <c r="AN959" s="78"/>
      <c r="AO959" s="78"/>
      <c r="AP959" s="78"/>
      <c r="AQ959" s="78"/>
      <c r="AR959" s="78"/>
      <c r="AS959" s="78"/>
      <c r="AT959" s="78"/>
      <c r="AU959" s="78"/>
      <c r="AV959" s="78"/>
      <c r="AW959" s="78"/>
      <c r="AX959" s="78"/>
      <c r="AY959" s="78"/>
      <c r="AZ959" s="78"/>
      <c r="BA959" s="78"/>
      <c r="BB959" s="78"/>
      <c r="BC959" s="78"/>
    </row>
    <row r="960">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c r="AA960" s="78"/>
      <c r="AB960" s="78"/>
      <c r="AC960" s="78"/>
      <c r="AD960" s="78"/>
      <c r="AE960" s="78"/>
      <c r="AF960" s="78"/>
      <c r="AG960" s="78"/>
      <c r="AH960" s="78"/>
      <c r="AI960" s="78"/>
      <c r="AJ960" s="78"/>
      <c r="AK960" s="78"/>
      <c r="AL960" s="78"/>
      <c r="AM960" s="78"/>
      <c r="AN960" s="78"/>
      <c r="AO960" s="78"/>
      <c r="AP960" s="78"/>
      <c r="AQ960" s="78"/>
      <c r="AR960" s="78"/>
      <c r="AS960" s="78"/>
      <c r="AT960" s="78"/>
      <c r="AU960" s="78"/>
      <c r="AV960" s="78"/>
      <c r="AW960" s="78"/>
      <c r="AX960" s="78"/>
      <c r="AY960" s="78"/>
      <c r="AZ960" s="78"/>
      <c r="BA960" s="78"/>
      <c r="BB960" s="78"/>
      <c r="BC960" s="78"/>
    </row>
    <row r="961">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c r="AA961" s="78"/>
      <c r="AB961" s="78"/>
      <c r="AC961" s="78"/>
      <c r="AD961" s="78"/>
      <c r="AE961" s="78"/>
      <c r="AF961" s="78"/>
      <c r="AG961" s="78"/>
      <c r="AH961" s="78"/>
      <c r="AI961" s="78"/>
      <c r="AJ961" s="78"/>
      <c r="AK961" s="78"/>
      <c r="AL961" s="78"/>
      <c r="AM961" s="78"/>
      <c r="AN961" s="78"/>
      <c r="AO961" s="78"/>
      <c r="AP961" s="78"/>
      <c r="AQ961" s="78"/>
      <c r="AR961" s="78"/>
      <c r="AS961" s="78"/>
      <c r="AT961" s="78"/>
      <c r="AU961" s="78"/>
      <c r="AV961" s="78"/>
      <c r="AW961" s="78"/>
      <c r="AX961" s="78"/>
      <c r="AY961" s="78"/>
      <c r="AZ961" s="78"/>
      <c r="BA961" s="78"/>
      <c r="BB961" s="78"/>
      <c r="BC961" s="78"/>
    </row>
    <row r="962">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c r="AA962" s="78"/>
      <c r="AB962" s="78"/>
      <c r="AC962" s="78"/>
      <c r="AD962" s="78"/>
      <c r="AE962" s="78"/>
      <c r="AF962" s="78"/>
      <c r="AG962" s="78"/>
      <c r="AH962" s="78"/>
      <c r="AI962" s="78"/>
      <c r="AJ962" s="78"/>
      <c r="AK962" s="78"/>
      <c r="AL962" s="78"/>
      <c r="AM962" s="78"/>
      <c r="AN962" s="78"/>
      <c r="AO962" s="78"/>
      <c r="AP962" s="78"/>
      <c r="AQ962" s="78"/>
      <c r="AR962" s="78"/>
      <c r="AS962" s="78"/>
      <c r="AT962" s="78"/>
      <c r="AU962" s="78"/>
      <c r="AV962" s="78"/>
      <c r="AW962" s="78"/>
      <c r="AX962" s="78"/>
      <c r="AY962" s="78"/>
      <c r="AZ962" s="78"/>
      <c r="BA962" s="78"/>
      <c r="BB962" s="78"/>
      <c r="BC962" s="78"/>
    </row>
    <row r="963">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c r="AA963" s="78"/>
      <c r="AB963" s="78"/>
      <c r="AC963" s="78"/>
      <c r="AD963" s="78"/>
      <c r="AE963" s="78"/>
      <c r="AF963" s="78"/>
      <c r="AG963" s="78"/>
      <c r="AH963" s="78"/>
      <c r="AI963" s="78"/>
      <c r="AJ963" s="78"/>
      <c r="AK963" s="78"/>
      <c r="AL963" s="78"/>
      <c r="AM963" s="78"/>
      <c r="AN963" s="78"/>
      <c r="AO963" s="78"/>
      <c r="AP963" s="78"/>
      <c r="AQ963" s="78"/>
      <c r="AR963" s="78"/>
      <c r="AS963" s="78"/>
      <c r="AT963" s="78"/>
      <c r="AU963" s="78"/>
      <c r="AV963" s="78"/>
      <c r="AW963" s="78"/>
      <c r="AX963" s="78"/>
      <c r="AY963" s="78"/>
      <c r="AZ963" s="78"/>
      <c r="BA963" s="78"/>
      <c r="BB963" s="78"/>
      <c r="BC963" s="78"/>
    </row>
    <row r="964">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c r="AA964" s="78"/>
      <c r="AB964" s="78"/>
      <c r="AC964" s="78"/>
      <c r="AD964" s="78"/>
      <c r="AE964" s="78"/>
      <c r="AF964" s="78"/>
      <c r="AG964" s="78"/>
      <c r="AH964" s="78"/>
      <c r="AI964" s="78"/>
      <c r="AJ964" s="78"/>
      <c r="AK964" s="78"/>
      <c r="AL964" s="78"/>
      <c r="AM964" s="78"/>
      <c r="AN964" s="78"/>
      <c r="AO964" s="78"/>
      <c r="AP964" s="78"/>
      <c r="AQ964" s="78"/>
      <c r="AR964" s="78"/>
      <c r="AS964" s="78"/>
      <c r="AT964" s="78"/>
      <c r="AU964" s="78"/>
      <c r="AV964" s="78"/>
      <c r="AW964" s="78"/>
      <c r="AX964" s="78"/>
      <c r="AY964" s="78"/>
      <c r="AZ964" s="78"/>
      <c r="BA964" s="78"/>
      <c r="BB964" s="78"/>
      <c r="BC964" s="78"/>
    </row>
    <row r="965">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c r="AA965" s="78"/>
      <c r="AB965" s="78"/>
      <c r="AC965" s="78"/>
      <c r="AD965" s="78"/>
      <c r="AE965" s="78"/>
      <c r="AF965" s="78"/>
      <c r="AG965" s="78"/>
      <c r="AH965" s="78"/>
      <c r="AI965" s="78"/>
      <c r="AJ965" s="78"/>
      <c r="AK965" s="78"/>
      <c r="AL965" s="78"/>
      <c r="AM965" s="78"/>
      <c r="AN965" s="78"/>
      <c r="AO965" s="78"/>
      <c r="AP965" s="78"/>
      <c r="AQ965" s="78"/>
      <c r="AR965" s="78"/>
      <c r="AS965" s="78"/>
      <c r="AT965" s="78"/>
      <c r="AU965" s="78"/>
      <c r="AV965" s="78"/>
      <c r="AW965" s="78"/>
      <c r="AX965" s="78"/>
      <c r="AY965" s="78"/>
      <c r="AZ965" s="78"/>
      <c r="BA965" s="78"/>
      <c r="BB965" s="78"/>
      <c r="BC965" s="78"/>
    </row>
    <row r="966">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c r="AA966" s="78"/>
      <c r="AB966" s="78"/>
      <c r="AC966" s="78"/>
      <c r="AD966" s="78"/>
      <c r="AE966" s="78"/>
      <c r="AF966" s="78"/>
      <c r="AG966" s="78"/>
      <c r="AH966" s="78"/>
      <c r="AI966" s="78"/>
      <c r="AJ966" s="78"/>
      <c r="AK966" s="78"/>
      <c r="AL966" s="78"/>
      <c r="AM966" s="78"/>
      <c r="AN966" s="78"/>
      <c r="AO966" s="78"/>
      <c r="AP966" s="78"/>
      <c r="AQ966" s="78"/>
      <c r="AR966" s="78"/>
      <c r="AS966" s="78"/>
      <c r="AT966" s="78"/>
      <c r="AU966" s="78"/>
      <c r="AV966" s="78"/>
      <c r="AW966" s="78"/>
      <c r="AX966" s="78"/>
      <c r="AY966" s="78"/>
      <c r="AZ966" s="78"/>
      <c r="BA966" s="78"/>
      <c r="BB966" s="78"/>
      <c r="BC966" s="78"/>
    </row>
    <row r="967">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c r="AA967" s="78"/>
      <c r="AB967" s="78"/>
      <c r="AC967" s="78"/>
      <c r="AD967" s="78"/>
      <c r="AE967" s="78"/>
      <c r="AF967" s="78"/>
      <c r="AG967" s="78"/>
      <c r="AH967" s="78"/>
      <c r="AI967" s="78"/>
      <c r="AJ967" s="78"/>
      <c r="AK967" s="78"/>
      <c r="AL967" s="78"/>
      <c r="AM967" s="78"/>
      <c r="AN967" s="78"/>
      <c r="AO967" s="78"/>
      <c r="AP967" s="78"/>
      <c r="AQ967" s="78"/>
      <c r="AR967" s="78"/>
      <c r="AS967" s="78"/>
      <c r="AT967" s="78"/>
      <c r="AU967" s="78"/>
      <c r="AV967" s="78"/>
      <c r="AW967" s="78"/>
      <c r="AX967" s="78"/>
      <c r="AY967" s="78"/>
      <c r="AZ967" s="78"/>
      <c r="BA967" s="78"/>
      <c r="BB967" s="78"/>
      <c r="BC967" s="78"/>
    </row>
    <row r="968">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c r="AA968" s="78"/>
      <c r="AB968" s="78"/>
      <c r="AC968" s="78"/>
      <c r="AD968" s="78"/>
      <c r="AE968" s="78"/>
      <c r="AF968" s="78"/>
      <c r="AG968" s="78"/>
      <c r="AH968" s="78"/>
      <c r="AI968" s="78"/>
      <c r="AJ968" s="78"/>
      <c r="AK968" s="78"/>
      <c r="AL968" s="78"/>
      <c r="AM968" s="78"/>
      <c r="AN968" s="78"/>
      <c r="AO968" s="78"/>
      <c r="AP968" s="78"/>
      <c r="AQ968" s="78"/>
      <c r="AR968" s="78"/>
      <c r="AS968" s="78"/>
      <c r="AT968" s="78"/>
      <c r="AU968" s="78"/>
      <c r="AV968" s="78"/>
      <c r="AW968" s="78"/>
      <c r="AX968" s="78"/>
      <c r="AY968" s="78"/>
      <c r="AZ968" s="78"/>
      <c r="BA968" s="78"/>
      <c r="BB968" s="78"/>
      <c r="BC968" s="78"/>
    </row>
    <row r="969">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c r="AA969" s="78"/>
      <c r="AB969" s="78"/>
      <c r="AC969" s="78"/>
      <c r="AD969" s="78"/>
      <c r="AE969" s="78"/>
      <c r="AF969" s="78"/>
      <c r="AG969" s="78"/>
      <c r="AH969" s="78"/>
      <c r="AI969" s="78"/>
      <c r="AJ969" s="78"/>
      <c r="AK969" s="78"/>
      <c r="AL969" s="78"/>
      <c r="AM969" s="78"/>
      <c r="AN969" s="78"/>
      <c r="AO969" s="78"/>
      <c r="AP969" s="78"/>
      <c r="AQ969" s="78"/>
      <c r="AR969" s="78"/>
      <c r="AS969" s="78"/>
      <c r="AT969" s="78"/>
      <c r="AU969" s="78"/>
      <c r="AV969" s="78"/>
      <c r="AW969" s="78"/>
      <c r="AX969" s="78"/>
      <c r="AY969" s="78"/>
      <c r="AZ969" s="78"/>
      <c r="BA969" s="78"/>
      <c r="BB969" s="78"/>
      <c r="BC969" s="78"/>
    </row>
    <row r="970">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c r="AA970" s="78"/>
      <c r="AB970" s="78"/>
      <c r="AC970" s="78"/>
      <c r="AD970" s="78"/>
      <c r="AE970" s="78"/>
      <c r="AF970" s="78"/>
      <c r="AG970" s="78"/>
      <c r="AH970" s="78"/>
      <c r="AI970" s="78"/>
      <c r="AJ970" s="78"/>
      <c r="AK970" s="78"/>
      <c r="AL970" s="78"/>
      <c r="AM970" s="78"/>
      <c r="AN970" s="78"/>
      <c r="AO970" s="78"/>
      <c r="AP970" s="78"/>
      <c r="AQ970" s="78"/>
      <c r="AR970" s="78"/>
      <c r="AS970" s="78"/>
      <c r="AT970" s="78"/>
      <c r="AU970" s="78"/>
      <c r="AV970" s="78"/>
      <c r="AW970" s="78"/>
      <c r="AX970" s="78"/>
      <c r="AY970" s="78"/>
      <c r="AZ970" s="78"/>
      <c r="BA970" s="78"/>
      <c r="BB970" s="78"/>
      <c r="BC970" s="78"/>
    </row>
    <row r="971">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c r="AA971" s="78"/>
      <c r="AB971" s="78"/>
      <c r="AC971" s="78"/>
      <c r="AD971" s="78"/>
      <c r="AE971" s="78"/>
      <c r="AF971" s="78"/>
      <c r="AG971" s="78"/>
      <c r="AH971" s="78"/>
      <c r="AI971" s="78"/>
      <c r="AJ971" s="78"/>
      <c r="AK971" s="78"/>
      <c r="AL971" s="78"/>
      <c r="AM971" s="78"/>
      <c r="AN971" s="78"/>
      <c r="AO971" s="78"/>
      <c r="AP971" s="78"/>
      <c r="AQ971" s="78"/>
      <c r="AR971" s="78"/>
      <c r="AS971" s="78"/>
      <c r="AT971" s="78"/>
      <c r="AU971" s="78"/>
      <c r="AV971" s="78"/>
      <c r="AW971" s="78"/>
      <c r="AX971" s="78"/>
      <c r="AY971" s="78"/>
      <c r="AZ971" s="78"/>
      <c r="BA971" s="78"/>
      <c r="BB971" s="78"/>
      <c r="BC971" s="78"/>
    </row>
    <row r="972">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c r="AA972" s="78"/>
      <c r="AB972" s="78"/>
      <c r="AC972" s="78"/>
      <c r="AD972" s="78"/>
      <c r="AE972" s="78"/>
      <c r="AF972" s="78"/>
      <c r="AG972" s="78"/>
      <c r="AH972" s="78"/>
      <c r="AI972" s="78"/>
      <c r="AJ972" s="78"/>
      <c r="AK972" s="78"/>
      <c r="AL972" s="78"/>
      <c r="AM972" s="78"/>
      <c r="AN972" s="78"/>
      <c r="AO972" s="78"/>
      <c r="AP972" s="78"/>
      <c r="AQ972" s="78"/>
      <c r="AR972" s="78"/>
      <c r="AS972" s="78"/>
      <c r="AT972" s="78"/>
      <c r="AU972" s="78"/>
      <c r="AV972" s="78"/>
      <c r="AW972" s="78"/>
      <c r="AX972" s="78"/>
      <c r="AY972" s="78"/>
      <c r="AZ972" s="78"/>
      <c r="BA972" s="78"/>
      <c r="BB972" s="78"/>
      <c r="BC972" s="78"/>
    </row>
    <row r="973">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c r="AA973" s="78"/>
      <c r="AB973" s="78"/>
      <c r="AC973" s="78"/>
      <c r="AD973" s="78"/>
      <c r="AE973" s="78"/>
      <c r="AF973" s="78"/>
      <c r="AG973" s="78"/>
      <c r="AH973" s="78"/>
      <c r="AI973" s="78"/>
      <c r="AJ973" s="78"/>
      <c r="AK973" s="78"/>
      <c r="AL973" s="78"/>
      <c r="AM973" s="78"/>
      <c r="AN973" s="78"/>
      <c r="AO973" s="78"/>
      <c r="AP973" s="78"/>
      <c r="AQ973" s="78"/>
      <c r="AR973" s="78"/>
      <c r="AS973" s="78"/>
      <c r="AT973" s="78"/>
      <c r="AU973" s="78"/>
      <c r="AV973" s="78"/>
      <c r="AW973" s="78"/>
      <c r="AX973" s="78"/>
      <c r="AY973" s="78"/>
      <c r="AZ973" s="78"/>
      <c r="BA973" s="78"/>
      <c r="BB973" s="78"/>
      <c r="BC973" s="78"/>
    </row>
    <row r="974">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c r="AA974" s="78"/>
      <c r="AB974" s="78"/>
      <c r="AC974" s="78"/>
      <c r="AD974" s="78"/>
      <c r="AE974" s="78"/>
      <c r="AF974" s="78"/>
      <c r="AG974" s="78"/>
      <c r="AH974" s="78"/>
      <c r="AI974" s="78"/>
      <c r="AJ974" s="78"/>
      <c r="AK974" s="78"/>
      <c r="AL974" s="78"/>
      <c r="AM974" s="78"/>
      <c r="AN974" s="78"/>
      <c r="AO974" s="78"/>
      <c r="AP974" s="78"/>
      <c r="AQ974" s="78"/>
      <c r="AR974" s="78"/>
      <c r="AS974" s="78"/>
      <c r="AT974" s="78"/>
      <c r="AU974" s="78"/>
      <c r="AV974" s="78"/>
      <c r="AW974" s="78"/>
      <c r="AX974" s="78"/>
      <c r="AY974" s="78"/>
      <c r="AZ974" s="78"/>
      <c r="BA974" s="78"/>
      <c r="BB974" s="78"/>
      <c r="BC974" s="78"/>
    </row>
    <row r="975">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c r="AA975" s="78"/>
      <c r="AB975" s="78"/>
      <c r="AC975" s="78"/>
      <c r="AD975" s="78"/>
      <c r="AE975" s="78"/>
      <c r="AF975" s="78"/>
      <c r="AG975" s="78"/>
      <c r="AH975" s="78"/>
      <c r="AI975" s="78"/>
      <c r="AJ975" s="78"/>
      <c r="AK975" s="78"/>
      <c r="AL975" s="78"/>
      <c r="AM975" s="78"/>
      <c r="AN975" s="78"/>
      <c r="AO975" s="78"/>
      <c r="AP975" s="78"/>
      <c r="AQ975" s="78"/>
      <c r="AR975" s="78"/>
      <c r="AS975" s="78"/>
      <c r="AT975" s="78"/>
      <c r="AU975" s="78"/>
      <c r="AV975" s="78"/>
      <c r="AW975" s="78"/>
      <c r="AX975" s="78"/>
      <c r="AY975" s="78"/>
      <c r="AZ975" s="78"/>
      <c r="BA975" s="78"/>
      <c r="BB975" s="78"/>
      <c r="BC975" s="78"/>
    </row>
    <row r="976">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c r="AA976" s="78"/>
      <c r="AB976" s="78"/>
      <c r="AC976" s="78"/>
      <c r="AD976" s="78"/>
      <c r="AE976" s="78"/>
      <c r="AF976" s="78"/>
      <c r="AG976" s="78"/>
      <c r="AH976" s="78"/>
      <c r="AI976" s="78"/>
      <c r="AJ976" s="78"/>
      <c r="AK976" s="78"/>
      <c r="AL976" s="78"/>
      <c r="AM976" s="78"/>
      <c r="AN976" s="78"/>
      <c r="AO976" s="78"/>
      <c r="AP976" s="78"/>
      <c r="AQ976" s="78"/>
      <c r="AR976" s="78"/>
      <c r="AS976" s="78"/>
      <c r="AT976" s="78"/>
      <c r="AU976" s="78"/>
      <c r="AV976" s="78"/>
      <c r="AW976" s="78"/>
      <c r="AX976" s="78"/>
      <c r="AY976" s="78"/>
      <c r="AZ976" s="78"/>
      <c r="BA976" s="78"/>
      <c r="BB976" s="78"/>
      <c r="BC976" s="78"/>
    </row>
    <row r="977">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c r="AA977" s="78"/>
      <c r="AB977" s="78"/>
      <c r="AC977" s="78"/>
      <c r="AD977" s="78"/>
      <c r="AE977" s="78"/>
      <c r="AF977" s="78"/>
      <c r="AG977" s="78"/>
      <c r="AH977" s="78"/>
      <c r="AI977" s="78"/>
      <c r="AJ977" s="78"/>
      <c r="AK977" s="78"/>
      <c r="AL977" s="78"/>
      <c r="AM977" s="78"/>
      <c r="AN977" s="78"/>
      <c r="AO977" s="78"/>
      <c r="AP977" s="78"/>
      <c r="AQ977" s="78"/>
      <c r="AR977" s="78"/>
      <c r="AS977" s="78"/>
      <c r="AT977" s="78"/>
      <c r="AU977" s="78"/>
      <c r="AV977" s="78"/>
      <c r="AW977" s="78"/>
      <c r="AX977" s="78"/>
      <c r="AY977" s="78"/>
      <c r="AZ977" s="78"/>
      <c r="BA977" s="78"/>
      <c r="BB977" s="78"/>
      <c r="BC977" s="78"/>
    </row>
    <row r="978">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c r="AA978" s="78"/>
      <c r="AB978" s="78"/>
      <c r="AC978" s="78"/>
      <c r="AD978" s="78"/>
      <c r="AE978" s="78"/>
      <c r="AF978" s="78"/>
      <c r="AG978" s="78"/>
      <c r="AH978" s="78"/>
      <c r="AI978" s="78"/>
      <c r="AJ978" s="78"/>
      <c r="AK978" s="78"/>
      <c r="AL978" s="78"/>
      <c r="AM978" s="78"/>
      <c r="AN978" s="78"/>
      <c r="AO978" s="78"/>
      <c r="AP978" s="78"/>
      <c r="AQ978" s="78"/>
      <c r="AR978" s="78"/>
      <c r="AS978" s="78"/>
      <c r="AT978" s="78"/>
      <c r="AU978" s="78"/>
      <c r="AV978" s="78"/>
      <c r="AW978" s="78"/>
      <c r="AX978" s="78"/>
      <c r="AY978" s="78"/>
      <c r="AZ978" s="78"/>
      <c r="BA978" s="78"/>
      <c r="BB978" s="78"/>
      <c r="BC978" s="78"/>
    </row>
    <row r="979">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c r="AA979" s="78"/>
      <c r="AB979" s="78"/>
      <c r="AC979" s="78"/>
      <c r="AD979" s="78"/>
      <c r="AE979" s="78"/>
      <c r="AF979" s="78"/>
      <c r="AG979" s="78"/>
      <c r="AH979" s="78"/>
      <c r="AI979" s="78"/>
      <c r="AJ979" s="78"/>
      <c r="AK979" s="78"/>
      <c r="AL979" s="78"/>
      <c r="AM979" s="78"/>
      <c r="AN979" s="78"/>
      <c r="AO979" s="78"/>
      <c r="AP979" s="78"/>
      <c r="AQ979" s="78"/>
      <c r="AR979" s="78"/>
      <c r="AS979" s="78"/>
      <c r="AT979" s="78"/>
      <c r="AU979" s="78"/>
      <c r="AV979" s="78"/>
      <c r="AW979" s="78"/>
      <c r="AX979" s="78"/>
      <c r="AY979" s="78"/>
      <c r="AZ979" s="78"/>
      <c r="BA979" s="78"/>
      <c r="BB979" s="78"/>
      <c r="BC979" s="78"/>
    </row>
    <row r="980">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c r="AA980" s="78"/>
      <c r="AB980" s="78"/>
      <c r="AC980" s="78"/>
      <c r="AD980" s="78"/>
      <c r="AE980" s="78"/>
      <c r="AF980" s="78"/>
      <c r="AG980" s="78"/>
      <c r="AH980" s="78"/>
      <c r="AI980" s="78"/>
      <c r="AJ980" s="78"/>
      <c r="AK980" s="78"/>
      <c r="AL980" s="78"/>
      <c r="AM980" s="78"/>
      <c r="AN980" s="78"/>
      <c r="AO980" s="78"/>
      <c r="AP980" s="78"/>
      <c r="AQ980" s="78"/>
      <c r="AR980" s="78"/>
      <c r="AS980" s="78"/>
      <c r="AT980" s="78"/>
      <c r="AU980" s="78"/>
      <c r="AV980" s="78"/>
      <c r="AW980" s="78"/>
      <c r="AX980" s="78"/>
      <c r="AY980" s="78"/>
      <c r="AZ980" s="78"/>
      <c r="BA980" s="78"/>
      <c r="BB980" s="78"/>
      <c r="BC980" s="78"/>
    </row>
    <row r="981">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c r="AA981" s="78"/>
      <c r="AB981" s="78"/>
      <c r="AC981" s="78"/>
      <c r="AD981" s="78"/>
      <c r="AE981" s="78"/>
      <c r="AF981" s="78"/>
      <c r="AG981" s="78"/>
      <c r="AH981" s="78"/>
      <c r="AI981" s="78"/>
      <c r="AJ981" s="78"/>
      <c r="AK981" s="78"/>
      <c r="AL981" s="78"/>
      <c r="AM981" s="78"/>
      <c r="AN981" s="78"/>
      <c r="AO981" s="78"/>
      <c r="AP981" s="78"/>
      <c r="AQ981" s="78"/>
      <c r="AR981" s="78"/>
      <c r="AS981" s="78"/>
      <c r="AT981" s="78"/>
      <c r="AU981" s="78"/>
      <c r="AV981" s="78"/>
      <c r="AW981" s="78"/>
      <c r="AX981" s="78"/>
      <c r="AY981" s="78"/>
      <c r="AZ981" s="78"/>
      <c r="BA981" s="78"/>
      <c r="BB981" s="78"/>
      <c r="BC981" s="78"/>
    </row>
    <row r="982">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c r="AA982" s="78"/>
      <c r="AB982" s="78"/>
      <c r="AC982" s="78"/>
      <c r="AD982" s="78"/>
      <c r="AE982" s="78"/>
      <c r="AF982" s="78"/>
      <c r="AG982" s="78"/>
      <c r="AH982" s="78"/>
      <c r="AI982" s="78"/>
      <c r="AJ982" s="78"/>
      <c r="AK982" s="78"/>
      <c r="AL982" s="78"/>
      <c r="AM982" s="78"/>
      <c r="AN982" s="78"/>
      <c r="AO982" s="78"/>
      <c r="AP982" s="78"/>
      <c r="AQ982" s="78"/>
      <c r="AR982" s="78"/>
      <c r="AS982" s="78"/>
      <c r="AT982" s="78"/>
      <c r="AU982" s="78"/>
      <c r="AV982" s="78"/>
      <c r="AW982" s="78"/>
      <c r="AX982" s="78"/>
      <c r="AY982" s="78"/>
      <c r="AZ982" s="78"/>
      <c r="BA982" s="78"/>
      <c r="BB982" s="78"/>
      <c r="BC982" s="78"/>
    </row>
    <row r="983">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c r="AA983" s="78"/>
      <c r="AB983" s="78"/>
      <c r="AC983" s="78"/>
      <c r="AD983" s="78"/>
      <c r="AE983" s="78"/>
      <c r="AF983" s="78"/>
      <c r="AG983" s="78"/>
      <c r="AH983" s="78"/>
      <c r="AI983" s="78"/>
      <c r="AJ983" s="78"/>
      <c r="AK983" s="78"/>
      <c r="AL983" s="78"/>
      <c r="AM983" s="78"/>
      <c r="AN983" s="78"/>
      <c r="AO983" s="78"/>
      <c r="AP983" s="78"/>
      <c r="AQ983" s="78"/>
      <c r="AR983" s="78"/>
      <c r="AS983" s="78"/>
      <c r="AT983" s="78"/>
      <c r="AU983" s="78"/>
      <c r="AV983" s="78"/>
      <c r="AW983" s="78"/>
      <c r="AX983" s="78"/>
      <c r="AY983" s="78"/>
      <c r="AZ983" s="78"/>
      <c r="BA983" s="78"/>
      <c r="BB983" s="78"/>
      <c r="BC983" s="78"/>
    </row>
    <row r="984">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c r="AA984" s="78"/>
      <c r="AB984" s="78"/>
      <c r="AC984" s="78"/>
      <c r="AD984" s="78"/>
      <c r="AE984" s="78"/>
      <c r="AF984" s="78"/>
      <c r="AG984" s="78"/>
      <c r="AH984" s="78"/>
      <c r="AI984" s="78"/>
      <c r="AJ984" s="78"/>
      <c r="AK984" s="78"/>
      <c r="AL984" s="78"/>
      <c r="AM984" s="78"/>
      <c r="AN984" s="78"/>
      <c r="AO984" s="78"/>
      <c r="AP984" s="78"/>
      <c r="AQ984" s="78"/>
      <c r="AR984" s="78"/>
      <c r="AS984" s="78"/>
      <c r="AT984" s="78"/>
      <c r="AU984" s="78"/>
      <c r="AV984" s="78"/>
      <c r="AW984" s="78"/>
      <c r="AX984" s="78"/>
      <c r="AY984" s="78"/>
      <c r="AZ984" s="78"/>
      <c r="BA984" s="78"/>
      <c r="BB984" s="78"/>
      <c r="BC984" s="78"/>
    </row>
    <row r="985">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c r="AA985" s="78"/>
      <c r="AB985" s="78"/>
      <c r="AC985" s="78"/>
      <c r="AD985" s="78"/>
      <c r="AE985" s="78"/>
      <c r="AF985" s="78"/>
      <c r="AG985" s="78"/>
      <c r="AH985" s="78"/>
      <c r="AI985" s="78"/>
      <c r="AJ985" s="78"/>
      <c r="AK985" s="78"/>
      <c r="AL985" s="78"/>
      <c r="AM985" s="78"/>
      <c r="AN985" s="78"/>
      <c r="AO985" s="78"/>
      <c r="AP985" s="78"/>
      <c r="AQ985" s="78"/>
      <c r="AR985" s="78"/>
      <c r="AS985" s="78"/>
      <c r="AT985" s="78"/>
      <c r="AU985" s="78"/>
      <c r="AV985" s="78"/>
      <c r="AW985" s="78"/>
      <c r="AX985" s="78"/>
      <c r="AY985" s="78"/>
      <c r="AZ985" s="78"/>
      <c r="BA985" s="78"/>
      <c r="BB985" s="78"/>
      <c r="BC985" s="78"/>
    </row>
    <row r="986">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c r="AA986" s="78"/>
      <c r="AB986" s="78"/>
      <c r="AC986" s="78"/>
      <c r="AD986" s="78"/>
      <c r="AE986" s="78"/>
      <c r="AF986" s="78"/>
      <c r="AG986" s="78"/>
      <c r="AH986" s="78"/>
      <c r="AI986" s="78"/>
      <c r="AJ986" s="78"/>
      <c r="AK986" s="78"/>
      <c r="AL986" s="78"/>
      <c r="AM986" s="78"/>
      <c r="AN986" s="78"/>
      <c r="AO986" s="78"/>
      <c r="AP986" s="78"/>
      <c r="AQ986" s="78"/>
      <c r="AR986" s="78"/>
      <c r="AS986" s="78"/>
      <c r="AT986" s="78"/>
      <c r="AU986" s="78"/>
      <c r="AV986" s="78"/>
      <c r="AW986" s="78"/>
      <c r="AX986" s="78"/>
      <c r="AY986" s="78"/>
      <c r="AZ986" s="78"/>
      <c r="BA986" s="78"/>
      <c r="BB986" s="78"/>
      <c r="BC986" s="78"/>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5.13" defaultRowHeight="15.0"/>
  <cols>
    <col customWidth="1" min="1" max="1" width="17.88"/>
    <col customWidth="1" min="2" max="2" width="11.63"/>
    <col customWidth="1" min="3" max="3" width="11.38"/>
    <col customWidth="1" min="4" max="4" width="9.88"/>
    <col customWidth="1" min="5" max="5" width="11.75"/>
    <col customWidth="1" min="6" max="6" width="3.5"/>
    <col customWidth="1" min="8" max="8" width="12.0"/>
    <col customWidth="1" min="9" max="9" width="10.63"/>
    <col customWidth="1" min="10" max="10" width="9.88"/>
    <col customWidth="1" min="11" max="11" width="9.0"/>
    <col customWidth="1" min="12" max="12" width="2.75"/>
    <col customWidth="1" min="13" max="13" width="14.63"/>
    <col customWidth="1" min="14" max="14" width="10.63"/>
    <col customWidth="1" min="15" max="15" width="9.88"/>
    <col customWidth="1" min="16" max="16" width="9.25"/>
    <col customWidth="1" min="17" max="17" width="3.88"/>
    <col customWidth="1" min="18" max="18" width="9.38"/>
    <col customWidth="1" min="19" max="19" width="9.25"/>
    <col customWidth="1" min="20" max="20" width="9.13"/>
    <col customWidth="1" min="21" max="21" width="10.5"/>
    <col customWidth="1" min="22" max="22" width="4.13"/>
    <col customWidth="1" min="23" max="23" width="9.13"/>
    <col customWidth="1" min="24" max="24" width="10.0"/>
    <col customWidth="1" min="25" max="25" width="9.13"/>
    <col customWidth="1" min="26" max="26" width="7.75"/>
    <col customWidth="1" min="27" max="27" width="4.5"/>
    <col customWidth="1" min="28" max="28" width="8.63"/>
    <col customWidth="1" min="29" max="29" width="12.38"/>
    <col customWidth="1" min="30" max="30" width="8.5"/>
    <col customWidth="1" min="31" max="31" width="8.75"/>
    <col customWidth="1" min="32" max="32" width="4.63"/>
    <col customWidth="1" min="33" max="33" width="9.38"/>
    <col customWidth="1" min="34" max="34" width="8.38"/>
    <col customWidth="1" min="35" max="35" width="8.0"/>
    <col customWidth="1" min="36" max="36" width="8.5"/>
    <col customWidth="1" min="37" max="37" width="4.88"/>
    <col customWidth="1" min="38" max="38" width="9.38"/>
    <col customWidth="1" min="39" max="39" width="10.38"/>
    <col customWidth="1" min="40" max="40" width="7.88"/>
    <col customWidth="1" min="41" max="41" width="7.75"/>
    <col customWidth="1" min="42" max="42" width="3.25"/>
    <col customWidth="1" min="43" max="43" width="9.25"/>
    <col customWidth="1" min="44" max="44" width="10.38"/>
    <col customWidth="1" min="45" max="45" width="9.63"/>
    <col customWidth="1" min="46" max="46" width="10.25"/>
    <col customWidth="1" min="47" max="47" width="5.75"/>
    <col customWidth="1" min="48" max="48" width="9.88"/>
    <col customWidth="1" min="49" max="49" width="8.0"/>
    <col customWidth="1" min="50" max="50" width="8.63"/>
  </cols>
  <sheetData>
    <row r="1" ht="48.0" customHeight="1">
      <c r="A1" s="1"/>
      <c r="B1" s="2" t="s">
        <v>679</v>
      </c>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c r="AT1" s="125"/>
      <c r="AU1" s="125"/>
      <c r="AV1" s="125"/>
      <c r="AW1" s="125"/>
      <c r="AX1" s="125"/>
      <c r="AY1" s="126"/>
      <c r="AZ1" s="126"/>
      <c r="BA1" s="126"/>
      <c r="BB1" s="126"/>
      <c r="BC1" s="126"/>
    </row>
    <row r="2">
      <c r="A2" s="127" t="s">
        <v>2</v>
      </c>
      <c r="B2" s="128" t="s">
        <v>570</v>
      </c>
      <c r="C2" s="128" t="s">
        <v>571</v>
      </c>
      <c r="D2" s="128" t="s">
        <v>572</v>
      </c>
      <c r="E2" s="128" t="s">
        <v>573</v>
      </c>
      <c r="F2" s="128"/>
      <c r="G2" s="128" t="s">
        <v>680</v>
      </c>
      <c r="H2" s="128" t="s">
        <v>681</v>
      </c>
      <c r="I2" s="128" t="s">
        <v>682</v>
      </c>
      <c r="J2" s="128" t="s">
        <v>683</v>
      </c>
      <c r="K2" s="128" t="s">
        <v>684</v>
      </c>
      <c r="L2" s="128"/>
      <c r="M2" s="128" t="s">
        <v>579</v>
      </c>
      <c r="N2" s="128" t="s">
        <v>580</v>
      </c>
      <c r="O2" s="128" t="s">
        <v>581</v>
      </c>
      <c r="P2" s="128" t="s">
        <v>582</v>
      </c>
      <c r="Q2" s="128"/>
      <c r="R2" s="128" t="s">
        <v>583</v>
      </c>
      <c r="S2" s="128" t="s">
        <v>584</v>
      </c>
      <c r="T2" s="128" t="s">
        <v>585</v>
      </c>
      <c r="U2" s="128" t="s">
        <v>586</v>
      </c>
      <c r="V2" s="128"/>
      <c r="W2" s="128" t="s">
        <v>587</v>
      </c>
      <c r="X2" s="128" t="s">
        <v>588</v>
      </c>
      <c r="Y2" s="128" t="s">
        <v>589</v>
      </c>
      <c r="Z2" s="128" t="s">
        <v>590</v>
      </c>
      <c r="AA2" s="128"/>
      <c r="AB2" s="128" t="s">
        <v>591</v>
      </c>
      <c r="AC2" s="128" t="s">
        <v>592</v>
      </c>
      <c r="AD2" s="128" t="s">
        <v>593</v>
      </c>
      <c r="AE2" s="128" t="s">
        <v>594</v>
      </c>
      <c r="AF2" s="128"/>
      <c r="AG2" s="128" t="s">
        <v>595</v>
      </c>
      <c r="AH2" s="128" t="s">
        <v>596</v>
      </c>
      <c r="AI2" s="128" t="s">
        <v>597</v>
      </c>
      <c r="AJ2" s="128" t="s">
        <v>598</v>
      </c>
      <c r="AK2" s="128"/>
      <c r="AL2" s="128" t="s">
        <v>599</v>
      </c>
      <c r="AM2" s="128" t="s">
        <v>600</v>
      </c>
      <c r="AN2" s="128" t="s">
        <v>601</v>
      </c>
      <c r="AO2" s="128" t="s">
        <v>602</v>
      </c>
      <c r="AP2" s="128"/>
      <c r="AQ2" s="128" t="s">
        <v>603</v>
      </c>
      <c r="AR2" s="128" t="s">
        <v>604</v>
      </c>
      <c r="AS2" s="128" t="s">
        <v>605</v>
      </c>
      <c r="AT2" s="128" t="s">
        <v>606</v>
      </c>
      <c r="AU2" s="128"/>
      <c r="AV2" s="128" t="s">
        <v>607</v>
      </c>
      <c r="AW2" s="128" t="s">
        <v>608</v>
      </c>
      <c r="AX2" s="128" t="s">
        <v>609</v>
      </c>
      <c r="AY2" s="129"/>
      <c r="AZ2" s="129"/>
      <c r="BA2" s="129"/>
      <c r="BB2" s="129"/>
      <c r="BC2" s="129"/>
    </row>
    <row r="3">
      <c r="A3" s="130" t="s">
        <v>685</v>
      </c>
      <c r="B3" s="131"/>
      <c r="C3" s="131"/>
      <c r="D3" s="131"/>
      <c r="E3" s="131"/>
      <c r="F3" s="131"/>
      <c r="G3" s="132">
        <v>790110.0</v>
      </c>
      <c r="H3" s="133">
        <v>0.1106</v>
      </c>
      <c r="I3" s="131"/>
      <c r="J3" s="131"/>
      <c r="K3" s="131"/>
      <c r="L3" s="131"/>
      <c r="M3" s="134">
        <v>0.1073</v>
      </c>
      <c r="N3" s="131"/>
      <c r="O3" s="131"/>
      <c r="P3" s="131"/>
      <c r="Q3" s="131"/>
      <c r="R3" s="133">
        <v>6.0E-4</v>
      </c>
      <c r="S3" s="131"/>
      <c r="T3" s="131"/>
      <c r="U3" s="131"/>
      <c r="V3" s="131"/>
      <c r="W3" s="133">
        <v>0.171</v>
      </c>
      <c r="X3" s="131"/>
      <c r="Y3" s="131"/>
      <c r="Z3" s="131"/>
      <c r="AA3" s="131"/>
      <c r="AB3" s="133">
        <v>0.1771</v>
      </c>
      <c r="AC3" s="131"/>
      <c r="AD3" s="131"/>
      <c r="AE3" s="131"/>
      <c r="AF3" s="131"/>
      <c r="AG3" s="133">
        <v>0.1739</v>
      </c>
      <c r="AH3" s="131"/>
      <c r="AI3" s="131"/>
      <c r="AJ3" s="131"/>
      <c r="AK3" s="131"/>
      <c r="AL3" s="133">
        <v>0.1547</v>
      </c>
      <c r="AM3" s="131"/>
      <c r="AN3" s="131"/>
      <c r="AO3" s="131"/>
      <c r="AP3" s="131"/>
      <c r="AQ3" s="133">
        <v>0.1049</v>
      </c>
      <c r="AR3" s="131"/>
      <c r="AS3" s="131"/>
      <c r="AT3" s="131"/>
      <c r="AU3" s="131"/>
      <c r="AV3" s="131"/>
      <c r="AW3" s="131"/>
      <c r="AX3" s="131"/>
      <c r="AY3" s="135" t="str">
        <f>sum(H3:AX3)</f>
        <v>100.01%</v>
      </c>
      <c r="AZ3" s="131"/>
      <c r="BA3" s="131"/>
      <c r="BB3" s="131"/>
      <c r="BC3" s="131"/>
    </row>
    <row r="4">
      <c r="A4" s="136" t="s">
        <v>686</v>
      </c>
      <c r="B4" s="126"/>
      <c r="C4" s="126"/>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row>
    <row r="5">
      <c r="A5" s="12" t="s">
        <v>610</v>
      </c>
      <c r="C5" s="16">
        <v>0.05</v>
      </c>
      <c r="D5" s="79"/>
      <c r="G5" s="18">
        <v>39393.0</v>
      </c>
      <c r="H5" s="79" t="str">
        <f t="shared" ref="H5:H6" si="3">0.1106*G5</f>
        <v>4357</v>
      </c>
      <c r="I5" t="str">
        <f t="shared" ref="I5:I10" si="4">H5*C5</f>
        <v>217.84329</v>
      </c>
      <c r="J5" t="str">
        <f t="shared" ref="J5:K5" si="1">$H5*D5</f>
        <v>0</v>
      </c>
      <c r="K5" t="str">
        <f t="shared" si="1"/>
        <v>0</v>
      </c>
      <c r="M5" t="str">
        <f t="shared" ref="M5:M6" si="5">0.1073*G5</f>
        <v>4226.8689</v>
      </c>
      <c r="N5" t="str">
        <f t="shared" ref="N5:N10" si="6">C5*M5</f>
        <v>211.343445</v>
      </c>
      <c r="O5" t="str">
        <f t="shared" ref="O5:O33" si="7">D5*M5</f>
        <v>0</v>
      </c>
      <c r="P5" t="str">
        <f t="shared" ref="P5:P11" si="8">E5*M5</f>
        <v>0</v>
      </c>
      <c r="R5" t="str">
        <f t="shared" ref="R5:R6" si="9">0.0006*G5</f>
        <v>23.6358</v>
      </c>
      <c r="S5" t="str">
        <f t="shared" ref="S5:S10" si="10">C5*R5</f>
        <v>1.18179</v>
      </c>
      <c r="T5" t="str">
        <f t="shared" ref="T5:T33" si="11">D5*R5</f>
        <v>0</v>
      </c>
      <c r="U5" t="str">
        <f t="shared" ref="U5:U11" si="12">E5*R5</f>
        <v>0</v>
      </c>
      <c r="W5" t="str">
        <f t="shared" ref="W5:W6" si="13">0.171*G5</f>
        <v>6736.203</v>
      </c>
      <c r="X5" t="str">
        <f t="shared" ref="X5:X10" si="14">C5*W5</f>
        <v>336.81015</v>
      </c>
      <c r="Y5" t="str">
        <f t="shared" ref="Y5:Y33" si="15">D5*W5</f>
        <v>0</v>
      </c>
      <c r="Z5" t="str">
        <f t="shared" ref="Z5:Z11" si="16">E5*W5</f>
        <v>0</v>
      </c>
      <c r="AB5" t="str">
        <f t="shared" ref="AB5:AB6" si="17">0.1771*G5</f>
        <v>6976.5003</v>
      </c>
      <c r="AC5" t="str">
        <f t="shared" ref="AC5:AC10" si="18">C5*AB5</f>
        <v>348.825015</v>
      </c>
      <c r="AD5" t="str">
        <f t="shared" ref="AD5:AD33" si="19">D5*AB5</f>
        <v>0</v>
      </c>
      <c r="AE5" t="str">
        <f t="shared" ref="AE5:AE11" si="20">E5*AB5</f>
        <v>0</v>
      </c>
      <c r="AG5" t="str">
        <f t="shared" ref="AG5:AG6" si="21">0.1739*G5</f>
        <v>6850.4427</v>
      </c>
      <c r="AH5" t="str">
        <f t="shared" ref="AH5:AH10" si="22">C5*AG5</f>
        <v>342.522135</v>
      </c>
      <c r="AI5" t="str">
        <f t="shared" ref="AI5:AI33" si="23">D5*AG5</f>
        <v>0</v>
      </c>
      <c r="AJ5" t="str">
        <f t="shared" ref="AJ5:AJ11" si="24">E5*AG5</f>
        <v>0</v>
      </c>
      <c r="AL5" t="str">
        <f t="shared" ref="AL5:AL6" si="25">0.1547*G5</f>
        <v>6094.0971</v>
      </c>
      <c r="AM5" t="str">
        <f t="shared" ref="AM5:AM10" si="26">C5*AL5</f>
        <v>304.704855</v>
      </c>
      <c r="AN5" t="str">
        <f t="shared" ref="AN5:AN33" si="27">D5*AL5</f>
        <v>0</v>
      </c>
      <c r="AO5" t="str">
        <f t="shared" ref="AO5:AO11" si="28">E5*AL5</f>
        <v>0</v>
      </c>
      <c r="AQ5" t="str">
        <f t="shared" ref="AQ5:AQ6" si="29">0.1049*G5</f>
        <v>4132.3257</v>
      </c>
      <c r="AR5" t="str">
        <f t="shared" ref="AR5:AR10" si="30">C5*AQ5</f>
        <v>206.616285</v>
      </c>
      <c r="AS5" t="str">
        <f t="shared" ref="AS5:AS33" si="31">D5*AQ5</f>
        <v>0</v>
      </c>
      <c r="AT5" t="str">
        <f t="shared" ref="AT5:AT11" si="32">E5*AQ5</f>
        <v>0</v>
      </c>
      <c r="AV5" t="str">
        <f t="shared" ref="AV5:AX5" si="2">sum(AR5,AM5,AH5,AC5,X5,S5,N5,I5)</f>
        <v>1969.846965</v>
      </c>
      <c r="AW5" t="str">
        <f t="shared" si="2"/>
        <v>0</v>
      </c>
      <c r="AX5" t="str">
        <f t="shared" si="2"/>
        <v>0</v>
      </c>
    </row>
    <row r="6">
      <c r="A6" s="12" t="s">
        <v>28</v>
      </c>
      <c r="C6" t="str">
        <f>98/1000</f>
        <v>0.098</v>
      </c>
      <c r="D6" s="79"/>
      <c r="E6" s="16" t="str">
        <f>(192128/7160)/1000</f>
        <v>0.02683351955</v>
      </c>
      <c r="G6" s="16">
        <v>7160.0</v>
      </c>
      <c r="H6" s="79" t="str">
        <f t="shared" si="3"/>
        <v>792</v>
      </c>
      <c r="I6" t="str">
        <f t="shared" si="4"/>
        <v>77.605808</v>
      </c>
      <c r="J6" t="str">
        <f t="shared" ref="J6:J33" si="34">H6*D6</f>
        <v>0</v>
      </c>
      <c r="K6" t="str">
        <f t="shared" ref="K6:K11" si="35">$H6*E6</f>
        <v>21.2493568</v>
      </c>
      <c r="M6" t="str">
        <f t="shared" si="5"/>
        <v>768.268</v>
      </c>
      <c r="N6" t="str">
        <f t="shared" si="6"/>
        <v>75.290264</v>
      </c>
      <c r="O6" t="str">
        <f t="shared" si="7"/>
        <v>0</v>
      </c>
      <c r="P6" t="str">
        <f t="shared" si="8"/>
        <v>20.6153344</v>
      </c>
      <c r="R6" t="str">
        <f t="shared" si="9"/>
        <v>4.296</v>
      </c>
      <c r="S6" t="str">
        <f t="shared" si="10"/>
        <v>0.421008</v>
      </c>
      <c r="T6" t="str">
        <f t="shared" si="11"/>
        <v>0</v>
      </c>
      <c r="U6" t="str">
        <f t="shared" si="12"/>
        <v>0.1152768</v>
      </c>
      <c r="W6" t="str">
        <f t="shared" si="13"/>
        <v>1224.36</v>
      </c>
      <c r="X6" t="str">
        <f t="shared" si="14"/>
        <v>119.98728</v>
      </c>
      <c r="Y6" t="str">
        <f t="shared" si="15"/>
        <v>0</v>
      </c>
      <c r="Z6" t="str">
        <f t="shared" si="16"/>
        <v>32.853888</v>
      </c>
      <c r="AB6" t="str">
        <f t="shared" si="17"/>
        <v>1268.036</v>
      </c>
      <c r="AC6" t="str">
        <f t="shared" si="18"/>
        <v>124.267528</v>
      </c>
      <c r="AD6" t="str">
        <f t="shared" si="19"/>
        <v>0</v>
      </c>
      <c r="AE6" t="str">
        <f t="shared" si="20"/>
        <v>34.0258688</v>
      </c>
      <c r="AG6" t="str">
        <f t="shared" si="21"/>
        <v>1245.124</v>
      </c>
      <c r="AH6" t="str">
        <f t="shared" si="22"/>
        <v>122.022152</v>
      </c>
      <c r="AI6" t="str">
        <f t="shared" si="23"/>
        <v>0</v>
      </c>
      <c r="AJ6" t="str">
        <f t="shared" si="24"/>
        <v>33.4110592</v>
      </c>
      <c r="AL6" t="str">
        <f t="shared" si="25"/>
        <v>1107.652</v>
      </c>
      <c r="AM6" t="str">
        <f t="shared" si="26"/>
        <v>108.549896</v>
      </c>
      <c r="AN6" t="str">
        <f t="shared" si="27"/>
        <v>0</v>
      </c>
      <c r="AO6" t="str">
        <f t="shared" si="28"/>
        <v>29.7222016</v>
      </c>
      <c r="AQ6" t="str">
        <f t="shared" si="29"/>
        <v>751.084</v>
      </c>
      <c r="AR6" t="str">
        <f t="shared" si="30"/>
        <v>73.606232</v>
      </c>
      <c r="AS6" t="str">
        <f t="shared" si="31"/>
        <v>0</v>
      </c>
      <c r="AT6" t="str">
        <f t="shared" si="32"/>
        <v>20.1542272</v>
      </c>
      <c r="AV6" t="str">
        <f t="shared" ref="AV6:AX6" si="33">sum(AR6,AM6,AH6,AC6,X6,S6,N6,I6)</f>
        <v>701.750168</v>
      </c>
      <c r="AW6" t="str">
        <f t="shared" si="33"/>
        <v>0</v>
      </c>
      <c r="AX6" t="str">
        <f t="shared" si="33"/>
        <v>192.1472128</v>
      </c>
    </row>
    <row r="7">
      <c r="A7" s="12" t="s">
        <v>36</v>
      </c>
      <c r="C7" s="19" t="str">
        <f>4590/42.5</f>
        <v>108</v>
      </c>
      <c r="D7" s="79"/>
      <c r="G7" s="16">
        <v>42.5</v>
      </c>
      <c r="H7" s="79" t="str">
        <f>0.08*G7</f>
        <v>3</v>
      </c>
      <c r="I7" t="str">
        <f t="shared" si="4"/>
        <v>367.2</v>
      </c>
      <c r="J7" t="str">
        <f t="shared" si="34"/>
        <v>0</v>
      </c>
      <c r="K7" t="str">
        <f t="shared" si="35"/>
        <v>0</v>
      </c>
      <c r="M7" t="str">
        <f>0.1*G7</f>
        <v>4.25</v>
      </c>
      <c r="N7" t="str">
        <f t="shared" si="6"/>
        <v>459</v>
      </c>
      <c r="O7" t="str">
        <f t="shared" si="7"/>
        <v>0</v>
      </c>
      <c r="P7" t="str">
        <f t="shared" si="8"/>
        <v>0</v>
      </c>
      <c r="R7" t="str">
        <f t="shared" ref="R7:R8" si="37">0*G7</f>
        <v>0</v>
      </c>
      <c r="S7" t="str">
        <f t="shared" si="10"/>
        <v>0</v>
      </c>
      <c r="T7" t="str">
        <f t="shared" si="11"/>
        <v>0</v>
      </c>
      <c r="U7" t="str">
        <f t="shared" si="12"/>
        <v>0</v>
      </c>
      <c r="W7" t="str">
        <f>0*G7</f>
        <v>0</v>
      </c>
      <c r="X7" t="str">
        <f t="shared" si="14"/>
        <v>0</v>
      </c>
      <c r="Y7" t="str">
        <f t="shared" si="15"/>
        <v>0</v>
      </c>
      <c r="Z7" t="str">
        <f t="shared" si="16"/>
        <v>0</v>
      </c>
      <c r="AB7" t="str">
        <f>0.19*G7</f>
        <v>8.075</v>
      </c>
      <c r="AC7" t="str">
        <f t="shared" si="18"/>
        <v>872.1</v>
      </c>
      <c r="AD7" t="str">
        <f t="shared" si="19"/>
        <v>0</v>
      </c>
      <c r="AE7" t="str">
        <f t="shared" si="20"/>
        <v>0</v>
      </c>
      <c r="AG7" t="str">
        <f>0.24*G7</f>
        <v>10.2</v>
      </c>
      <c r="AH7" t="str">
        <f t="shared" si="22"/>
        <v>1101.6</v>
      </c>
      <c r="AI7" t="str">
        <f t="shared" si="23"/>
        <v>0</v>
      </c>
      <c r="AJ7" t="str">
        <f t="shared" si="24"/>
        <v>0</v>
      </c>
      <c r="AL7" t="str">
        <f>0.13*G7</f>
        <v>5.525</v>
      </c>
      <c r="AM7" t="str">
        <f t="shared" si="26"/>
        <v>596.7</v>
      </c>
      <c r="AN7" t="str">
        <f t="shared" si="27"/>
        <v>0</v>
      </c>
      <c r="AO7" t="str">
        <f t="shared" si="28"/>
        <v>0</v>
      </c>
      <c r="AQ7" t="str">
        <f>0.26*G7</f>
        <v>11.05</v>
      </c>
      <c r="AR7" t="str">
        <f t="shared" si="30"/>
        <v>1193.4</v>
      </c>
      <c r="AS7" t="str">
        <f t="shared" si="31"/>
        <v>0</v>
      </c>
      <c r="AT7" t="str">
        <f t="shared" si="32"/>
        <v>0</v>
      </c>
      <c r="AV7" t="str">
        <f t="shared" ref="AV7:AX7" si="36">sum(AR7,AM7,AH7,AC7,X7,S7,N7,I7)</f>
        <v>4590</v>
      </c>
      <c r="AW7" t="str">
        <f t="shared" si="36"/>
        <v>0</v>
      </c>
      <c r="AX7" t="str">
        <f t="shared" si="36"/>
        <v>0</v>
      </c>
    </row>
    <row r="8">
      <c r="A8" s="12" t="s">
        <v>42</v>
      </c>
      <c r="C8" s="19" t="str">
        <f>23880/200</f>
        <v>119.4</v>
      </c>
      <c r="D8" s="79"/>
      <c r="G8" s="16">
        <v>200.0</v>
      </c>
      <c r="H8" s="79" t="str">
        <f>0*G8</f>
        <v>0</v>
      </c>
      <c r="I8" t="str">
        <f t="shared" si="4"/>
        <v>0</v>
      </c>
      <c r="J8" t="str">
        <f t="shared" si="34"/>
        <v>0</v>
      </c>
      <c r="K8" t="str">
        <f t="shared" si="35"/>
        <v>0</v>
      </c>
      <c r="M8" t="str">
        <f>0.19*G8</f>
        <v>38</v>
      </c>
      <c r="N8" t="str">
        <f t="shared" si="6"/>
        <v>4537.2</v>
      </c>
      <c r="O8" t="str">
        <f t="shared" si="7"/>
        <v>0</v>
      </c>
      <c r="P8" t="str">
        <f t="shared" si="8"/>
        <v>0</v>
      </c>
      <c r="R8" t="str">
        <f t="shared" si="37"/>
        <v>0</v>
      </c>
      <c r="S8" t="str">
        <f t="shared" si="10"/>
        <v>0</v>
      </c>
      <c r="T8" t="str">
        <f t="shared" si="11"/>
        <v>0</v>
      </c>
      <c r="U8" t="str">
        <f t="shared" si="12"/>
        <v>0</v>
      </c>
      <c r="W8" t="str">
        <f>0.16*G8</f>
        <v>32</v>
      </c>
      <c r="X8" t="str">
        <f t="shared" si="14"/>
        <v>3820.8</v>
      </c>
      <c r="Y8" t="str">
        <f t="shared" si="15"/>
        <v>0</v>
      </c>
      <c r="Z8" t="str">
        <f t="shared" si="16"/>
        <v>0</v>
      </c>
      <c r="AB8" t="str">
        <f>0.18*G8</f>
        <v>36</v>
      </c>
      <c r="AC8" t="str">
        <f t="shared" si="18"/>
        <v>4298.4</v>
      </c>
      <c r="AD8" t="str">
        <f t="shared" si="19"/>
        <v>0</v>
      </c>
      <c r="AE8" t="str">
        <f t="shared" si="20"/>
        <v>0</v>
      </c>
      <c r="AG8" t="str">
        <f>0.26*G8</f>
        <v>52</v>
      </c>
      <c r="AH8" t="str">
        <f t="shared" si="22"/>
        <v>6208.8</v>
      </c>
      <c r="AI8" t="str">
        <f t="shared" si="23"/>
        <v>0</v>
      </c>
      <c r="AJ8" t="str">
        <f t="shared" si="24"/>
        <v>0</v>
      </c>
      <c r="AL8" t="str">
        <f>0.21*G8</f>
        <v>42</v>
      </c>
      <c r="AM8" t="str">
        <f t="shared" si="26"/>
        <v>5014.8</v>
      </c>
      <c r="AN8" t="str">
        <f t="shared" si="27"/>
        <v>0</v>
      </c>
      <c r="AO8" t="str">
        <f t="shared" si="28"/>
        <v>0</v>
      </c>
      <c r="AQ8" t="str">
        <f>0*G8</f>
        <v>0</v>
      </c>
      <c r="AR8" t="str">
        <f t="shared" si="30"/>
        <v>0</v>
      </c>
      <c r="AS8" t="str">
        <f t="shared" si="31"/>
        <v>0</v>
      </c>
      <c r="AT8" t="str">
        <f t="shared" si="32"/>
        <v>0</v>
      </c>
      <c r="AV8" t="str">
        <f t="shared" ref="AV8:AX8" si="38">sum(AR8,AM8,AH8,AC8,X8,S8,N8,I8)</f>
        <v>23880</v>
      </c>
      <c r="AW8" t="str">
        <f t="shared" si="38"/>
        <v>0</v>
      </c>
      <c r="AX8" t="str">
        <f t="shared" si="38"/>
        <v>0</v>
      </c>
    </row>
    <row r="9">
      <c r="A9" s="11" t="s">
        <v>48</v>
      </c>
      <c r="D9" s="79"/>
      <c r="E9" s="18" t="str">
        <f>24864/518</f>
        <v>48</v>
      </c>
      <c r="G9" s="16">
        <v>518.0</v>
      </c>
      <c r="H9" s="79" t="str">
        <f t="shared" ref="H9:H20" si="40">0.1106*G9</f>
        <v>57</v>
      </c>
      <c r="I9" t="str">
        <f t="shared" si="4"/>
        <v>0</v>
      </c>
      <c r="J9" t="str">
        <f t="shared" si="34"/>
        <v>0</v>
      </c>
      <c r="K9" t="str">
        <f t="shared" si="35"/>
        <v>2749.9584</v>
      </c>
      <c r="M9" t="str">
        <f t="shared" ref="M9:M20" si="41">0.1073*G9</f>
        <v>55.5814</v>
      </c>
      <c r="N9" t="str">
        <f t="shared" si="6"/>
        <v>0</v>
      </c>
      <c r="O9" t="str">
        <f t="shared" si="7"/>
        <v>0</v>
      </c>
      <c r="P9" t="str">
        <f t="shared" si="8"/>
        <v>2667.9072</v>
      </c>
      <c r="R9" t="str">
        <f t="shared" ref="R9:R20" si="42">0.0006*G9</f>
        <v>0.3108</v>
      </c>
      <c r="S9" t="str">
        <f t="shared" si="10"/>
        <v>0</v>
      </c>
      <c r="T9" t="str">
        <f t="shared" si="11"/>
        <v>0</v>
      </c>
      <c r="U9" t="str">
        <f t="shared" si="12"/>
        <v>14.9184</v>
      </c>
      <c r="W9" t="str">
        <f t="shared" ref="W9:W20" si="43">0.171*G9</f>
        <v>88.578</v>
      </c>
      <c r="X9" t="str">
        <f t="shared" si="14"/>
        <v>0</v>
      </c>
      <c r="Y9" t="str">
        <f t="shared" si="15"/>
        <v>0</v>
      </c>
      <c r="Z9" t="str">
        <f t="shared" si="16"/>
        <v>4251.744</v>
      </c>
      <c r="AB9" t="str">
        <f t="shared" ref="AB9:AB20" si="44">0.1771*G9</f>
        <v>91.7378</v>
      </c>
      <c r="AC9" t="str">
        <f t="shared" si="18"/>
        <v>0</v>
      </c>
      <c r="AD9" t="str">
        <f t="shared" si="19"/>
        <v>0</v>
      </c>
      <c r="AE9" t="str">
        <f t="shared" si="20"/>
        <v>4403.4144</v>
      </c>
      <c r="AG9" t="str">
        <f t="shared" ref="AG9:AG20" si="45">0.1739*G9</f>
        <v>90.0802</v>
      </c>
      <c r="AH9" t="str">
        <f t="shared" si="22"/>
        <v>0</v>
      </c>
      <c r="AI9" t="str">
        <f t="shared" si="23"/>
        <v>0</v>
      </c>
      <c r="AJ9" t="str">
        <f t="shared" si="24"/>
        <v>4323.8496</v>
      </c>
      <c r="AL9" t="str">
        <f t="shared" ref="AL9:AL20" si="46">0.1547*G9</f>
        <v>80.1346</v>
      </c>
      <c r="AM9" t="str">
        <f t="shared" si="26"/>
        <v>0</v>
      </c>
      <c r="AN9" t="str">
        <f t="shared" si="27"/>
        <v>0</v>
      </c>
      <c r="AO9" t="str">
        <f t="shared" si="28"/>
        <v>3846.4608</v>
      </c>
      <c r="AQ9" t="str">
        <f t="shared" ref="AQ9:AQ20" si="47">0.1049*G9</f>
        <v>54.3382</v>
      </c>
      <c r="AR9" t="str">
        <f t="shared" si="30"/>
        <v>0</v>
      </c>
      <c r="AS9" t="str">
        <f t="shared" si="31"/>
        <v>0</v>
      </c>
      <c r="AT9" t="str">
        <f t="shared" si="32"/>
        <v>2608.2336</v>
      </c>
      <c r="AV9" t="str">
        <f t="shared" ref="AV9:AX9" si="39">sum(AR9,AM9,AH9,AC9,X9,S9,N9,I9)</f>
        <v>0</v>
      </c>
      <c r="AW9" t="str">
        <f t="shared" si="39"/>
        <v>0</v>
      </c>
      <c r="AX9" t="str">
        <f t="shared" si="39"/>
        <v>24866.4864</v>
      </c>
    </row>
    <row r="10">
      <c r="A10" s="11" t="s">
        <v>53</v>
      </c>
      <c r="D10" s="79"/>
      <c r="E10" s="16">
        <v>1.4</v>
      </c>
      <c r="H10" s="79" t="str">
        <f t="shared" si="40"/>
        <v>0</v>
      </c>
      <c r="I10" t="str">
        <f t="shared" si="4"/>
        <v>0</v>
      </c>
      <c r="J10" t="str">
        <f t="shared" si="34"/>
        <v>0</v>
      </c>
      <c r="K10" t="str">
        <f t="shared" si="35"/>
        <v>0</v>
      </c>
      <c r="M10" t="str">
        <f t="shared" si="41"/>
        <v>0</v>
      </c>
      <c r="N10" t="str">
        <f t="shared" si="6"/>
        <v>0</v>
      </c>
      <c r="O10" t="str">
        <f t="shared" si="7"/>
        <v>0</v>
      </c>
      <c r="P10" t="str">
        <f t="shared" si="8"/>
        <v>0</v>
      </c>
      <c r="R10" t="str">
        <f t="shared" si="42"/>
        <v>0</v>
      </c>
      <c r="S10" t="str">
        <f t="shared" si="10"/>
        <v>0</v>
      </c>
      <c r="T10" t="str">
        <f t="shared" si="11"/>
        <v>0</v>
      </c>
      <c r="U10" t="str">
        <f t="shared" si="12"/>
        <v>0</v>
      </c>
      <c r="W10" t="str">
        <f t="shared" si="43"/>
        <v>0</v>
      </c>
      <c r="X10" t="str">
        <f t="shared" si="14"/>
        <v>0</v>
      </c>
      <c r="Y10" t="str">
        <f t="shared" si="15"/>
        <v>0</v>
      </c>
      <c r="Z10" t="str">
        <f t="shared" si="16"/>
        <v>0</v>
      </c>
      <c r="AB10" t="str">
        <f t="shared" si="44"/>
        <v>0</v>
      </c>
      <c r="AC10" t="str">
        <f t="shared" si="18"/>
        <v>0</v>
      </c>
      <c r="AD10" t="str">
        <f t="shared" si="19"/>
        <v>0</v>
      </c>
      <c r="AE10" t="str">
        <f t="shared" si="20"/>
        <v>0</v>
      </c>
      <c r="AG10" t="str">
        <f t="shared" si="45"/>
        <v>0</v>
      </c>
      <c r="AH10" t="str">
        <f t="shared" si="22"/>
        <v>0</v>
      </c>
      <c r="AI10" t="str">
        <f t="shared" si="23"/>
        <v>0</v>
      </c>
      <c r="AJ10" t="str">
        <f t="shared" si="24"/>
        <v>0</v>
      </c>
      <c r="AL10" t="str">
        <f t="shared" si="46"/>
        <v>0</v>
      </c>
      <c r="AM10" t="str">
        <f t="shared" si="26"/>
        <v>0</v>
      </c>
      <c r="AN10" t="str">
        <f t="shared" si="27"/>
        <v>0</v>
      </c>
      <c r="AO10" t="str">
        <f t="shared" si="28"/>
        <v>0</v>
      </c>
      <c r="AQ10" t="str">
        <f t="shared" si="47"/>
        <v>0</v>
      </c>
      <c r="AR10" t="str">
        <f t="shared" si="30"/>
        <v>0</v>
      </c>
      <c r="AS10" t="str">
        <f t="shared" si="31"/>
        <v>0</v>
      </c>
      <c r="AT10" t="str">
        <f t="shared" si="32"/>
        <v>0</v>
      </c>
      <c r="AV10" t="str">
        <f t="shared" ref="AV10:AX10" si="48">sum(AR10,AM10,AH10,AC10,X10,S10,N10,I10)</f>
        <v>0</v>
      </c>
      <c r="AW10" t="str">
        <f t="shared" si="48"/>
        <v>0</v>
      </c>
      <c r="AX10" t="str">
        <f t="shared" si="48"/>
        <v>0</v>
      </c>
    </row>
    <row r="11">
      <c r="A11" s="11" t="s">
        <v>58</v>
      </c>
      <c r="D11" s="79"/>
      <c r="E11" s="16">
        <v>0.02</v>
      </c>
      <c r="H11" s="79" t="str">
        <f t="shared" si="40"/>
        <v>0</v>
      </c>
      <c r="I11" t="str">
        <f>H11*E12</f>
        <v>0</v>
      </c>
      <c r="J11" t="str">
        <f t="shared" si="34"/>
        <v>0</v>
      </c>
      <c r="K11" t="str">
        <f t="shared" si="35"/>
        <v>0</v>
      </c>
      <c r="M11" t="str">
        <f t="shared" si="41"/>
        <v>0</v>
      </c>
      <c r="N11" t="str">
        <f>E12*M11</f>
        <v>0</v>
      </c>
      <c r="O11" t="str">
        <f t="shared" si="7"/>
        <v>0</v>
      </c>
      <c r="P11" t="str">
        <f t="shared" si="8"/>
        <v>0</v>
      </c>
      <c r="R11" t="str">
        <f t="shared" si="42"/>
        <v>0</v>
      </c>
      <c r="S11" t="str">
        <f>E12*R11</f>
        <v>0</v>
      </c>
      <c r="T11" t="str">
        <f t="shared" si="11"/>
        <v>0</v>
      </c>
      <c r="U11" t="str">
        <f t="shared" si="12"/>
        <v>0</v>
      </c>
      <c r="W11" t="str">
        <f t="shared" si="43"/>
        <v>0</v>
      </c>
      <c r="X11" t="str">
        <f>E12*W11</f>
        <v>0</v>
      </c>
      <c r="Y11" t="str">
        <f t="shared" si="15"/>
        <v>0</v>
      </c>
      <c r="Z11" t="str">
        <f t="shared" si="16"/>
        <v>0</v>
      </c>
      <c r="AB11" t="str">
        <f t="shared" si="44"/>
        <v>0</v>
      </c>
      <c r="AC11" t="str">
        <f>E12*AB11</f>
        <v>0</v>
      </c>
      <c r="AD11" t="str">
        <f t="shared" si="19"/>
        <v>0</v>
      </c>
      <c r="AE11" t="str">
        <f t="shared" si="20"/>
        <v>0</v>
      </c>
      <c r="AG11" t="str">
        <f t="shared" si="45"/>
        <v>0</v>
      </c>
      <c r="AH11" t="str">
        <f>E12*AG11</f>
        <v>0</v>
      </c>
      <c r="AI11" t="str">
        <f t="shared" si="23"/>
        <v>0</v>
      </c>
      <c r="AJ11" t="str">
        <f t="shared" si="24"/>
        <v>0</v>
      </c>
      <c r="AL11" t="str">
        <f t="shared" si="46"/>
        <v>0</v>
      </c>
      <c r="AM11" t="str">
        <f>E12*AL11</f>
        <v>0</v>
      </c>
      <c r="AN11" t="str">
        <f t="shared" si="27"/>
        <v>0</v>
      </c>
      <c r="AO11" t="str">
        <f t="shared" si="28"/>
        <v>0</v>
      </c>
      <c r="AQ11" t="str">
        <f t="shared" si="47"/>
        <v>0</v>
      </c>
      <c r="AR11" t="str">
        <f>E12*AQ11</f>
        <v>0</v>
      </c>
      <c r="AS11" t="str">
        <f t="shared" si="31"/>
        <v>0</v>
      </c>
      <c r="AT11" t="str">
        <f t="shared" si="32"/>
        <v>0</v>
      </c>
      <c r="AV11" t="str">
        <f t="shared" ref="AV11:AX11" si="49">sum(AR11,AM11,AH11,AC11,X11,S11,N11,I11)</f>
        <v>0</v>
      </c>
      <c r="AW11" t="str">
        <f t="shared" si="49"/>
        <v>0</v>
      </c>
      <c r="AX11" t="str">
        <f t="shared" si="49"/>
        <v>0</v>
      </c>
    </row>
    <row r="12">
      <c r="A12" s="12" t="s">
        <v>611</v>
      </c>
      <c r="C12" s="18" t="str">
        <f>23940/2800</f>
        <v>8.55</v>
      </c>
      <c r="D12" s="79"/>
      <c r="E12" t="str">
        <f>413/2800</f>
        <v>0.1475</v>
      </c>
      <c r="G12" s="16">
        <v>2800.0</v>
      </c>
      <c r="H12" s="79" t="str">
        <f t="shared" si="40"/>
        <v>310</v>
      </c>
      <c r="I12" t="str">
        <f>H12*E12</f>
        <v>45.6778</v>
      </c>
      <c r="J12" t="str">
        <f t="shared" si="34"/>
        <v>0</v>
      </c>
      <c r="K12" t="str">
        <f>$H12*C12</f>
        <v>2647.764</v>
      </c>
      <c r="M12" t="str">
        <f t="shared" si="41"/>
        <v>300.44</v>
      </c>
      <c r="N12" t="str">
        <f>E12*M12</f>
        <v>44.3149</v>
      </c>
      <c r="O12" t="str">
        <f t="shared" si="7"/>
        <v>0</v>
      </c>
      <c r="P12" t="str">
        <f>C12*M12</f>
        <v>2568.762</v>
      </c>
      <c r="R12" t="str">
        <f t="shared" si="42"/>
        <v>1.68</v>
      </c>
      <c r="S12" t="str">
        <f>E12*R12</f>
        <v>0.2478</v>
      </c>
      <c r="T12" t="str">
        <f t="shared" si="11"/>
        <v>0</v>
      </c>
      <c r="U12" t="str">
        <f>C12*R12</f>
        <v>14.364</v>
      </c>
      <c r="W12" t="str">
        <f t="shared" si="43"/>
        <v>478.8</v>
      </c>
      <c r="X12" t="str">
        <f>E12*W12</f>
        <v>70.623</v>
      </c>
      <c r="Y12" t="str">
        <f t="shared" si="15"/>
        <v>0</v>
      </c>
      <c r="Z12" t="str">
        <f>C12*W12</f>
        <v>4093.74</v>
      </c>
      <c r="AB12" t="str">
        <f t="shared" si="44"/>
        <v>495.88</v>
      </c>
      <c r="AC12" t="str">
        <f>E12*AB12</f>
        <v>73.1423</v>
      </c>
      <c r="AD12" t="str">
        <f t="shared" si="19"/>
        <v>0</v>
      </c>
      <c r="AE12" t="str">
        <f>C12*AB12</f>
        <v>4239.774</v>
      </c>
      <c r="AG12" t="str">
        <f t="shared" si="45"/>
        <v>486.92</v>
      </c>
      <c r="AH12" t="str">
        <f>E12*AG12</f>
        <v>71.8207</v>
      </c>
      <c r="AI12" t="str">
        <f t="shared" si="23"/>
        <v>0</v>
      </c>
      <c r="AJ12" t="str">
        <f>C12*AG12</f>
        <v>4163.166</v>
      </c>
      <c r="AL12" t="str">
        <f t="shared" si="46"/>
        <v>433.16</v>
      </c>
      <c r="AM12" t="str">
        <f>E12*AL12</f>
        <v>63.8911</v>
      </c>
      <c r="AN12" t="str">
        <f t="shared" si="27"/>
        <v>0</v>
      </c>
      <c r="AO12" t="str">
        <f>C12*AL12</f>
        <v>3703.518</v>
      </c>
      <c r="AQ12" t="str">
        <f t="shared" si="47"/>
        <v>293.72</v>
      </c>
      <c r="AR12" t="str">
        <f>E12*AQ12</f>
        <v>43.3237</v>
      </c>
      <c r="AS12" t="str">
        <f t="shared" si="31"/>
        <v>0</v>
      </c>
      <c r="AT12" t="str">
        <f>C12*AQ12</f>
        <v>2511.306</v>
      </c>
      <c r="AV12" t="str">
        <f t="shared" ref="AV12:AX12" si="50">sum(AR12,AM12,AH12,AC12,X12,S12,N12,I12)</f>
        <v>413.0413</v>
      </c>
      <c r="AW12" t="str">
        <f t="shared" si="50"/>
        <v>0</v>
      </c>
      <c r="AX12" t="str">
        <f t="shared" si="50"/>
        <v>23942.394</v>
      </c>
    </row>
    <row r="13">
      <c r="A13" s="30" t="s">
        <v>71</v>
      </c>
      <c r="C13" s="80">
        <v>0.181</v>
      </c>
      <c r="D13" s="79"/>
      <c r="G13" s="18">
        <v>18490.0</v>
      </c>
      <c r="H13" s="79" t="str">
        <f t="shared" si="40"/>
        <v>2045</v>
      </c>
      <c r="I13" t="str">
        <f t="shared" ref="I13:I33" si="52">H13*C13</f>
        <v>370.143914</v>
      </c>
      <c r="J13" t="str">
        <f t="shared" si="34"/>
        <v>0</v>
      </c>
      <c r="K13" t="str">
        <f t="shared" ref="K13:K33" si="53">$H13*E13</f>
        <v>0</v>
      </c>
      <c r="M13" t="str">
        <f t="shared" si="41"/>
        <v>1983.977</v>
      </c>
      <c r="N13" t="str">
        <f t="shared" ref="N13:N33" si="54">C13*M13</f>
        <v>359.099837</v>
      </c>
      <c r="O13" t="str">
        <f t="shared" si="7"/>
        <v>0</v>
      </c>
      <c r="P13" t="str">
        <f t="shared" ref="P13:P33" si="55">E13*M13</f>
        <v>0</v>
      </c>
      <c r="R13" t="str">
        <f t="shared" si="42"/>
        <v>11.094</v>
      </c>
      <c r="S13" t="str">
        <f t="shared" ref="S13:S33" si="56">C13*R13</f>
        <v>2.008014</v>
      </c>
      <c r="T13" t="str">
        <f t="shared" si="11"/>
        <v>0</v>
      </c>
      <c r="U13" t="str">
        <f t="shared" ref="U13:U33" si="57">E13*R13</f>
        <v>0</v>
      </c>
      <c r="W13" t="str">
        <f t="shared" si="43"/>
        <v>3161.79</v>
      </c>
      <c r="X13" t="str">
        <f t="shared" ref="X13:X33" si="58">C13*W13</f>
        <v>572.28399</v>
      </c>
      <c r="Y13" t="str">
        <f t="shared" si="15"/>
        <v>0</v>
      </c>
      <c r="Z13" t="str">
        <f t="shared" ref="Z13:Z33" si="59">E13*W13</f>
        <v>0</v>
      </c>
      <c r="AB13" t="str">
        <f t="shared" si="44"/>
        <v>3274.579</v>
      </c>
      <c r="AC13" t="str">
        <f t="shared" ref="AC13:AC33" si="60">C13*AB13</f>
        <v>592.698799</v>
      </c>
      <c r="AD13" t="str">
        <f t="shared" si="19"/>
        <v>0</v>
      </c>
      <c r="AE13" t="str">
        <f t="shared" ref="AE13:AE33" si="61">E13*AB13</f>
        <v>0</v>
      </c>
      <c r="AG13" t="str">
        <f t="shared" si="45"/>
        <v>3215.411</v>
      </c>
      <c r="AH13" t="str">
        <f t="shared" ref="AH13:AH33" si="62">C13*AG13</f>
        <v>581.989391</v>
      </c>
      <c r="AI13" t="str">
        <f t="shared" si="23"/>
        <v>0</v>
      </c>
      <c r="AJ13" t="str">
        <f t="shared" ref="AJ13:AJ33" si="63">E13*AG13</f>
        <v>0</v>
      </c>
      <c r="AL13" t="str">
        <f t="shared" si="46"/>
        <v>2860.403</v>
      </c>
      <c r="AM13" t="str">
        <f t="shared" ref="AM13:AM33" si="64">C13*AL13</f>
        <v>517.732943</v>
      </c>
      <c r="AN13" t="str">
        <f t="shared" si="27"/>
        <v>0</v>
      </c>
      <c r="AO13" t="str">
        <f t="shared" ref="AO13:AO33" si="65">E13*AL13</f>
        <v>0</v>
      </c>
      <c r="AQ13" t="str">
        <f t="shared" si="47"/>
        <v>1939.601</v>
      </c>
      <c r="AR13" t="str">
        <f t="shared" ref="AR13:AR33" si="66">C13*AQ13</f>
        <v>351.067781</v>
      </c>
      <c r="AS13" t="str">
        <f t="shared" si="31"/>
        <v>0</v>
      </c>
      <c r="AT13" t="str">
        <f t="shared" ref="AT13:AT33" si="67">E13*AQ13</f>
        <v>0</v>
      </c>
      <c r="AV13" t="str">
        <f t="shared" ref="AV13:AX13" si="51">sum(AR13,AM13,AH13,AC13,X13,S13,N13,I13)</f>
        <v>3347.024669</v>
      </c>
      <c r="AW13" t="str">
        <f t="shared" si="51"/>
        <v>0</v>
      </c>
      <c r="AX13" t="str">
        <f t="shared" si="51"/>
        <v>0</v>
      </c>
    </row>
    <row r="14">
      <c r="A14" s="30" t="s">
        <v>78</v>
      </c>
      <c r="B14" s="16">
        <v>8.0</v>
      </c>
      <c r="C14" s="16">
        <v>8.0</v>
      </c>
      <c r="D14" s="79"/>
      <c r="G14" s="16">
        <v>4.0</v>
      </c>
      <c r="H14" s="79" t="str">
        <f t="shared" si="40"/>
        <v>0</v>
      </c>
      <c r="I14" t="str">
        <f t="shared" si="52"/>
        <v>3.5392</v>
      </c>
      <c r="J14" t="str">
        <f t="shared" si="34"/>
        <v>0</v>
      </c>
      <c r="K14" t="str">
        <f t="shared" si="53"/>
        <v>0</v>
      </c>
      <c r="M14" t="str">
        <f t="shared" si="41"/>
        <v>0.4292</v>
      </c>
      <c r="N14" t="str">
        <f t="shared" si="54"/>
        <v>3.4336</v>
      </c>
      <c r="O14" t="str">
        <f t="shared" si="7"/>
        <v>0</v>
      </c>
      <c r="P14" t="str">
        <f t="shared" si="55"/>
        <v>0</v>
      </c>
      <c r="R14" t="str">
        <f t="shared" si="42"/>
        <v>0.0024</v>
      </c>
      <c r="S14" t="str">
        <f t="shared" si="56"/>
        <v>0.0192</v>
      </c>
      <c r="T14" t="str">
        <f t="shared" si="11"/>
        <v>0</v>
      </c>
      <c r="U14" t="str">
        <f t="shared" si="57"/>
        <v>0</v>
      </c>
      <c r="W14" t="str">
        <f t="shared" si="43"/>
        <v>0.684</v>
      </c>
      <c r="X14" t="str">
        <f t="shared" si="58"/>
        <v>5.472</v>
      </c>
      <c r="Y14" t="str">
        <f t="shared" si="15"/>
        <v>0</v>
      </c>
      <c r="Z14" t="str">
        <f t="shared" si="59"/>
        <v>0</v>
      </c>
      <c r="AB14" t="str">
        <f t="shared" si="44"/>
        <v>0.7084</v>
      </c>
      <c r="AC14" t="str">
        <f t="shared" si="60"/>
        <v>5.6672</v>
      </c>
      <c r="AD14" t="str">
        <f t="shared" si="19"/>
        <v>0</v>
      </c>
      <c r="AE14" t="str">
        <f t="shared" si="61"/>
        <v>0</v>
      </c>
      <c r="AG14" t="str">
        <f t="shared" si="45"/>
        <v>0.6956</v>
      </c>
      <c r="AH14" t="str">
        <f t="shared" si="62"/>
        <v>5.5648</v>
      </c>
      <c r="AI14" t="str">
        <f t="shared" si="23"/>
        <v>0</v>
      </c>
      <c r="AJ14" t="str">
        <f t="shared" si="63"/>
        <v>0</v>
      </c>
      <c r="AL14" t="str">
        <f t="shared" si="46"/>
        <v>0.6188</v>
      </c>
      <c r="AM14" t="str">
        <f t="shared" si="64"/>
        <v>4.9504</v>
      </c>
      <c r="AN14" t="str">
        <f t="shared" si="27"/>
        <v>0</v>
      </c>
      <c r="AO14" t="str">
        <f t="shared" si="65"/>
        <v>0</v>
      </c>
      <c r="AQ14" t="str">
        <f t="shared" si="47"/>
        <v>0.4196</v>
      </c>
      <c r="AR14" t="str">
        <f t="shared" si="66"/>
        <v>3.3568</v>
      </c>
      <c r="AS14" t="str">
        <f t="shared" si="31"/>
        <v>0</v>
      </c>
      <c r="AT14" t="str">
        <f t="shared" si="67"/>
        <v>0</v>
      </c>
      <c r="AV14" t="str">
        <f t="shared" ref="AV14:AX14" si="68">sum(AR14,AM14,AH14,AC14,X14,S14,N14,I14)</f>
        <v>32.0032</v>
      </c>
      <c r="AW14" t="str">
        <f t="shared" si="68"/>
        <v>0</v>
      </c>
      <c r="AX14" t="str">
        <f t="shared" si="68"/>
        <v>0</v>
      </c>
    </row>
    <row r="15">
      <c r="A15" s="30" t="s">
        <v>81</v>
      </c>
      <c r="C15" s="18" t="str">
        <f>0.045</f>
        <v>0.045</v>
      </c>
      <c r="D15" s="79"/>
      <c r="G15" s="18">
        <v>3236.0</v>
      </c>
      <c r="H15" s="79" t="str">
        <f t="shared" si="40"/>
        <v>358</v>
      </c>
      <c r="I15" t="str">
        <f t="shared" si="52"/>
        <v>16.105572</v>
      </c>
      <c r="J15" t="str">
        <f t="shared" si="34"/>
        <v>0</v>
      </c>
      <c r="K15" t="str">
        <f t="shared" si="53"/>
        <v>0</v>
      </c>
      <c r="M15" t="str">
        <f t="shared" si="41"/>
        <v>347.2228</v>
      </c>
      <c r="N15" t="str">
        <f t="shared" si="54"/>
        <v>15.625026</v>
      </c>
      <c r="O15" t="str">
        <f t="shared" si="7"/>
        <v>0</v>
      </c>
      <c r="P15" t="str">
        <f t="shared" si="55"/>
        <v>0</v>
      </c>
      <c r="R15" t="str">
        <f t="shared" si="42"/>
        <v>1.9416</v>
      </c>
      <c r="S15" t="str">
        <f t="shared" si="56"/>
        <v>0.087372</v>
      </c>
      <c r="T15" t="str">
        <f t="shared" si="11"/>
        <v>0</v>
      </c>
      <c r="U15" t="str">
        <f t="shared" si="57"/>
        <v>0</v>
      </c>
      <c r="W15" t="str">
        <f t="shared" si="43"/>
        <v>553.356</v>
      </c>
      <c r="X15" t="str">
        <f t="shared" si="58"/>
        <v>24.90102</v>
      </c>
      <c r="Y15" t="str">
        <f t="shared" si="15"/>
        <v>0</v>
      </c>
      <c r="Z15" t="str">
        <f t="shared" si="59"/>
        <v>0</v>
      </c>
      <c r="AB15" t="str">
        <f t="shared" si="44"/>
        <v>573.0956</v>
      </c>
      <c r="AC15" t="str">
        <f t="shared" si="60"/>
        <v>25.789302</v>
      </c>
      <c r="AD15" t="str">
        <f t="shared" si="19"/>
        <v>0</v>
      </c>
      <c r="AE15" t="str">
        <f t="shared" si="61"/>
        <v>0</v>
      </c>
      <c r="AG15" t="str">
        <f t="shared" si="45"/>
        <v>562.7404</v>
      </c>
      <c r="AH15" t="str">
        <f t="shared" si="62"/>
        <v>25.323318</v>
      </c>
      <c r="AI15" t="str">
        <f t="shared" si="23"/>
        <v>0</v>
      </c>
      <c r="AJ15" t="str">
        <f t="shared" si="63"/>
        <v>0</v>
      </c>
      <c r="AL15" t="str">
        <f t="shared" si="46"/>
        <v>500.6092</v>
      </c>
      <c r="AM15" t="str">
        <f t="shared" si="64"/>
        <v>22.527414</v>
      </c>
      <c r="AN15" t="str">
        <f t="shared" si="27"/>
        <v>0</v>
      </c>
      <c r="AO15" t="str">
        <f t="shared" si="65"/>
        <v>0</v>
      </c>
      <c r="AQ15" t="str">
        <f t="shared" si="47"/>
        <v>339.4564</v>
      </c>
      <c r="AR15" t="str">
        <f t="shared" si="66"/>
        <v>15.275538</v>
      </c>
      <c r="AS15" t="str">
        <f t="shared" si="31"/>
        <v>0</v>
      </c>
      <c r="AT15" t="str">
        <f t="shared" si="67"/>
        <v>0</v>
      </c>
      <c r="AV15" t="str">
        <f t="shared" ref="AV15:AX15" si="69">sum(AR15,AM15,AH15,AC15,X15,S15,N15,I15)</f>
        <v>145.634562</v>
      </c>
      <c r="AW15" t="str">
        <f t="shared" si="69"/>
        <v>0</v>
      </c>
      <c r="AX15" t="str">
        <f t="shared" si="69"/>
        <v>0</v>
      </c>
    </row>
    <row r="16">
      <c r="A16" s="30" t="s">
        <v>86</v>
      </c>
      <c r="C16" s="16">
        <v>0.023</v>
      </c>
      <c r="D16" s="79"/>
      <c r="G16" s="16">
        <v>25266.0</v>
      </c>
      <c r="H16" s="79" t="str">
        <f t="shared" si="40"/>
        <v>2794</v>
      </c>
      <c r="I16" t="str">
        <f t="shared" si="52"/>
        <v>64.2716508</v>
      </c>
      <c r="J16" t="str">
        <f t="shared" si="34"/>
        <v>0</v>
      </c>
      <c r="K16" t="str">
        <f t="shared" si="53"/>
        <v>0</v>
      </c>
      <c r="M16" t="str">
        <f t="shared" si="41"/>
        <v>2711.0418</v>
      </c>
      <c r="N16" t="str">
        <f t="shared" si="54"/>
        <v>62.3539614</v>
      </c>
      <c r="O16" t="str">
        <f t="shared" si="7"/>
        <v>0</v>
      </c>
      <c r="P16" t="str">
        <f t="shared" si="55"/>
        <v>0</v>
      </c>
      <c r="R16" t="str">
        <f t="shared" si="42"/>
        <v>15.1596</v>
      </c>
      <c r="S16" t="str">
        <f t="shared" si="56"/>
        <v>0.3486708</v>
      </c>
      <c r="T16" t="str">
        <f t="shared" si="11"/>
        <v>0</v>
      </c>
      <c r="U16" t="str">
        <f t="shared" si="57"/>
        <v>0</v>
      </c>
      <c r="W16" t="str">
        <f t="shared" si="43"/>
        <v>4320.486</v>
      </c>
      <c r="X16" t="str">
        <f t="shared" si="58"/>
        <v>99.371178</v>
      </c>
      <c r="Y16" t="str">
        <f t="shared" si="15"/>
        <v>0</v>
      </c>
      <c r="Z16" t="str">
        <f t="shared" si="59"/>
        <v>0</v>
      </c>
      <c r="AB16" t="str">
        <f t="shared" si="44"/>
        <v>4474.6086</v>
      </c>
      <c r="AC16" t="str">
        <f t="shared" si="60"/>
        <v>102.9159978</v>
      </c>
      <c r="AD16" t="str">
        <f t="shared" si="19"/>
        <v>0</v>
      </c>
      <c r="AE16" t="str">
        <f t="shared" si="61"/>
        <v>0</v>
      </c>
      <c r="AG16" t="str">
        <f t="shared" si="45"/>
        <v>4393.7574</v>
      </c>
      <c r="AH16" t="str">
        <f t="shared" si="62"/>
        <v>101.0564202</v>
      </c>
      <c r="AI16" t="str">
        <f t="shared" si="23"/>
        <v>0</v>
      </c>
      <c r="AJ16" t="str">
        <f t="shared" si="63"/>
        <v>0</v>
      </c>
      <c r="AL16" t="str">
        <f t="shared" si="46"/>
        <v>3908.6502</v>
      </c>
      <c r="AM16" t="str">
        <f t="shared" si="64"/>
        <v>89.8989546</v>
      </c>
      <c r="AN16" t="str">
        <f t="shared" si="27"/>
        <v>0</v>
      </c>
      <c r="AO16" t="str">
        <f t="shared" si="65"/>
        <v>0</v>
      </c>
      <c r="AQ16" t="str">
        <f t="shared" si="47"/>
        <v>2650.4034</v>
      </c>
      <c r="AR16" t="str">
        <f t="shared" si="66"/>
        <v>60.9592782</v>
      </c>
      <c r="AS16" t="str">
        <f t="shared" si="31"/>
        <v>0</v>
      </c>
      <c r="AT16" t="str">
        <f t="shared" si="67"/>
        <v>0</v>
      </c>
      <c r="AV16" t="str">
        <f t="shared" ref="AV16:AX16" si="70">sum(AR16,AM16,AH16,AC16,X16,S16,N16,I16)</f>
        <v>581.1761118</v>
      </c>
      <c r="AW16" t="str">
        <f t="shared" si="70"/>
        <v>0</v>
      </c>
      <c r="AX16" t="str">
        <f t="shared" si="70"/>
        <v>0</v>
      </c>
    </row>
    <row r="17">
      <c r="A17" s="11" t="s">
        <v>89</v>
      </c>
      <c r="D17" s="79"/>
      <c r="G17" s="16">
        <v>2000.0</v>
      </c>
      <c r="H17" s="79" t="str">
        <f t="shared" si="40"/>
        <v>221</v>
      </c>
      <c r="I17" t="str">
        <f t="shared" si="52"/>
        <v>0</v>
      </c>
      <c r="J17" t="str">
        <f t="shared" si="34"/>
        <v>0</v>
      </c>
      <c r="K17" t="str">
        <f t="shared" si="53"/>
        <v>0</v>
      </c>
      <c r="M17" t="str">
        <f t="shared" si="41"/>
        <v>214.6</v>
      </c>
      <c r="N17" t="str">
        <f t="shared" si="54"/>
        <v>0</v>
      </c>
      <c r="O17" t="str">
        <f t="shared" si="7"/>
        <v>0</v>
      </c>
      <c r="P17" t="str">
        <f t="shared" si="55"/>
        <v>0</v>
      </c>
      <c r="R17" t="str">
        <f t="shared" si="42"/>
        <v>1.2</v>
      </c>
      <c r="S17" t="str">
        <f t="shared" si="56"/>
        <v>0</v>
      </c>
      <c r="T17" t="str">
        <f t="shared" si="11"/>
        <v>0</v>
      </c>
      <c r="U17" t="str">
        <f t="shared" si="57"/>
        <v>0</v>
      </c>
      <c r="W17" t="str">
        <f t="shared" si="43"/>
        <v>342</v>
      </c>
      <c r="X17" t="str">
        <f t="shared" si="58"/>
        <v>0</v>
      </c>
      <c r="Y17" t="str">
        <f t="shared" si="15"/>
        <v>0</v>
      </c>
      <c r="Z17" t="str">
        <f t="shared" si="59"/>
        <v>0</v>
      </c>
      <c r="AB17" t="str">
        <f t="shared" si="44"/>
        <v>354.2</v>
      </c>
      <c r="AC17" t="str">
        <f t="shared" si="60"/>
        <v>0</v>
      </c>
      <c r="AD17" t="str">
        <f t="shared" si="19"/>
        <v>0</v>
      </c>
      <c r="AE17" t="str">
        <f t="shared" si="61"/>
        <v>0</v>
      </c>
      <c r="AG17" t="str">
        <f t="shared" si="45"/>
        <v>347.8</v>
      </c>
      <c r="AH17" t="str">
        <f t="shared" si="62"/>
        <v>0</v>
      </c>
      <c r="AI17" t="str">
        <f t="shared" si="23"/>
        <v>0</v>
      </c>
      <c r="AJ17" t="str">
        <f t="shared" si="63"/>
        <v>0</v>
      </c>
      <c r="AL17" t="str">
        <f t="shared" si="46"/>
        <v>309.4</v>
      </c>
      <c r="AM17" t="str">
        <f t="shared" si="64"/>
        <v>0</v>
      </c>
      <c r="AN17" t="str">
        <f t="shared" si="27"/>
        <v>0</v>
      </c>
      <c r="AO17" t="str">
        <f t="shared" si="65"/>
        <v>0</v>
      </c>
      <c r="AQ17" t="str">
        <f t="shared" si="47"/>
        <v>209.8</v>
      </c>
      <c r="AR17" t="str">
        <f t="shared" si="66"/>
        <v>0</v>
      </c>
      <c r="AS17" t="str">
        <f t="shared" si="31"/>
        <v>0</v>
      </c>
      <c r="AT17" t="str">
        <f t="shared" si="67"/>
        <v>0</v>
      </c>
      <c r="AV17" t="str">
        <f t="shared" ref="AV17:AX17" si="71">sum(AR17,AM17,AH17,AC17,X17,S17,N17,I17)</f>
        <v>0</v>
      </c>
      <c r="AW17" t="str">
        <f t="shared" si="71"/>
        <v>0</v>
      </c>
      <c r="AX17" t="str">
        <f t="shared" si="71"/>
        <v>0</v>
      </c>
    </row>
    <row r="18">
      <c r="A18" s="30" t="s">
        <v>91</v>
      </c>
      <c r="D18" s="79"/>
      <c r="G18" s="81">
        <v>150.0</v>
      </c>
      <c r="H18" s="79" t="str">
        <f t="shared" si="40"/>
        <v>17</v>
      </c>
      <c r="I18" t="str">
        <f t="shared" si="52"/>
        <v>0</v>
      </c>
      <c r="J18" t="str">
        <f t="shared" si="34"/>
        <v>0</v>
      </c>
      <c r="K18" t="str">
        <f t="shared" si="53"/>
        <v>0</v>
      </c>
      <c r="M18" t="str">
        <f t="shared" si="41"/>
        <v>16.095</v>
      </c>
      <c r="N18" t="str">
        <f t="shared" si="54"/>
        <v>0</v>
      </c>
      <c r="O18" t="str">
        <f t="shared" si="7"/>
        <v>0</v>
      </c>
      <c r="P18" t="str">
        <f t="shared" si="55"/>
        <v>0</v>
      </c>
      <c r="R18" t="str">
        <f t="shared" si="42"/>
        <v>0.09</v>
      </c>
      <c r="S18" t="str">
        <f t="shared" si="56"/>
        <v>0</v>
      </c>
      <c r="T18" t="str">
        <f t="shared" si="11"/>
        <v>0</v>
      </c>
      <c r="U18" t="str">
        <f t="shared" si="57"/>
        <v>0</v>
      </c>
      <c r="W18" t="str">
        <f t="shared" si="43"/>
        <v>25.65</v>
      </c>
      <c r="X18" t="str">
        <f t="shared" si="58"/>
        <v>0</v>
      </c>
      <c r="Y18" t="str">
        <f t="shared" si="15"/>
        <v>0</v>
      </c>
      <c r="Z18" t="str">
        <f t="shared" si="59"/>
        <v>0</v>
      </c>
      <c r="AB18" t="str">
        <f t="shared" si="44"/>
        <v>26.565</v>
      </c>
      <c r="AC18" t="str">
        <f t="shared" si="60"/>
        <v>0</v>
      </c>
      <c r="AD18" t="str">
        <f t="shared" si="19"/>
        <v>0</v>
      </c>
      <c r="AE18" t="str">
        <f t="shared" si="61"/>
        <v>0</v>
      </c>
      <c r="AG18" t="str">
        <f t="shared" si="45"/>
        <v>26.085</v>
      </c>
      <c r="AH18" t="str">
        <f t="shared" si="62"/>
        <v>0</v>
      </c>
      <c r="AI18" t="str">
        <f t="shared" si="23"/>
        <v>0</v>
      </c>
      <c r="AJ18" t="str">
        <f t="shared" si="63"/>
        <v>0</v>
      </c>
      <c r="AL18" t="str">
        <f t="shared" si="46"/>
        <v>23.205</v>
      </c>
      <c r="AM18" t="str">
        <f t="shared" si="64"/>
        <v>0</v>
      </c>
      <c r="AN18" t="str">
        <f t="shared" si="27"/>
        <v>0</v>
      </c>
      <c r="AO18" t="str">
        <f t="shared" si="65"/>
        <v>0</v>
      </c>
      <c r="AQ18" t="str">
        <f t="shared" si="47"/>
        <v>15.735</v>
      </c>
      <c r="AR18" t="str">
        <f t="shared" si="66"/>
        <v>0</v>
      </c>
      <c r="AS18" t="str">
        <f t="shared" si="31"/>
        <v>0</v>
      </c>
      <c r="AT18" t="str">
        <f t="shared" si="67"/>
        <v>0</v>
      </c>
      <c r="AV18" t="str">
        <f t="shared" ref="AV18:AX18" si="72">sum(AR18,AM18,AH18,AC18,X18,S18,N18,I18)</f>
        <v>0</v>
      </c>
      <c r="AW18" t="str">
        <f t="shared" si="72"/>
        <v>0</v>
      </c>
      <c r="AX18" t="str">
        <f t="shared" si="72"/>
        <v>0</v>
      </c>
    </row>
    <row r="19">
      <c r="A19" s="30" t="s">
        <v>93</v>
      </c>
      <c r="D19" s="79"/>
      <c r="G19" s="81">
        <v>12.0</v>
      </c>
      <c r="H19" s="79" t="str">
        <f t="shared" si="40"/>
        <v>1</v>
      </c>
      <c r="I19" t="str">
        <f t="shared" si="52"/>
        <v>0</v>
      </c>
      <c r="J19" t="str">
        <f t="shared" si="34"/>
        <v>0</v>
      </c>
      <c r="K19" t="str">
        <f t="shared" si="53"/>
        <v>0</v>
      </c>
      <c r="M19" t="str">
        <f t="shared" si="41"/>
        <v>1.2876</v>
      </c>
      <c r="N19" t="str">
        <f t="shared" si="54"/>
        <v>0</v>
      </c>
      <c r="O19" t="str">
        <f t="shared" si="7"/>
        <v>0</v>
      </c>
      <c r="P19" t="str">
        <f t="shared" si="55"/>
        <v>0</v>
      </c>
      <c r="R19" t="str">
        <f t="shared" si="42"/>
        <v>0.0072</v>
      </c>
      <c r="S19" t="str">
        <f t="shared" si="56"/>
        <v>0</v>
      </c>
      <c r="T19" t="str">
        <f t="shared" si="11"/>
        <v>0</v>
      </c>
      <c r="U19" t="str">
        <f t="shared" si="57"/>
        <v>0</v>
      </c>
      <c r="W19" t="str">
        <f t="shared" si="43"/>
        <v>2.052</v>
      </c>
      <c r="X19" t="str">
        <f t="shared" si="58"/>
        <v>0</v>
      </c>
      <c r="Y19" t="str">
        <f t="shared" si="15"/>
        <v>0</v>
      </c>
      <c r="Z19" t="str">
        <f t="shared" si="59"/>
        <v>0</v>
      </c>
      <c r="AB19" t="str">
        <f t="shared" si="44"/>
        <v>2.1252</v>
      </c>
      <c r="AC19" t="str">
        <f t="shared" si="60"/>
        <v>0</v>
      </c>
      <c r="AD19" t="str">
        <f t="shared" si="19"/>
        <v>0</v>
      </c>
      <c r="AE19" t="str">
        <f t="shared" si="61"/>
        <v>0</v>
      </c>
      <c r="AG19" t="str">
        <f t="shared" si="45"/>
        <v>2.0868</v>
      </c>
      <c r="AH19" t="str">
        <f t="shared" si="62"/>
        <v>0</v>
      </c>
      <c r="AI19" t="str">
        <f t="shared" si="23"/>
        <v>0</v>
      </c>
      <c r="AJ19" t="str">
        <f t="shared" si="63"/>
        <v>0</v>
      </c>
      <c r="AL19" t="str">
        <f t="shared" si="46"/>
        <v>1.8564</v>
      </c>
      <c r="AM19" t="str">
        <f t="shared" si="64"/>
        <v>0</v>
      </c>
      <c r="AN19" t="str">
        <f t="shared" si="27"/>
        <v>0</v>
      </c>
      <c r="AO19" t="str">
        <f t="shared" si="65"/>
        <v>0</v>
      </c>
      <c r="AQ19" t="str">
        <f t="shared" si="47"/>
        <v>1.2588</v>
      </c>
      <c r="AR19" t="str">
        <f t="shared" si="66"/>
        <v>0</v>
      </c>
      <c r="AS19" t="str">
        <f t="shared" si="31"/>
        <v>0</v>
      </c>
      <c r="AT19" t="str">
        <f t="shared" si="67"/>
        <v>0</v>
      </c>
      <c r="AV19" t="str">
        <f t="shared" ref="AV19:AX19" si="73">sum(AR19,AM19,AH19,AC19,X19,S19,N19,I19)</f>
        <v>0</v>
      </c>
      <c r="AW19" t="str">
        <f t="shared" si="73"/>
        <v>0</v>
      </c>
      <c r="AX19" t="str">
        <f t="shared" si="73"/>
        <v>0</v>
      </c>
    </row>
    <row r="20">
      <c r="A20" s="11" t="s">
        <v>613</v>
      </c>
      <c r="C20" s="16">
        <v>0.031</v>
      </c>
      <c r="D20" s="79"/>
      <c r="E20" t="str">
        <f>2180.5/133500</f>
        <v>0.01633333333</v>
      </c>
      <c r="G20" s="16">
        <v>133500.0</v>
      </c>
      <c r="H20" s="79" t="str">
        <f t="shared" si="40"/>
        <v>14765</v>
      </c>
      <c r="I20" t="str">
        <f t="shared" si="52"/>
        <v>457.7181</v>
      </c>
      <c r="J20" t="str">
        <f t="shared" si="34"/>
        <v>0</v>
      </c>
      <c r="K20" t="str">
        <f t="shared" si="53"/>
        <v>241.1633</v>
      </c>
      <c r="M20" t="str">
        <f t="shared" si="41"/>
        <v>14324.55</v>
      </c>
      <c r="N20" t="str">
        <f t="shared" si="54"/>
        <v>444.06105</v>
      </c>
      <c r="O20" t="str">
        <f t="shared" si="7"/>
        <v>0</v>
      </c>
      <c r="P20" t="str">
        <f t="shared" si="55"/>
        <v>233.96765</v>
      </c>
      <c r="R20" t="str">
        <f t="shared" si="42"/>
        <v>80.1</v>
      </c>
      <c r="S20" t="str">
        <f t="shared" si="56"/>
        <v>2.4831</v>
      </c>
      <c r="T20" t="str">
        <f t="shared" si="11"/>
        <v>0</v>
      </c>
      <c r="U20" t="str">
        <f t="shared" si="57"/>
        <v>1.3083</v>
      </c>
      <c r="W20" t="str">
        <f t="shared" si="43"/>
        <v>22828.5</v>
      </c>
      <c r="X20" t="str">
        <f t="shared" si="58"/>
        <v>707.6835</v>
      </c>
      <c r="Y20" t="str">
        <f t="shared" si="15"/>
        <v>0</v>
      </c>
      <c r="Z20" t="str">
        <f t="shared" si="59"/>
        <v>372.8655</v>
      </c>
      <c r="AB20" t="str">
        <f t="shared" si="44"/>
        <v>23642.85</v>
      </c>
      <c r="AC20" t="str">
        <f t="shared" si="60"/>
        <v>732.92835</v>
      </c>
      <c r="AD20" t="str">
        <f t="shared" si="19"/>
        <v>0</v>
      </c>
      <c r="AE20" t="str">
        <f t="shared" si="61"/>
        <v>386.16655</v>
      </c>
      <c r="AG20" t="str">
        <f t="shared" si="45"/>
        <v>23215.65</v>
      </c>
      <c r="AH20" t="str">
        <f t="shared" si="62"/>
        <v>719.68515</v>
      </c>
      <c r="AI20" t="str">
        <f t="shared" si="23"/>
        <v>0</v>
      </c>
      <c r="AJ20" t="str">
        <f t="shared" si="63"/>
        <v>379.18895</v>
      </c>
      <c r="AL20" t="str">
        <f t="shared" si="46"/>
        <v>20652.45</v>
      </c>
      <c r="AM20" t="str">
        <f t="shared" si="64"/>
        <v>640.22595</v>
      </c>
      <c r="AN20" t="str">
        <f t="shared" si="27"/>
        <v>0</v>
      </c>
      <c r="AO20" t="str">
        <f t="shared" si="65"/>
        <v>337.32335</v>
      </c>
      <c r="AQ20" t="str">
        <f t="shared" si="47"/>
        <v>14004.15</v>
      </c>
      <c r="AR20" t="str">
        <f t="shared" si="66"/>
        <v>434.12865</v>
      </c>
      <c r="AS20" t="str">
        <f t="shared" si="31"/>
        <v>0</v>
      </c>
      <c r="AT20" t="str">
        <f t="shared" si="67"/>
        <v>228.73445</v>
      </c>
      <c r="AV20" t="str">
        <f t="shared" ref="AV20:AX20" si="74">sum(AR20,AM20,AH20,AC20,X20,S20,N20,I20)</f>
        <v>4138.91385</v>
      </c>
      <c r="AW20" t="str">
        <f t="shared" si="74"/>
        <v>0</v>
      </c>
      <c r="AX20" t="str">
        <f t="shared" si="74"/>
        <v>2180.71805</v>
      </c>
    </row>
    <row r="21">
      <c r="A21" s="11" t="s">
        <v>101</v>
      </c>
      <c r="C21" s="19" t="str">
        <f>33474/334</f>
        <v>100.2215569</v>
      </c>
      <c r="D21" s="79"/>
      <c r="G21" s="16">
        <v>334.0</v>
      </c>
      <c r="H21" s="79" t="str">
        <f t="shared" ref="H21:H23" si="76">0*G21</f>
        <v>0</v>
      </c>
      <c r="I21" t="str">
        <f t="shared" si="52"/>
        <v>0</v>
      </c>
      <c r="J21" t="str">
        <f t="shared" si="34"/>
        <v>0</v>
      </c>
      <c r="K21" t="str">
        <f t="shared" si="53"/>
        <v>0</v>
      </c>
      <c r="M21" t="str">
        <f t="shared" ref="M21:M23" si="77">0.08*G21</f>
        <v>26.72</v>
      </c>
      <c r="N21" t="str">
        <f t="shared" si="54"/>
        <v>2677.92</v>
      </c>
      <c r="O21" t="str">
        <f t="shared" si="7"/>
        <v>0</v>
      </c>
      <c r="P21" t="str">
        <f t="shared" si="55"/>
        <v>0</v>
      </c>
      <c r="R21" t="str">
        <f t="shared" ref="R21:R24" si="78">0.05*G21</f>
        <v>16.7</v>
      </c>
      <c r="S21" t="str">
        <f t="shared" si="56"/>
        <v>1673.7</v>
      </c>
      <c r="T21" t="str">
        <f t="shared" si="11"/>
        <v>0</v>
      </c>
      <c r="U21" t="str">
        <f t="shared" si="57"/>
        <v>0</v>
      </c>
      <c r="W21" t="str">
        <f t="shared" ref="W21:W23" si="79">0.07*G21</f>
        <v>23.38</v>
      </c>
      <c r="X21" t="str">
        <f t="shared" si="58"/>
        <v>2343.18</v>
      </c>
      <c r="Y21" t="str">
        <f t="shared" si="15"/>
        <v>0</v>
      </c>
      <c r="Z21" t="str">
        <f t="shared" si="59"/>
        <v>0</v>
      </c>
      <c r="AB21" t="str">
        <f t="shared" ref="AB21:AB23" si="80">0.37*G21</f>
        <v>123.58</v>
      </c>
      <c r="AC21" t="str">
        <f t="shared" si="60"/>
        <v>12385.38</v>
      </c>
      <c r="AD21" t="str">
        <f t="shared" si="19"/>
        <v>0</v>
      </c>
      <c r="AE21" t="str">
        <f t="shared" si="61"/>
        <v>0</v>
      </c>
      <c r="AG21" t="str">
        <f t="shared" ref="AG21:AG24" si="81">0.09*G21</f>
        <v>30.06</v>
      </c>
      <c r="AH21" t="str">
        <f t="shared" si="62"/>
        <v>3012.66</v>
      </c>
      <c r="AI21" t="str">
        <f t="shared" si="23"/>
        <v>0</v>
      </c>
      <c r="AJ21" t="str">
        <f t="shared" si="63"/>
        <v>0</v>
      </c>
      <c r="AL21" t="str">
        <f t="shared" ref="AL21:AL23" si="82">0.25*G21</f>
        <v>83.5</v>
      </c>
      <c r="AM21" t="str">
        <f t="shared" si="64"/>
        <v>8368.5</v>
      </c>
      <c r="AN21" t="str">
        <f t="shared" si="27"/>
        <v>0</v>
      </c>
      <c r="AO21" t="str">
        <f t="shared" si="65"/>
        <v>0</v>
      </c>
      <c r="AQ21" t="str">
        <f t="shared" ref="AQ21:AQ23" si="83">0.09*G21</f>
        <v>30.06</v>
      </c>
      <c r="AR21" t="str">
        <f t="shared" si="66"/>
        <v>3012.66</v>
      </c>
      <c r="AS21" t="str">
        <f t="shared" si="31"/>
        <v>0</v>
      </c>
      <c r="AT21" t="str">
        <f t="shared" si="67"/>
        <v>0</v>
      </c>
      <c r="AV21" t="str">
        <f t="shared" ref="AV21:AX21" si="75">sum(AR21,AM21,AH21,AC21,X21,S21,N21,I21)</f>
        <v>33474</v>
      </c>
      <c r="AW21" t="str">
        <f t="shared" si="75"/>
        <v>0</v>
      </c>
      <c r="AX21" t="str">
        <f t="shared" si="75"/>
        <v>0</v>
      </c>
    </row>
    <row r="22">
      <c r="A22" s="11" t="s">
        <v>107</v>
      </c>
      <c r="C22" s="19" t="str">
        <f>37259/4133</f>
        <v>9.01500121</v>
      </c>
      <c r="D22" s="79"/>
      <c r="G22" s="19">
        <v>4133.0</v>
      </c>
      <c r="H22" s="79" t="str">
        <f t="shared" si="76"/>
        <v>0</v>
      </c>
      <c r="I22" t="str">
        <f t="shared" si="52"/>
        <v>0</v>
      </c>
      <c r="J22" t="str">
        <f t="shared" si="34"/>
        <v>0</v>
      </c>
      <c r="K22" t="str">
        <f t="shared" si="53"/>
        <v>0</v>
      </c>
      <c r="M22" t="str">
        <f t="shared" si="77"/>
        <v>330.64</v>
      </c>
      <c r="N22" t="str">
        <f t="shared" si="54"/>
        <v>2980.72</v>
      </c>
      <c r="O22" t="str">
        <f t="shared" si="7"/>
        <v>0</v>
      </c>
      <c r="P22" t="str">
        <f t="shared" si="55"/>
        <v>0</v>
      </c>
      <c r="R22" t="str">
        <f t="shared" si="78"/>
        <v>206.65</v>
      </c>
      <c r="S22" t="str">
        <f t="shared" si="56"/>
        <v>1862.95</v>
      </c>
      <c r="T22" t="str">
        <f t="shared" si="11"/>
        <v>0</v>
      </c>
      <c r="U22" t="str">
        <f t="shared" si="57"/>
        <v>0</v>
      </c>
      <c r="W22" t="str">
        <f t="shared" si="79"/>
        <v>289.31</v>
      </c>
      <c r="X22" t="str">
        <f t="shared" si="58"/>
        <v>2608.13</v>
      </c>
      <c r="Y22" t="str">
        <f t="shared" si="15"/>
        <v>0</v>
      </c>
      <c r="Z22" t="str">
        <f t="shared" si="59"/>
        <v>0</v>
      </c>
      <c r="AB22" t="str">
        <f t="shared" si="80"/>
        <v>1529.21</v>
      </c>
      <c r="AC22" t="str">
        <f t="shared" si="60"/>
        <v>13785.83</v>
      </c>
      <c r="AD22" t="str">
        <f t="shared" si="19"/>
        <v>0</v>
      </c>
      <c r="AE22" t="str">
        <f t="shared" si="61"/>
        <v>0</v>
      </c>
      <c r="AG22" t="str">
        <f t="shared" si="81"/>
        <v>371.97</v>
      </c>
      <c r="AH22" t="str">
        <f t="shared" si="62"/>
        <v>3353.31</v>
      </c>
      <c r="AI22" t="str">
        <f t="shared" si="23"/>
        <v>0</v>
      </c>
      <c r="AJ22" t="str">
        <f t="shared" si="63"/>
        <v>0</v>
      </c>
      <c r="AL22" t="str">
        <f t="shared" si="82"/>
        <v>1033.25</v>
      </c>
      <c r="AM22" t="str">
        <f t="shared" si="64"/>
        <v>9314.75</v>
      </c>
      <c r="AN22" t="str">
        <f t="shared" si="27"/>
        <v>0</v>
      </c>
      <c r="AO22" t="str">
        <f t="shared" si="65"/>
        <v>0</v>
      </c>
      <c r="AQ22" t="str">
        <f t="shared" si="83"/>
        <v>371.97</v>
      </c>
      <c r="AR22" t="str">
        <f t="shared" si="66"/>
        <v>3353.31</v>
      </c>
      <c r="AS22" t="str">
        <f t="shared" si="31"/>
        <v>0</v>
      </c>
      <c r="AT22" t="str">
        <f t="shared" si="67"/>
        <v>0</v>
      </c>
      <c r="AV22" t="str">
        <f t="shared" ref="AV22:AX22" si="84">sum(AR22,AM22,AH22,AC22,X22,S22,N22,I22)</f>
        <v>37259</v>
      </c>
      <c r="AW22" t="str">
        <f t="shared" si="84"/>
        <v>0</v>
      </c>
      <c r="AX22" t="str">
        <f t="shared" si="84"/>
        <v>0</v>
      </c>
    </row>
    <row r="23">
      <c r="A23" s="11" t="s">
        <v>113</v>
      </c>
      <c r="D23" s="79"/>
      <c r="E23" s="16" t="str">
        <f>426/238</f>
        <v>1.789915966</v>
      </c>
      <c r="G23" s="16">
        <v>238.0</v>
      </c>
      <c r="H23" s="79" t="str">
        <f t="shared" si="76"/>
        <v>0</v>
      </c>
      <c r="I23" t="str">
        <f t="shared" si="52"/>
        <v>0</v>
      </c>
      <c r="J23" t="str">
        <f t="shared" si="34"/>
        <v>0</v>
      </c>
      <c r="K23" t="str">
        <f t="shared" si="53"/>
        <v>0</v>
      </c>
      <c r="M23" t="str">
        <f t="shared" si="77"/>
        <v>19.04</v>
      </c>
      <c r="N23" t="str">
        <f t="shared" si="54"/>
        <v>0</v>
      </c>
      <c r="O23" t="str">
        <f t="shared" si="7"/>
        <v>0</v>
      </c>
      <c r="P23" t="str">
        <f t="shared" si="55"/>
        <v>34.08</v>
      </c>
      <c r="R23" t="str">
        <f t="shared" si="78"/>
        <v>11.9</v>
      </c>
      <c r="S23" t="str">
        <f t="shared" si="56"/>
        <v>0</v>
      </c>
      <c r="T23" t="str">
        <f t="shared" si="11"/>
        <v>0</v>
      </c>
      <c r="U23" t="str">
        <f t="shared" si="57"/>
        <v>21.3</v>
      </c>
      <c r="W23" t="str">
        <f t="shared" si="79"/>
        <v>16.66</v>
      </c>
      <c r="X23" t="str">
        <f t="shared" si="58"/>
        <v>0</v>
      </c>
      <c r="Y23" t="str">
        <f t="shared" si="15"/>
        <v>0</v>
      </c>
      <c r="Z23" t="str">
        <f t="shared" si="59"/>
        <v>29.82</v>
      </c>
      <c r="AB23" t="str">
        <f t="shared" si="80"/>
        <v>88.06</v>
      </c>
      <c r="AC23" t="str">
        <f t="shared" si="60"/>
        <v>0</v>
      </c>
      <c r="AD23" t="str">
        <f t="shared" si="19"/>
        <v>0</v>
      </c>
      <c r="AE23" t="str">
        <f t="shared" si="61"/>
        <v>157.62</v>
      </c>
      <c r="AG23" t="str">
        <f t="shared" si="81"/>
        <v>21.42</v>
      </c>
      <c r="AH23" t="str">
        <f t="shared" si="62"/>
        <v>0</v>
      </c>
      <c r="AI23" t="str">
        <f t="shared" si="23"/>
        <v>0</v>
      </c>
      <c r="AJ23" t="str">
        <f t="shared" si="63"/>
        <v>38.34</v>
      </c>
      <c r="AL23" t="str">
        <f t="shared" si="82"/>
        <v>59.5</v>
      </c>
      <c r="AM23" t="str">
        <f t="shared" si="64"/>
        <v>0</v>
      </c>
      <c r="AN23" t="str">
        <f t="shared" si="27"/>
        <v>0</v>
      </c>
      <c r="AO23" t="str">
        <f t="shared" si="65"/>
        <v>106.5</v>
      </c>
      <c r="AQ23" t="str">
        <f t="shared" si="83"/>
        <v>21.42</v>
      </c>
      <c r="AR23" t="str">
        <f t="shared" si="66"/>
        <v>0</v>
      </c>
      <c r="AS23" t="str">
        <f t="shared" si="31"/>
        <v>0</v>
      </c>
      <c r="AT23" t="str">
        <f t="shared" si="67"/>
        <v>38.34</v>
      </c>
      <c r="AV23" t="str">
        <f t="shared" ref="AV23:AX23" si="85">sum(AR23,AM23,AH23,AC23,X23,S23,N23,I23)</f>
        <v>0</v>
      </c>
      <c r="AW23" t="str">
        <f t="shared" si="85"/>
        <v>0</v>
      </c>
      <c r="AX23" t="str">
        <f t="shared" si="85"/>
        <v>426</v>
      </c>
    </row>
    <row r="24">
      <c r="A24" s="11" t="s">
        <v>614</v>
      </c>
      <c r="C24" s="16" t="str">
        <f>2917/14.8</f>
        <v>197.0945946</v>
      </c>
      <c r="D24" s="79"/>
      <c r="E24" s="16"/>
      <c r="G24" s="16">
        <v>14.8</v>
      </c>
      <c r="H24" s="79" t="str">
        <f>0.23*G24</f>
        <v>3</v>
      </c>
      <c r="I24" t="str">
        <f t="shared" si="52"/>
        <v>670.91</v>
      </c>
      <c r="J24" t="str">
        <f t="shared" si="34"/>
        <v>0</v>
      </c>
      <c r="K24" t="str">
        <f t="shared" si="53"/>
        <v>0</v>
      </c>
      <c r="M24" t="str">
        <f>0*G24</f>
        <v>0</v>
      </c>
      <c r="N24" t="str">
        <f t="shared" si="54"/>
        <v>0</v>
      </c>
      <c r="O24" t="str">
        <f t="shared" si="7"/>
        <v>0</v>
      </c>
      <c r="P24" t="str">
        <f t="shared" si="55"/>
        <v>0</v>
      </c>
      <c r="R24" t="str">
        <f t="shared" si="78"/>
        <v>0.74</v>
      </c>
      <c r="S24" t="str">
        <f t="shared" si="56"/>
        <v>145.85</v>
      </c>
      <c r="T24" t="str">
        <f t="shared" si="11"/>
        <v>0</v>
      </c>
      <c r="U24" t="str">
        <f t="shared" si="57"/>
        <v>0</v>
      </c>
      <c r="W24" t="str">
        <f>0.05*G24</f>
        <v>0.74</v>
      </c>
      <c r="X24" t="str">
        <f t="shared" si="58"/>
        <v>145.85</v>
      </c>
      <c r="Y24" t="str">
        <f t="shared" si="15"/>
        <v>0</v>
      </c>
      <c r="Z24" t="str">
        <f t="shared" si="59"/>
        <v>0</v>
      </c>
      <c r="AB24" t="str">
        <f>0.31*G24</f>
        <v>4.588</v>
      </c>
      <c r="AC24" t="str">
        <f t="shared" si="60"/>
        <v>904.27</v>
      </c>
      <c r="AD24" t="str">
        <f t="shared" si="19"/>
        <v>0</v>
      </c>
      <c r="AE24" t="str">
        <f t="shared" si="61"/>
        <v>0</v>
      </c>
      <c r="AG24" t="str">
        <f t="shared" si="81"/>
        <v>1.332</v>
      </c>
      <c r="AH24" t="str">
        <f t="shared" si="62"/>
        <v>262.53</v>
      </c>
      <c r="AI24" t="str">
        <f t="shared" si="23"/>
        <v>0</v>
      </c>
      <c r="AJ24" t="str">
        <f t="shared" si="63"/>
        <v>0</v>
      </c>
      <c r="AL24" t="str">
        <f>0.17*G24</f>
        <v>2.516</v>
      </c>
      <c r="AM24" t="str">
        <f t="shared" si="64"/>
        <v>495.89</v>
      </c>
      <c r="AN24" t="str">
        <f t="shared" si="27"/>
        <v>0</v>
      </c>
      <c r="AO24" t="str">
        <f t="shared" si="65"/>
        <v>0</v>
      </c>
      <c r="AQ24" t="str">
        <f>0.1*G24</f>
        <v>1.48</v>
      </c>
      <c r="AR24" t="str">
        <f t="shared" si="66"/>
        <v>291.7</v>
      </c>
      <c r="AS24" t="str">
        <f t="shared" si="31"/>
        <v>0</v>
      </c>
      <c r="AT24" t="str">
        <f t="shared" si="67"/>
        <v>0</v>
      </c>
      <c r="AV24" t="str">
        <f t="shared" ref="AV24:AX24" si="86">sum(AR24,AM24,AH24,AC24,X24,S24,N24,I24)</f>
        <v>2917</v>
      </c>
      <c r="AW24" t="str">
        <f t="shared" si="86"/>
        <v>0</v>
      </c>
      <c r="AX24" t="str">
        <f t="shared" si="86"/>
        <v>0</v>
      </c>
    </row>
    <row r="25">
      <c r="A25" s="12" t="s">
        <v>123</v>
      </c>
      <c r="C25" s="16" t="str">
        <f>93/7.361</f>
        <v>12.63415297</v>
      </c>
      <c r="D25" s="79"/>
      <c r="G25" s="137">
        <v>7.361</v>
      </c>
      <c r="H25" s="79" t="str">
        <f>0*G25</f>
        <v>0</v>
      </c>
      <c r="I25" t="str">
        <f t="shared" si="52"/>
        <v>0</v>
      </c>
      <c r="J25" t="str">
        <f t="shared" si="34"/>
        <v>0</v>
      </c>
      <c r="K25" t="str">
        <f t="shared" si="53"/>
        <v>0</v>
      </c>
      <c r="M25" t="str">
        <f>0.35*G25</f>
        <v>2.57635</v>
      </c>
      <c r="N25" t="str">
        <f t="shared" si="54"/>
        <v>32.55</v>
      </c>
      <c r="O25" t="str">
        <f t="shared" si="7"/>
        <v>0</v>
      </c>
      <c r="P25" t="str">
        <f t="shared" si="55"/>
        <v>0</v>
      </c>
      <c r="R25" t="str">
        <f>0.17*G25</f>
        <v>1.25137</v>
      </c>
      <c r="S25" t="str">
        <f t="shared" si="56"/>
        <v>15.81</v>
      </c>
      <c r="T25" t="str">
        <f t="shared" si="11"/>
        <v>0</v>
      </c>
      <c r="U25" t="str">
        <f t="shared" si="57"/>
        <v>0</v>
      </c>
      <c r="W25" t="str">
        <f>0.17*G25</f>
        <v>1.25137</v>
      </c>
      <c r="X25" t="str">
        <f t="shared" si="58"/>
        <v>15.81</v>
      </c>
      <c r="Y25" t="str">
        <f t="shared" si="15"/>
        <v>0</v>
      </c>
      <c r="Z25" t="str">
        <f t="shared" si="59"/>
        <v>0</v>
      </c>
      <c r="AB25" t="str">
        <f>0*G25</f>
        <v>0</v>
      </c>
      <c r="AC25" t="str">
        <f t="shared" si="60"/>
        <v>0</v>
      </c>
      <c r="AD25" t="str">
        <f t="shared" si="19"/>
        <v>0</v>
      </c>
      <c r="AE25" t="str">
        <f t="shared" si="61"/>
        <v>0</v>
      </c>
      <c r="AG25" t="str">
        <f>0*G25</f>
        <v>0</v>
      </c>
      <c r="AH25" t="str">
        <f t="shared" si="62"/>
        <v>0</v>
      </c>
      <c r="AI25" t="str">
        <f t="shared" si="23"/>
        <v>0</v>
      </c>
      <c r="AJ25" t="str">
        <f t="shared" si="63"/>
        <v>0</v>
      </c>
      <c r="AL25" t="str">
        <f>0.45*G25</f>
        <v>3.31245</v>
      </c>
      <c r="AM25" t="str">
        <f t="shared" si="64"/>
        <v>41.85</v>
      </c>
      <c r="AN25" t="str">
        <f t="shared" si="27"/>
        <v>0</v>
      </c>
      <c r="AO25" t="str">
        <f t="shared" si="65"/>
        <v>0</v>
      </c>
      <c r="AQ25" t="str">
        <f>0.03*G25</f>
        <v>0.22083</v>
      </c>
      <c r="AR25" t="str">
        <f t="shared" si="66"/>
        <v>2.79</v>
      </c>
      <c r="AS25" t="str">
        <f t="shared" si="31"/>
        <v>0</v>
      </c>
      <c r="AT25" t="str">
        <f t="shared" si="67"/>
        <v>0</v>
      </c>
      <c r="AV25" t="str">
        <f t="shared" ref="AV25:AX25" si="87">sum(AR25,AM25,AH25,AC25,X25,S25,N25,I25)</f>
        <v>108.81</v>
      </c>
      <c r="AW25" t="str">
        <f t="shared" si="87"/>
        <v>0</v>
      </c>
      <c r="AX25" t="str">
        <f t="shared" si="87"/>
        <v>0</v>
      </c>
    </row>
    <row r="26">
      <c r="A26" s="11" t="s">
        <v>131</v>
      </c>
      <c r="C26" s="16">
        <v>0.016</v>
      </c>
      <c r="D26" s="79"/>
      <c r="G26" s="16">
        <v>26414.0</v>
      </c>
      <c r="H26" s="79" t="str">
        <f>0.1106*G26</f>
        <v>2921</v>
      </c>
      <c r="I26" t="str">
        <f t="shared" si="52"/>
        <v>46.7422144</v>
      </c>
      <c r="J26" t="str">
        <f t="shared" si="34"/>
        <v>0</v>
      </c>
      <c r="K26" t="str">
        <f t="shared" si="53"/>
        <v>0</v>
      </c>
      <c r="M26" t="str">
        <f>0.1073*G26</f>
        <v>2834.2222</v>
      </c>
      <c r="N26" t="str">
        <f t="shared" si="54"/>
        <v>45.3475552</v>
      </c>
      <c r="O26" t="str">
        <f t="shared" si="7"/>
        <v>0</v>
      </c>
      <c r="P26" t="str">
        <f t="shared" si="55"/>
        <v>0</v>
      </c>
      <c r="R26" t="str">
        <f>0.0006*G26</f>
        <v>15.8484</v>
      </c>
      <c r="S26" t="str">
        <f t="shared" si="56"/>
        <v>0.2535744</v>
      </c>
      <c r="T26" t="str">
        <f t="shared" si="11"/>
        <v>0</v>
      </c>
      <c r="U26" t="str">
        <f t="shared" si="57"/>
        <v>0</v>
      </c>
      <c r="W26" t="str">
        <f>0.171*G26</f>
        <v>4516.794</v>
      </c>
      <c r="X26" t="str">
        <f t="shared" si="58"/>
        <v>72.268704</v>
      </c>
      <c r="Y26" t="str">
        <f t="shared" si="15"/>
        <v>0</v>
      </c>
      <c r="Z26" t="str">
        <f t="shared" si="59"/>
        <v>0</v>
      </c>
      <c r="AB26" t="str">
        <f>0.1771*G26</f>
        <v>4677.9194</v>
      </c>
      <c r="AC26" t="str">
        <f t="shared" si="60"/>
        <v>74.8467104</v>
      </c>
      <c r="AD26" t="str">
        <f t="shared" si="19"/>
        <v>0</v>
      </c>
      <c r="AE26" t="str">
        <f t="shared" si="61"/>
        <v>0</v>
      </c>
      <c r="AG26" t="str">
        <f>0.1739*G26</f>
        <v>4593.3946</v>
      </c>
      <c r="AH26" t="str">
        <f t="shared" si="62"/>
        <v>73.4943136</v>
      </c>
      <c r="AI26" t="str">
        <f t="shared" si="23"/>
        <v>0</v>
      </c>
      <c r="AJ26" t="str">
        <f t="shared" si="63"/>
        <v>0</v>
      </c>
      <c r="AL26" t="str">
        <f>0.1547*G26</f>
        <v>4086.2458</v>
      </c>
      <c r="AM26" t="str">
        <f t="shared" si="64"/>
        <v>65.3799328</v>
      </c>
      <c r="AN26" t="str">
        <f t="shared" si="27"/>
        <v>0</v>
      </c>
      <c r="AO26" t="str">
        <f t="shared" si="65"/>
        <v>0</v>
      </c>
      <c r="AQ26" t="str">
        <f>0.1049*G26</f>
        <v>2770.8286</v>
      </c>
      <c r="AR26" t="str">
        <f t="shared" si="66"/>
        <v>44.3332576</v>
      </c>
      <c r="AS26" t="str">
        <f t="shared" si="31"/>
        <v>0</v>
      </c>
      <c r="AT26" t="str">
        <f t="shared" si="67"/>
        <v>0</v>
      </c>
      <c r="AV26" t="str">
        <f t="shared" ref="AV26:AX26" si="88">sum(AR26,AM26,AH26,AC26,X26,S26,N26,I26)</f>
        <v>422.6662624</v>
      </c>
      <c r="AW26" t="str">
        <f t="shared" si="88"/>
        <v>0</v>
      </c>
      <c r="AX26" t="str">
        <f t="shared" si="88"/>
        <v>0</v>
      </c>
    </row>
    <row r="27">
      <c r="A27" s="11" t="s">
        <v>615</v>
      </c>
      <c r="C27" s="16">
        <v>0.023</v>
      </c>
      <c r="D27" s="79"/>
      <c r="G27" s="16">
        <v>6251.0</v>
      </c>
      <c r="H27" s="79" t="str">
        <f t="shared" ref="H27:H29" si="90">0.23*G27</f>
        <v>1438</v>
      </c>
      <c r="I27" t="str">
        <f t="shared" si="52"/>
        <v>33.06779</v>
      </c>
      <c r="J27" t="str">
        <f t="shared" si="34"/>
        <v>0</v>
      </c>
      <c r="K27" t="str">
        <f t="shared" si="53"/>
        <v>0</v>
      </c>
      <c r="M27" t="str">
        <f t="shared" ref="M27:M29" si="91">0*G27</f>
        <v>0</v>
      </c>
      <c r="N27" t="str">
        <f t="shared" si="54"/>
        <v>0</v>
      </c>
      <c r="O27" t="str">
        <f t="shared" si="7"/>
        <v>0</v>
      </c>
      <c r="P27" t="str">
        <f t="shared" si="55"/>
        <v>0</v>
      </c>
      <c r="R27" t="str">
        <f t="shared" ref="R27:R29" si="92">0.05*G27</f>
        <v>312.55</v>
      </c>
      <c r="S27" t="str">
        <f t="shared" si="56"/>
        <v>7.18865</v>
      </c>
      <c r="T27" t="str">
        <f t="shared" si="11"/>
        <v>0</v>
      </c>
      <c r="U27" t="str">
        <f t="shared" si="57"/>
        <v>0</v>
      </c>
      <c r="W27" t="str">
        <f t="shared" ref="W27:W29" si="93">0.05*G27</f>
        <v>312.55</v>
      </c>
      <c r="X27" t="str">
        <f t="shared" si="58"/>
        <v>7.18865</v>
      </c>
      <c r="Y27" t="str">
        <f t="shared" si="15"/>
        <v>0</v>
      </c>
      <c r="Z27" t="str">
        <f t="shared" si="59"/>
        <v>0</v>
      </c>
      <c r="AB27" t="str">
        <f t="shared" ref="AB27:AB29" si="94">0.31*G27</f>
        <v>1937.81</v>
      </c>
      <c r="AC27" t="str">
        <f t="shared" si="60"/>
        <v>44.56963</v>
      </c>
      <c r="AD27" t="str">
        <f t="shared" si="19"/>
        <v>0</v>
      </c>
      <c r="AE27" t="str">
        <f t="shared" si="61"/>
        <v>0</v>
      </c>
      <c r="AG27" t="str">
        <f t="shared" ref="AG27:AG29" si="95">0.09*G27</f>
        <v>562.59</v>
      </c>
      <c r="AH27" t="str">
        <f t="shared" si="62"/>
        <v>12.93957</v>
      </c>
      <c r="AI27" t="str">
        <f t="shared" si="23"/>
        <v>0</v>
      </c>
      <c r="AJ27" t="str">
        <f t="shared" si="63"/>
        <v>0</v>
      </c>
      <c r="AL27" t="str">
        <f t="shared" ref="AL27:AL29" si="96">0.17*G27</f>
        <v>1062.67</v>
      </c>
      <c r="AM27" t="str">
        <f t="shared" si="64"/>
        <v>24.44141</v>
      </c>
      <c r="AN27" t="str">
        <f t="shared" si="27"/>
        <v>0</v>
      </c>
      <c r="AO27" t="str">
        <f t="shared" si="65"/>
        <v>0</v>
      </c>
      <c r="AQ27" t="str">
        <f t="shared" ref="AQ27:AQ29" si="97">0.1*G27</f>
        <v>625.1</v>
      </c>
      <c r="AR27" t="str">
        <f t="shared" si="66"/>
        <v>14.3773</v>
      </c>
      <c r="AS27" t="str">
        <f t="shared" si="31"/>
        <v>0</v>
      </c>
      <c r="AT27" t="str">
        <f t="shared" si="67"/>
        <v>0</v>
      </c>
      <c r="AV27" t="str">
        <f t="shared" ref="AV27:AX27" si="89">sum(AR27,AM27,AH27,AC27,X27,S27,N27,I27)</f>
        <v>143.773</v>
      </c>
      <c r="AW27" t="str">
        <f t="shared" si="89"/>
        <v>0</v>
      </c>
      <c r="AX27" t="str">
        <f t="shared" si="89"/>
        <v>0</v>
      </c>
    </row>
    <row r="28">
      <c r="A28" s="11" t="s">
        <v>616</v>
      </c>
      <c r="C28" s="16">
        <v>3.057</v>
      </c>
      <c r="D28" s="79"/>
      <c r="G28" s="16">
        <v>919.0</v>
      </c>
      <c r="H28" s="79" t="str">
        <f t="shared" si="90"/>
        <v>211</v>
      </c>
      <c r="I28" t="str">
        <f t="shared" si="52"/>
        <v>646.15809</v>
      </c>
      <c r="J28" t="str">
        <f t="shared" si="34"/>
        <v>0</v>
      </c>
      <c r="K28" t="str">
        <f t="shared" si="53"/>
        <v>0</v>
      </c>
      <c r="M28" t="str">
        <f t="shared" si="91"/>
        <v>0</v>
      </c>
      <c r="N28" t="str">
        <f t="shared" si="54"/>
        <v>0</v>
      </c>
      <c r="O28" t="str">
        <f t="shared" si="7"/>
        <v>0</v>
      </c>
      <c r="P28" t="str">
        <f t="shared" si="55"/>
        <v>0</v>
      </c>
      <c r="R28" t="str">
        <f t="shared" si="92"/>
        <v>45.95</v>
      </c>
      <c r="S28" t="str">
        <f t="shared" si="56"/>
        <v>140.46915</v>
      </c>
      <c r="T28" t="str">
        <f t="shared" si="11"/>
        <v>0</v>
      </c>
      <c r="U28" t="str">
        <f t="shared" si="57"/>
        <v>0</v>
      </c>
      <c r="W28" t="str">
        <f t="shared" si="93"/>
        <v>45.95</v>
      </c>
      <c r="X28" t="str">
        <f t="shared" si="58"/>
        <v>140.46915</v>
      </c>
      <c r="Y28" t="str">
        <f t="shared" si="15"/>
        <v>0</v>
      </c>
      <c r="Z28" t="str">
        <f t="shared" si="59"/>
        <v>0</v>
      </c>
      <c r="AB28" t="str">
        <f t="shared" si="94"/>
        <v>284.89</v>
      </c>
      <c r="AC28" t="str">
        <f t="shared" si="60"/>
        <v>870.90873</v>
      </c>
      <c r="AD28" t="str">
        <f t="shared" si="19"/>
        <v>0</v>
      </c>
      <c r="AE28" t="str">
        <f t="shared" si="61"/>
        <v>0</v>
      </c>
      <c r="AG28" t="str">
        <f t="shared" si="95"/>
        <v>82.71</v>
      </c>
      <c r="AH28" t="str">
        <f t="shared" si="62"/>
        <v>252.84447</v>
      </c>
      <c r="AI28" t="str">
        <f t="shared" si="23"/>
        <v>0</v>
      </c>
      <c r="AJ28" t="str">
        <f t="shared" si="63"/>
        <v>0</v>
      </c>
      <c r="AL28" t="str">
        <f t="shared" si="96"/>
        <v>156.23</v>
      </c>
      <c r="AM28" t="str">
        <f t="shared" si="64"/>
        <v>477.59511</v>
      </c>
      <c r="AN28" t="str">
        <f t="shared" si="27"/>
        <v>0</v>
      </c>
      <c r="AO28" t="str">
        <f t="shared" si="65"/>
        <v>0</v>
      </c>
      <c r="AQ28" t="str">
        <f t="shared" si="97"/>
        <v>91.9</v>
      </c>
      <c r="AR28" t="str">
        <f t="shared" si="66"/>
        <v>280.9383</v>
      </c>
      <c r="AS28" t="str">
        <f t="shared" si="31"/>
        <v>0</v>
      </c>
      <c r="AT28" t="str">
        <f t="shared" si="67"/>
        <v>0</v>
      </c>
      <c r="AV28" t="str">
        <f t="shared" ref="AV28:AX28" si="98">sum(AR28,AM28,AH28,AC28,X28,S28,N28,I28)</f>
        <v>2809.383</v>
      </c>
      <c r="AW28" t="str">
        <f t="shared" si="98"/>
        <v>0</v>
      </c>
      <c r="AX28" t="str">
        <f t="shared" si="98"/>
        <v>0</v>
      </c>
    </row>
    <row r="29">
      <c r="A29" s="11" t="s">
        <v>142</v>
      </c>
      <c r="C29" s="16" t="str">
        <f>3089/296</f>
        <v>10.43581081</v>
      </c>
      <c r="D29" s="79"/>
      <c r="G29" s="11">
        <v>296.0</v>
      </c>
      <c r="H29" s="79" t="str">
        <f t="shared" si="90"/>
        <v>68</v>
      </c>
      <c r="I29" t="str">
        <f t="shared" si="52"/>
        <v>710.47</v>
      </c>
      <c r="J29" t="str">
        <f t="shared" si="34"/>
        <v>0</v>
      </c>
      <c r="K29" t="str">
        <f t="shared" si="53"/>
        <v>0</v>
      </c>
      <c r="M29" t="str">
        <f t="shared" si="91"/>
        <v>0</v>
      </c>
      <c r="N29" t="str">
        <f t="shared" si="54"/>
        <v>0</v>
      </c>
      <c r="O29" t="str">
        <f t="shared" si="7"/>
        <v>0</v>
      </c>
      <c r="P29" t="str">
        <f t="shared" si="55"/>
        <v>0</v>
      </c>
      <c r="R29" t="str">
        <f t="shared" si="92"/>
        <v>14.8</v>
      </c>
      <c r="S29" t="str">
        <f t="shared" si="56"/>
        <v>154.45</v>
      </c>
      <c r="T29" t="str">
        <f t="shared" si="11"/>
        <v>0</v>
      </c>
      <c r="U29" t="str">
        <f t="shared" si="57"/>
        <v>0</v>
      </c>
      <c r="W29" t="str">
        <f t="shared" si="93"/>
        <v>14.8</v>
      </c>
      <c r="X29" t="str">
        <f t="shared" si="58"/>
        <v>154.45</v>
      </c>
      <c r="Y29" t="str">
        <f t="shared" si="15"/>
        <v>0</v>
      </c>
      <c r="Z29" t="str">
        <f t="shared" si="59"/>
        <v>0</v>
      </c>
      <c r="AB29" t="str">
        <f t="shared" si="94"/>
        <v>91.76</v>
      </c>
      <c r="AC29" t="str">
        <f t="shared" si="60"/>
        <v>957.59</v>
      </c>
      <c r="AD29" t="str">
        <f t="shared" si="19"/>
        <v>0</v>
      </c>
      <c r="AE29" t="str">
        <f t="shared" si="61"/>
        <v>0</v>
      </c>
      <c r="AG29" t="str">
        <f t="shared" si="95"/>
        <v>26.64</v>
      </c>
      <c r="AH29" t="str">
        <f t="shared" si="62"/>
        <v>278.01</v>
      </c>
      <c r="AI29" t="str">
        <f t="shared" si="23"/>
        <v>0</v>
      </c>
      <c r="AJ29" t="str">
        <f t="shared" si="63"/>
        <v>0</v>
      </c>
      <c r="AL29" t="str">
        <f t="shared" si="96"/>
        <v>50.32</v>
      </c>
      <c r="AM29" t="str">
        <f t="shared" si="64"/>
        <v>525.13</v>
      </c>
      <c r="AN29" t="str">
        <f t="shared" si="27"/>
        <v>0</v>
      </c>
      <c r="AO29" t="str">
        <f t="shared" si="65"/>
        <v>0</v>
      </c>
      <c r="AQ29" t="str">
        <f t="shared" si="97"/>
        <v>29.6</v>
      </c>
      <c r="AR29" t="str">
        <f t="shared" si="66"/>
        <v>308.9</v>
      </c>
      <c r="AS29" t="str">
        <f t="shared" si="31"/>
        <v>0</v>
      </c>
      <c r="AT29" t="str">
        <f t="shared" si="67"/>
        <v>0</v>
      </c>
      <c r="AV29" t="str">
        <f t="shared" ref="AV29:AX29" si="99">sum(AR29,AM29,AH29,AC29,X29,S29,N29,I29)</f>
        <v>3089</v>
      </c>
      <c r="AW29" t="str">
        <f t="shared" si="99"/>
        <v>0</v>
      </c>
      <c r="AX29" t="str">
        <f t="shared" si="99"/>
        <v>0</v>
      </c>
    </row>
    <row r="30">
      <c r="A30" s="83" t="s">
        <v>149</v>
      </c>
      <c r="C30" s="16">
        <v>0.6</v>
      </c>
      <c r="D30" s="79"/>
      <c r="G30" s="11">
        <v>1150.0</v>
      </c>
      <c r="H30" s="79" t="str">
        <f t="shared" ref="H30:H33" si="101">0.1106*G30</f>
        <v>127</v>
      </c>
      <c r="I30" t="str">
        <f t="shared" si="52"/>
        <v>76.314</v>
      </c>
      <c r="J30" t="str">
        <f t="shared" si="34"/>
        <v>0</v>
      </c>
      <c r="K30" t="str">
        <f t="shared" si="53"/>
        <v>0</v>
      </c>
      <c r="M30" t="str">
        <f t="shared" ref="M30:M33" si="102">0.1073*G30</f>
        <v>123.395</v>
      </c>
      <c r="N30" t="str">
        <f t="shared" si="54"/>
        <v>74.037</v>
      </c>
      <c r="O30" t="str">
        <f t="shared" si="7"/>
        <v>0</v>
      </c>
      <c r="P30" t="str">
        <f t="shared" si="55"/>
        <v>0</v>
      </c>
      <c r="R30" t="str">
        <f t="shared" ref="R30:R33" si="103">0.0006*G30</f>
        <v>0.69</v>
      </c>
      <c r="S30" t="str">
        <f t="shared" si="56"/>
        <v>0.414</v>
      </c>
      <c r="T30" t="str">
        <f t="shared" si="11"/>
        <v>0</v>
      </c>
      <c r="U30" t="str">
        <f t="shared" si="57"/>
        <v>0</v>
      </c>
      <c r="W30" t="str">
        <f t="shared" ref="W30:W33" si="104">0.171*G30</f>
        <v>196.65</v>
      </c>
      <c r="X30" t="str">
        <f t="shared" si="58"/>
        <v>117.99</v>
      </c>
      <c r="Y30" t="str">
        <f t="shared" si="15"/>
        <v>0</v>
      </c>
      <c r="Z30" t="str">
        <f t="shared" si="59"/>
        <v>0</v>
      </c>
      <c r="AB30" t="str">
        <f t="shared" ref="AB30:AB33" si="105">0.1771*G30</f>
        <v>203.665</v>
      </c>
      <c r="AC30" t="str">
        <f t="shared" si="60"/>
        <v>122.199</v>
      </c>
      <c r="AD30" t="str">
        <f t="shared" si="19"/>
        <v>0</v>
      </c>
      <c r="AE30" t="str">
        <f t="shared" si="61"/>
        <v>0</v>
      </c>
      <c r="AG30" t="str">
        <f t="shared" ref="AG30:AG33" si="106">0.1739*G30</f>
        <v>199.985</v>
      </c>
      <c r="AH30" t="str">
        <f t="shared" si="62"/>
        <v>119.991</v>
      </c>
      <c r="AI30" t="str">
        <f t="shared" si="23"/>
        <v>0</v>
      </c>
      <c r="AJ30" t="str">
        <f t="shared" si="63"/>
        <v>0</v>
      </c>
      <c r="AL30" t="str">
        <f t="shared" ref="AL30:AL33" si="107">0.1547*G30</f>
        <v>177.905</v>
      </c>
      <c r="AM30" t="str">
        <f t="shared" si="64"/>
        <v>106.743</v>
      </c>
      <c r="AN30" t="str">
        <f t="shared" si="27"/>
        <v>0</v>
      </c>
      <c r="AO30" t="str">
        <f t="shared" si="65"/>
        <v>0</v>
      </c>
      <c r="AQ30" t="str">
        <f t="shared" ref="AQ30:AQ33" si="108">0.1049*G30</f>
        <v>120.635</v>
      </c>
      <c r="AR30" t="str">
        <f t="shared" si="66"/>
        <v>72.381</v>
      </c>
      <c r="AS30" t="str">
        <f t="shared" si="31"/>
        <v>0</v>
      </c>
      <c r="AT30" t="str">
        <f t="shared" si="67"/>
        <v>0</v>
      </c>
      <c r="AV30" t="str">
        <f t="shared" ref="AV30:AX30" si="100">sum(AR30,AM30,AH30,AC30,X30,S30,N30,I30)</f>
        <v>690.069</v>
      </c>
      <c r="AW30" t="str">
        <f t="shared" si="100"/>
        <v>0</v>
      </c>
      <c r="AX30" t="str">
        <f t="shared" si="100"/>
        <v>0</v>
      </c>
    </row>
    <row r="31">
      <c r="A31" s="83" t="s">
        <v>617</v>
      </c>
      <c r="D31" s="79"/>
      <c r="G31" s="11">
        <v>514.0</v>
      </c>
      <c r="H31" s="79" t="str">
        <f t="shared" si="101"/>
        <v>57</v>
      </c>
      <c r="I31" t="str">
        <f t="shared" si="52"/>
        <v>0</v>
      </c>
      <c r="J31" t="str">
        <f t="shared" si="34"/>
        <v>0</v>
      </c>
      <c r="K31" t="str">
        <f t="shared" si="53"/>
        <v>0</v>
      </c>
      <c r="M31" t="str">
        <f t="shared" si="102"/>
        <v>55.1522</v>
      </c>
      <c r="N31" t="str">
        <f t="shared" si="54"/>
        <v>0</v>
      </c>
      <c r="O31" t="str">
        <f t="shared" si="7"/>
        <v>0</v>
      </c>
      <c r="P31" t="str">
        <f t="shared" si="55"/>
        <v>0</v>
      </c>
      <c r="R31" t="str">
        <f t="shared" si="103"/>
        <v>0.3084</v>
      </c>
      <c r="S31" t="str">
        <f t="shared" si="56"/>
        <v>0</v>
      </c>
      <c r="T31" t="str">
        <f t="shared" si="11"/>
        <v>0</v>
      </c>
      <c r="U31" t="str">
        <f t="shared" si="57"/>
        <v>0</v>
      </c>
      <c r="W31" t="str">
        <f t="shared" si="104"/>
        <v>87.894</v>
      </c>
      <c r="X31" t="str">
        <f t="shared" si="58"/>
        <v>0</v>
      </c>
      <c r="Y31" t="str">
        <f t="shared" si="15"/>
        <v>0</v>
      </c>
      <c r="Z31" t="str">
        <f t="shared" si="59"/>
        <v>0</v>
      </c>
      <c r="AB31" t="str">
        <f t="shared" si="105"/>
        <v>91.0294</v>
      </c>
      <c r="AC31" t="str">
        <f t="shared" si="60"/>
        <v>0</v>
      </c>
      <c r="AD31" t="str">
        <f t="shared" si="19"/>
        <v>0</v>
      </c>
      <c r="AE31" t="str">
        <f t="shared" si="61"/>
        <v>0</v>
      </c>
      <c r="AG31" t="str">
        <f t="shared" si="106"/>
        <v>89.3846</v>
      </c>
      <c r="AH31" t="str">
        <f t="shared" si="62"/>
        <v>0</v>
      </c>
      <c r="AI31" t="str">
        <f t="shared" si="23"/>
        <v>0</v>
      </c>
      <c r="AJ31" t="str">
        <f t="shared" si="63"/>
        <v>0</v>
      </c>
      <c r="AL31" t="str">
        <f t="shared" si="107"/>
        <v>79.5158</v>
      </c>
      <c r="AM31" t="str">
        <f t="shared" si="64"/>
        <v>0</v>
      </c>
      <c r="AN31" t="str">
        <f t="shared" si="27"/>
        <v>0</v>
      </c>
      <c r="AO31" t="str">
        <f t="shared" si="65"/>
        <v>0</v>
      </c>
      <c r="AQ31" t="str">
        <f t="shared" si="108"/>
        <v>53.9186</v>
      </c>
      <c r="AR31" t="str">
        <f t="shared" si="66"/>
        <v>0</v>
      </c>
      <c r="AS31" t="str">
        <f t="shared" si="31"/>
        <v>0</v>
      </c>
      <c r="AT31" t="str">
        <f t="shared" si="67"/>
        <v>0</v>
      </c>
      <c r="AV31" t="str">
        <f t="shared" ref="AV31:AX31" si="109">sum(AR31,AM31,AH31,AC31,X31,S31,N31,I31)</f>
        <v>0</v>
      </c>
      <c r="AW31" t="str">
        <f t="shared" si="109"/>
        <v>0</v>
      </c>
      <c r="AX31" t="str">
        <f t="shared" si="109"/>
        <v>0</v>
      </c>
    </row>
    <row r="32">
      <c r="A32" s="30" t="s">
        <v>154</v>
      </c>
      <c r="D32" s="115"/>
      <c r="E32" s="18" t="str">
        <f>59.63/432610</f>
        <v>0.0001378377754</v>
      </c>
      <c r="G32" s="16">
        <v>432610.0</v>
      </c>
      <c r="H32" s="79" t="str">
        <f t="shared" si="101"/>
        <v>47847</v>
      </c>
      <c r="I32" t="str">
        <f t="shared" si="52"/>
        <v>0</v>
      </c>
      <c r="J32" t="str">
        <f t="shared" si="34"/>
        <v>0</v>
      </c>
      <c r="K32" t="str">
        <f t="shared" si="53"/>
        <v>6.595078</v>
      </c>
      <c r="M32" t="str">
        <f t="shared" si="102"/>
        <v>46419.053</v>
      </c>
      <c r="N32" t="str">
        <f t="shared" si="54"/>
        <v>0</v>
      </c>
      <c r="O32" t="str">
        <f t="shared" si="7"/>
        <v>0</v>
      </c>
      <c r="P32" t="str">
        <f t="shared" si="55"/>
        <v>6.398299</v>
      </c>
      <c r="R32" t="str">
        <f t="shared" si="103"/>
        <v>259.566</v>
      </c>
      <c r="S32" t="str">
        <f t="shared" si="56"/>
        <v>0</v>
      </c>
      <c r="T32" t="str">
        <f t="shared" si="11"/>
        <v>0</v>
      </c>
      <c r="U32" t="str">
        <f t="shared" si="57"/>
        <v>0.035778</v>
      </c>
      <c r="W32" t="str">
        <f t="shared" si="104"/>
        <v>73976.31</v>
      </c>
      <c r="X32" t="str">
        <f t="shared" si="58"/>
        <v>0</v>
      </c>
      <c r="Y32" t="str">
        <f t="shared" si="15"/>
        <v>0</v>
      </c>
      <c r="Z32" t="str">
        <f t="shared" si="59"/>
        <v>10.19673</v>
      </c>
      <c r="AB32" t="str">
        <f t="shared" si="105"/>
        <v>76615.231</v>
      </c>
      <c r="AC32" t="str">
        <f t="shared" si="60"/>
        <v>0</v>
      </c>
      <c r="AD32" t="str">
        <f t="shared" si="19"/>
        <v>0</v>
      </c>
      <c r="AE32" t="str">
        <f t="shared" si="61"/>
        <v>10.560473</v>
      </c>
      <c r="AG32" t="str">
        <f t="shared" si="106"/>
        <v>75230.879</v>
      </c>
      <c r="AH32" t="str">
        <f t="shared" si="62"/>
        <v>0</v>
      </c>
      <c r="AI32" t="str">
        <f t="shared" si="23"/>
        <v>0</v>
      </c>
      <c r="AJ32" t="str">
        <f t="shared" si="63"/>
        <v>10.369657</v>
      </c>
      <c r="AL32" t="str">
        <f t="shared" si="107"/>
        <v>66924.767</v>
      </c>
      <c r="AM32" t="str">
        <f t="shared" si="64"/>
        <v>0</v>
      </c>
      <c r="AN32" t="str">
        <f t="shared" si="27"/>
        <v>0</v>
      </c>
      <c r="AO32" t="str">
        <f t="shared" si="65"/>
        <v>9.224761</v>
      </c>
      <c r="AQ32" t="str">
        <f t="shared" si="108"/>
        <v>45380.789</v>
      </c>
      <c r="AR32" t="str">
        <f t="shared" si="66"/>
        <v>0</v>
      </c>
      <c r="AS32" t="str">
        <f t="shared" si="31"/>
        <v>0</v>
      </c>
      <c r="AT32" t="str">
        <f t="shared" si="67"/>
        <v>6.255187</v>
      </c>
      <c r="AV32" t="str">
        <f t="shared" ref="AV32:AX32" si="110">sum(AR32,AM32,AH32,AC32,X32,S32,N32,I32)</f>
        <v>0</v>
      </c>
      <c r="AW32" t="str">
        <f t="shared" si="110"/>
        <v>0</v>
      </c>
      <c r="AX32" t="str">
        <f t="shared" si="110"/>
        <v>59.635963</v>
      </c>
    </row>
    <row r="33">
      <c r="A33" s="30" t="s">
        <v>161</v>
      </c>
      <c r="C33" s="16">
        <v>0.04536</v>
      </c>
      <c r="D33" s="79"/>
      <c r="G33" s="16">
        <v>11464.0</v>
      </c>
      <c r="H33" s="79" t="str">
        <f t="shared" si="101"/>
        <v>1268</v>
      </c>
      <c r="I33" t="str">
        <f t="shared" si="52"/>
        <v>57.51277862</v>
      </c>
      <c r="J33" t="str">
        <f t="shared" si="34"/>
        <v>0</v>
      </c>
      <c r="K33" t="str">
        <f t="shared" si="53"/>
        <v>0</v>
      </c>
      <c r="M33" t="str">
        <f t="shared" si="102"/>
        <v>1230.0872</v>
      </c>
      <c r="N33" t="str">
        <f t="shared" si="54"/>
        <v>55.79675539</v>
      </c>
      <c r="O33" t="str">
        <f t="shared" si="7"/>
        <v>0</v>
      </c>
      <c r="P33" t="str">
        <f t="shared" si="55"/>
        <v>0</v>
      </c>
      <c r="R33" t="str">
        <f t="shared" si="103"/>
        <v>6.8784</v>
      </c>
      <c r="S33" t="str">
        <f t="shared" si="56"/>
        <v>0.312004224</v>
      </c>
      <c r="T33" t="str">
        <f t="shared" si="11"/>
        <v>0</v>
      </c>
      <c r="U33" t="str">
        <f t="shared" si="57"/>
        <v>0</v>
      </c>
      <c r="W33" t="str">
        <f t="shared" si="104"/>
        <v>1960.344</v>
      </c>
      <c r="X33" t="str">
        <f t="shared" si="58"/>
        <v>88.92120384</v>
      </c>
      <c r="Y33" t="str">
        <f t="shared" si="15"/>
        <v>0</v>
      </c>
      <c r="Z33" t="str">
        <f t="shared" si="59"/>
        <v>0</v>
      </c>
      <c r="AB33" t="str">
        <f t="shared" si="105"/>
        <v>2030.2744</v>
      </c>
      <c r="AC33" t="str">
        <f t="shared" si="60"/>
        <v>92.09324678</v>
      </c>
      <c r="AD33" t="str">
        <f t="shared" si="19"/>
        <v>0</v>
      </c>
      <c r="AE33" t="str">
        <f t="shared" si="61"/>
        <v>0</v>
      </c>
      <c r="AG33" t="str">
        <f t="shared" si="106"/>
        <v>1993.5896</v>
      </c>
      <c r="AH33" t="str">
        <f t="shared" si="62"/>
        <v>90.42922426</v>
      </c>
      <c r="AI33" t="str">
        <f t="shared" si="23"/>
        <v>0</v>
      </c>
      <c r="AJ33" t="str">
        <f t="shared" si="63"/>
        <v>0</v>
      </c>
      <c r="AL33" t="str">
        <f t="shared" si="107"/>
        <v>1773.4808</v>
      </c>
      <c r="AM33" t="str">
        <f t="shared" si="64"/>
        <v>80.44508909</v>
      </c>
      <c r="AN33" t="str">
        <f t="shared" si="27"/>
        <v>0</v>
      </c>
      <c r="AO33" t="str">
        <f t="shared" si="65"/>
        <v>0</v>
      </c>
      <c r="AQ33" t="str">
        <f t="shared" si="108"/>
        <v>1202.5736</v>
      </c>
      <c r="AR33" t="str">
        <f t="shared" si="66"/>
        <v>54.5487385</v>
      </c>
      <c r="AS33" t="str">
        <f t="shared" si="31"/>
        <v>0</v>
      </c>
      <c r="AT33" t="str">
        <f t="shared" si="67"/>
        <v>0</v>
      </c>
      <c r="AV33" t="str">
        <f t="shared" ref="AV33:AX33" si="111">sum(AR33,AM33,AH33,AC33,X33,S33,N33,I33)</f>
        <v>520.0590407</v>
      </c>
      <c r="AW33" t="str">
        <f t="shared" si="111"/>
        <v>0</v>
      </c>
      <c r="AX33" t="str">
        <f t="shared" si="111"/>
        <v>0</v>
      </c>
    </row>
    <row r="34">
      <c r="A34" s="138" t="s">
        <v>618</v>
      </c>
      <c r="B34" s="131"/>
      <c r="C34" s="131"/>
      <c r="D34" s="131"/>
      <c r="E34" s="131"/>
      <c r="F34" s="131"/>
      <c r="G34" s="131" t="str">
        <f t="shared" ref="G34:K34" si="112">SUM(G5:G33)</f>
        <v>717116.661</v>
      </c>
      <c r="H34" s="139" t="str">
        <f t="shared" si="112"/>
        <v>79662</v>
      </c>
      <c r="I34" s="131" t="str">
        <f t="shared" si="112"/>
        <v>3861.280208</v>
      </c>
      <c r="J34" s="131" t="str">
        <f t="shared" si="112"/>
        <v>0</v>
      </c>
      <c r="K34" s="131" t="str">
        <f t="shared" si="112"/>
        <v>5666.730135</v>
      </c>
      <c r="L34" s="131"/>
      <c r="M34" s="131" t="str">
        <f t="shared" ref="M34:P34" si="113">SUM(M5:M33)</f>
        <v>76033.49765</v>
      </c>
      <c r="N34" s="131" t="str">
        <f t="shared" si="113"/>
        <v>12078.09339</v>
      </c>
      <c r="O34" s="131" t="str">
        <f t="shared" si="113"/>
        <v>0</v>
      </c>
      <c r="P34" s="131" t="str">
        <f t="shared" si="113"/>
        <v>5531.730483</v>
      </c>
      <c r="Q34" s="131"/>
      <c r="R34" s="131" t="str">
        <f t="shared" ref="R34:U34" si="114">SUM(R5:R33)</f>
        <v>1033.34997</v>
      </c>
      <c r="S34" s="131" t="str">
        <f t="shared" si="114"/>
        <v>4008.194333</v>
      </c>
      <c r="T34" s="131" t="str">
        <f t="shared" si="114"/>
        <v>0</v>
      </c>
      <c r="U34" s="131" t="str">
        <f t="shared" si="114"/>
        <v>52.0417548</v>
      </c>
      <c r="V34" s="131"/>
      <c r="W34" s="131" t="str">
        <f t="shared" ref="W34:Z34" si="115">SUM(W5:W33)</f>
        <v>121237.0924</v>
      </c>
      <c r="X34" s="131" t="str">
        <f t="shared" si="115"/>
        <v>11452.18983</v>
      </c>
      <c r="Y34" s="131" t="str">
        <f t="shared" si="115"/>
        <v>0</v>
      </c>
      <c r="Z34" s="131" t="str">
        <f t="shared" si="115"/>
        <v>8791.220118</v>
      </c>
      <c r="AA34" s="131"/>
      <c r="AB34" s="131" t="str">
        <f t="shared" ref="AB34:AE34" si="116">SUM(AB5:AB33)</f>
        <v>128902.9781</v>
      </c>
      <c r="AC34" s="131" t="str">
        <f t="shared" si="116"/>
        <v>36414.42181</v>
      </c>
      <c r="AD34" s="131" t="str">
        <f t="shared" si="116"/>
        <v>0</v>
      </c>
      <c r="AE34" s="131" t="str">
        <f t="shared" si="116"/>
        <v>9231.561292</v>
      </c>
      <c r="AF34" s="131"/>
      <c r="AG34" s="131" t="str">
        <f t="shared" ref="AG34:AJ34" si="117">SUM(AG5:AG33)</f>
        <v>123702.9479</v>
      </c>
      <c r="AH34" s="131" t="str">
        <f t="shared" si="117"/>
        <v>16736.59264</v>
      </c>
      <c r="AI34" s="131" t="str">
        <f t="shared" si="117"/>
        <v>0</v>
      </c>
      <c r="AJ34" s="131" t="str">
        <f t="shared" si="117"/>
        <v>8948.325266</v>
      </c>
      <c r="AK34" s="131"/>
      <c r="AL34" s="131" t="str">
        <f t="shared" ref="AL34:AO34" si="118">SUM(AL5:AL33)</f>
        <v>111512.9742</v>
      </c>
      <c r="AM34" s="131" t="str">
        <f t="shared" si="118"/>
        <v>26864.70605</v>
      </c>
      <c r="AN34" s="131" t="str">
        <f t="shared" si="118"/>
        <v>0</v>
      </c>
      <c r="AO34" s="131" t="str">
        <f t="shared" si="118"/>
        <v>8032.749113</v>
      </c>
      <c r="AP34" s="131"/>
      <c r="AQ34" s="131" t="str">
        <f t="shared" ref="AQ34:AT34" si="119">SUM(AQ5:AQ33)</f>
        <v>75103.83773</v>
      </c>
      <c r="AR34" s="131" t="str">
        <f t="shared" si="119"/>
        <v>9817.67286</v>
      </c>
      <c r="AS34" s="131" t="str">
        <f t="shared" si="119"/>
        <v>0</v>
      </c>
      <c r="AT34" s="131" t="str">
        <f t="shared" si="119"/>
        <v>5413.023464</v>
      </c>
      <c r="AU34" s="131"/>
      <c r="AV34" s="131" t="str">
        <f t="shared" ref="AV34:AX34" si="120">SUM(AV5:AV33)</f>
        <v>121233.1511</v>
      </c>
      <c r="AW34" s="131" t="str">
        <f t="shared" si="120"/>
        <v>0</v>
      </c>
      <c r="AX34" s="131" t="str">
        <f t="shared" si="120"/>
        <v>51667.38163</v>
      </c>
      <c r="AY34" s="131"/>
      <c r="AZ34" s="131"/>
      <c r="BA34" s="131"/>
      <c r="BB34" s="131"/>
      <c r="BC34" s="131"/>
    </row>
    <row r="35">
      <c r="A35" s="41"/>
    </row>
    <row r="36">
      <c r="A36" s="140" t="s">
        <v>164</v>
      </c>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c r="AE36" s="126"/>
      <c r="AF36" s="126"/>
      <c r="AG36" s="126"/>
      <c r="AH36" s="126"/>
      <c r="AI36" s="126"/>
      <c r="AJ36" s="126"/>
      <c r="AK36" s="126"/>
      <c r="AL36" s="126"/>
      <c r="AM36" s="126"/>
      <c r="AN36" s="126"/>
      <c r="AO36" s="126"/>
      <c r="AP36" s="126"/>
      <c r="AQ36" s="126"/>
      <c r="AR36" s="126"/>
      <c r="AS36" s="126"/>
      <c r="AT36" s="126"/>
      <c r="AU36" s="126"/>
      <c r="AV36" s="126"/>
      <c r="AW36" s="126"/>
      <c r="AX36" s="126"/>
      <c r="AY36" s="126"/>
      <c r="AZ36" s="126"/>
      <c r="BA36" s="126"/>
      <c r="BB36" s="126"/>
      <c r="BC36" s="126"/>
    </row>
    <row r="37">
      <c r="A37" s="141" t="s">
        <v>165</v>
      </c>
      <c r="B37" s="16" t="s">
        <v>687</v>
      </c>
      <c r="C37" t="str">
        <f>18/1000000</f>
        <v>0.000018</v>
      </c>
      <c r="G37" s="16">
        <v>1500.0</v>
      </c>
      <c r="H37" s="79" t="str">
        <f>H3*$G37</f>
        <v>166</v>
      </c>
      <c r="I37" s="79" t="str">
        <f>H37*$C$37</f>
        <v>0</v>
      </c>
      <c r="M37" s="79" t="str">
        <f>M3*$G$37</f>
        <v>161</v>
      </c>
      <c r="N37" s="79" t="str">
        <f>M37*$C$37</f>
        <v>0</v>
      </c>
      <c r="R37" s="79" t="str">
        <f>R3*$G$37</f>
        <v>1</v>
      </c>
      <c r="S37" s="79" t="str">
        <f>R37*$C$37</f>
        <v>0</v>
      </c>
      <c r="W37" s="79" t="str">
        <f>W3*$G$37</f>
        <v>257</v>
      </c>
      <c r="X37" s="79" t="str">
        <f>W37*$C$37</f>
        <v>0</v>
      </c>
      <c r="AB37" s="79" t="str">
        <f>AB3*$G$37</f>
        <v>266</v>
      </c>
      <c r="AC37" s="79" t="str">
        <f>AB37*$C$37</f>
        <v>0</v>
      </c>
      <c r="AG37" s="79" t="str">
        <f>AG3*$G$37</f>
        <v>261</v>
      </c>
      <c r="AH37" s="79" t="str">
        <f>AG37*$C$37</f>
        <v>0</v>
      </c>
      <c r="AL37" s="79" t="str">
        <f>AL3*$G$37</f>
        <v>232</v>
      </c>
      <c r="AM37" s="79" t="str">
        <f>AL37*$C$37</f>
        <v>0</v>
      </c>
      <c r="AQ37" s="79" t="str">
        <f>AQ3*$G$37</f>
        <v>157</v>
      </c>
      <c r="AR37" s="79" t="str">
        <f>AQ37*$C$37</f>
        <v>0</v>
      </c>
      <c r="AV37" s="11" t="str">
        <f>C37*G37</f>
        <v>0.027</v>
      </c>
    </row>
    <row r="38">
      <c r="A38" s="142" t="s">
        <v>170</v>
      </c>
      <c r="G38" s="16">
        <v>213.0</v>
      </c>
      <c r="H38" s="79"/>
    </row>
    <row r="39">
      <c r="A39" s="141" t="s">
        <v>173</v>
      </c>
      <c r="B39" s="11" t="s">
        <v>175</v>
      </c>
      <c r="C39" t="str">
        <f>204.1/1000000</f>
        <v>0.0002041</v>
      </c>
      <c r="G39" s="16">
        <v>35.0</v>
      </c>
      <c r="H39" s="79"/>
      <c r="M39" t="str">
        <f>G39</f>
        <v>35</v>
      </c>
      <c r="N39" s="79" t="str">
        <f>M39*C39</f>
        <v>0</v>
      </c>
      <c r="AV39" t="str">
        <f>C39*G39</f>
        <v>0.0071435</v>
      </c>
    </row>
    <row r="40">
      <c r="A40" s="141" t="s">
        <v>177</v>
      </c>
      <c r="C40" s="16" t="str">
        <f>0.4/1000000</f>
        <v>0.0000004</v>
      </c>
      <c r="G40" s="16">
        <v>1100.0</v>
      </c>
      <c r="H40" s="79" t="str">
        <f>H3*$G40</f>
        <v>122</v>
      </c>
      <c r="I40" t="str">
        <f>$H$40*C40</f>
        <v>0.000048664</v>
      </c>
      <c r="M40" t="str">
        <f>M$3*$G$40</f>
        <v>118.03</v>
      </c>
      <c r="N40" s="16" t="str">
        <f>M40*$C$40</f>
        <v>0.000047212</v>
      </c>
      <c r="R40" t="str">
        <f>R$3*$G$40</f>
        <v>0.66</v>
      </c>
      <c r="S40" s="16" t="str">
        <f>R40*$C$40</f>
        <v>0.000000264</v>
      </c>
      <c r="W40" t="str">
        <f>W$3*$G$40</f>
        <v>188.1</v>
      </c>
      <c r="X40" s="16" t="str">
        <f>W40*$C$40</f>
        <v>0.00007524</v>
      </c>
      <c r="AB40" t="str">
        <f>AB$3*$G$40</f>
        <v>194.81</v>
      </c>
      <c r="AC40" s="16" t="str">
        <f>AB40*$C$40</f>
        <v>0.000077924</v>
      </c>
      <c r="AG40" t="str">
        <f>AG$3*$G$40</f>
        <v>191.29</v>
      </c>
      <c r="AH40" s="16" t="str">
        <f>AG40*$C$40</f>
        <v>0.000076516</v>
      </c>
      <c r="AL40" t="str">
        <f>AL$3*$G$40</f>
        <v>170.17</v>
      </c>
      <c r="AM40" s="16" t="str">
        <f>AL40*$C$40</f>
        <v>0.000068068</v>
      </c>
      <c r="AQ40" t="str">
        <f>AQ$3*$G$40</f>
        <v>115.39</v>
      </c>
      <c r="AR40" s="16" t="str">
        <f>AQ40*$C$40</f>
        <v>0.000046156</v>
      </c>
      <c r="AV40" t="str">
        <f>G40*C40</f>
        <v>0.00044</v>
      </c>
    </row>
    <row r="41">
      <c r="A41" s="141" t="s">
        <v>181</v>
      </c>
      <c r="B41" s="16" t="s">
        <v>688</v>
      </c>
      <c r="C41" t="str">
        <f>60/1000000</f>
        <v>0.00006</v>
      </c>
      <c r="G41" s="16">
        <v>74.0</v>
      </c>
      <c r="H41" s="43">
        <v>6.0</v>
      </c>
      <c r="I41" t="str">
        <f>H41*$C41</f>
        <v>0.00036</v>
      </c>
      <c r="M41" s="16">
        <v>15.0</v>
      </c>
      <c r="N41" t="str">
        <f>M41*$C41</f>
        <v>0.0009</v>
      </c>
      <c r="R41" s="16"/>
      <c r="W41" s="16">
        <v>6.0</v>
      </c>
      <c r="X41" t="str">
        <f>W41*$C41</f>
        <v>0.00036</v>
      </c>
      <c r="AB41" s="16">
        <v>11.0</v>
      </c>
      <c r="AC41" t="str">
        <f>AB41*$C41</f>
        <v>0.00066</v>
      </c>
      <c r="AG41" s="16">
        <v>15.0</v>
      </c>
      <c r="AH41" t="str">
        <f>AG41*$C41</f>
        <v>0.0009</v>
      </c>
      <c r="AL41" s="16">
        <v>8.0</v>
      </c>
      <c r="AM41" t="str">
        <f>AL41*$C41</f>
        <v>0.00048</v>
      </c>
      <c r="AQ41" s="16">
        <v>13.0</v>
      </c>
      <c r="AR41" t="str">
        <f>AQ41*$C41</f>
        <v>0.00078</v>
      </c>
      <c r="AV41" s="11" t="str">
        <f t="shared" ref="AV41:AV42" si="121">C41*G41</f>
        <v>0.00444</v>
      </c>
    </row>
    <row r="42">
      <c r="A42" s="141" t="s">
        <v>187</v>
      </c>
      <c r="B42" s="16" t="s">
        <v>689</v>
      </c>
      <c r="C42" s="16">
        <v>260.0</v>
      </c>
      <c r="G42" s="16">
        <v>1.0</v>
      </c>
      <c r="I42" t="str">
        <f>$C42*H$3</f>
        <v>28.756</v>
      </c>
      <c r="N42" t="str">
        <f>$C42*M$3</f>
        <v>27.898</v>
      </c>
      <c r="S42" t="str">
        <f>$C42*R$3</f>
        <v>0.156</v>
      </c>
      <c r="X42" t="str">
        <f>$C42*W$3</f>
        <v>44.46</v>
      </c>
      <c r="AC42" t="str">
        <f>$C42*AB$3</f>
        <v>46.046</v>
      </c>
      <c r="AH42" t="str">
        <f>$C42*AG$3</f>
        <v>45.214</v>
      </c>
      <c r="AM42" t="str">
        <f>$C42*AL$3</f>
        <v>40.222</v>
      </c>
      <c r="AR42" t="str">
        <f>$C42*AQ$3</f>
        <v>27.274</v>
      </c>
      <c r="AV42" s="11" t="str">
        <f t="shared" si="121"/>
        <v>260</v>
      </c>
    </row>
    <row r="43">
      <c r="A43" s="141" t="s">
        <v>621</v>
      </c>
      <c r="B43" s="117">
        <v>0.003124321224</v>
      </c>
    </row>
    <row r="44">
      <c r="A44" s="143" t="s">
        <v>191</v>
      </c>
      <c r="B44" s="78"/>
      <c r="E44" s="144" t="str">
        <f>6.375/1000000</f>
        <v>0.00000638</v>
      </c>
      <c r="G44" s="79">
        <v>16527.474940007785</v>
      </c>
      <c r="H44" s="79" t="str">
        <f t="shared" ref="H44:H51" si="122">H$3*$G44</f>
        <v>1828</v>
      </c>
      <c r="I44" t="str">
        <f t="shared" ref="I44:I51" si="123">$H44*C44</f>
        <v>0</v>
      </c>
      <c r="J44" t="str">
        <f t="shared" ref="J44:J51" si="124">H44*D44</f>
        <v>0</v>
      </c>
      <c r="K44" s="120" t="str">
        <f t="shared" ref="K44:K51" si="125">H44*E44</f>
        <v>0.0117</v>
      </c>
      <c r="M44" s="79" t="str">
        <f t="shared" ref="M44:M51" si="126">M$3*$G44</f>
        <v>1773</v>
      </c>
      <c r="N44" t="str">
        <f t="shared" ref="N44:N51" si="127">M44*C44</f>
        <v>0</v>
      </c>
      <c r="O44" t="str">
        <f t="shared" ref="O44:O51" si="128">M44*D44</f>
        <v>0</v>
      </c>
      <c r="P44" t="str">
        <f t="shared" ref="P44:P51" si="129">M44*E44</f>
        <v>0.01130541264</v>
      </c>
      <c r="R44" s="79" t="str">
        <f t="shared" ref="R44:R51" si="130">R$3*$G44</f>
        <v>10</v>
      </c>
      <c r="S44" t="str">
        <f t="shared" ref="S44:S51" si="131">R44*$C44</f>
        <v>0</v>
      </c>
      <c r="T44" t="str">
        <f t="shared" ref="T44:T51" si="132">R44*D44</f>
        <v>0</v>
      </c>
      <c r="U44" t="str">
        <f t="shared" ref="U44:U51" si="133">R44*E44</f>
        <v>0.00006321759165</v>
      </c>
      <c r="W44" s="79" t="str">
        <f t="shared" ref="W44:W51" si="134">W$3*$G44</f>
        <v>2826</v>
      </c>
      <c r="X44" t="str">
        <f t="shared" ref="X44:X51" si="135">W44*$C44</f>
        <v>0</v>
      </c>
      <c r="Y44" t="str">
        <f t="shared" ref="Y44:Y51" si="136">W44*$D44</f>
        <v>0</v>
      </c>
      <c r="Z44" t="str">
        <f t="shared" ref="Z44:Z51" si="137">W44*$E44</f>
        <v>0.01801701362</v>
      </c>
      <c r="AB44" s="79" t="str">
        <f t="shared" ref="AB44:AB51" si="138">AB$3*$G44</f>
        <v>2927</v>
      </c>
      <c r="AC44" t="str">
        <f t="shared" ref="AC44:AC51" si="139">AB44*$C44</f>
        <v>0</v>
      </c>
      <c r="AD44" t="str">
        <f t="shared" ref="AD44:AD51" si="140">AB44*$D44</f>
        <v>0</v>
      </c>
      <c r="AE44" t="str">
        <f t="shared" ref="AE44:AE51" si="141">AB44*$E44</f>
        <v>0.0186597258</v>
      </c>
      <c r="AG44" s="79" t="str">
        <f t="shared" ref="AG44:AG51" si="142">AG$3*$G44</f>
        <v>2874</v>
      </c>
      <c r="AH44" t="str">
        <f t="shared" ref="AH44:AH51" si="143">AG44*$C44</f>
        <v>0</v>
      </c>
      <c r="AI44" t="str">
        <f t="shared" ref="AI44:AI51" si="144">AG44*$D44</f>
        <v>0</v>
      </c>
      <c r="AJ44" t="str">
        <f t="shared" ref="AJ44:AJ51" si="145">AG44*$E44</f>
        <v>0.01832256531</v>
      </c>
      <c r="AL44" s="79" t="str">
        <f t="shared" ref="AL44:AL51" si="146">AL$3*$G44</f>
        <v>2557</v>
      </c>
      <c r="AM44" t="str">
        <f t="shared" ref="AM44:AM51" si="147">AL44*$C44</f>
        <v>0</v>
      </c>
      <c r="AN44" t="str">
        <f t="shared" ref="AN44:AN51" si="148">AL44*$D44</f>
        <v>0</v>
      </c>
      <c r="AO44" t="str">
        <f t="shared" ref="AO44:AO51" si="149">AL44*$E44</f>
        <v>0.01629960238</v>
      </c>
      <c r="AQ44" s="79" t="str">
        <f t="shared" ref="AQ44:AQ51" si="150">AQ$3*$G44</f>
        <v>1734</v>
      </c>
      <c r="AR44" t="str">
        <f t="shared" ref="AR44:AR51" si="151">AQ44*$C44</f>
        <v>0</v>
      </c>
      <c r="AS44" t="str">
        <f t="shared" ref="AS44:AS51" si="152">AQ44*$D44</f>
        <v>0</v>
      </c>
      <c r="AT44" t="str">
        <f t="shared" ref="AT44:AT51" si="153">AQ44*$E44</f>
        <v>0.01105254227</v>
      </c>
      <c r="AV44" s="11" t="str">
        <f t="shared" ref="AV44:AV51" si="154">C44*G44</f>
        <v>0</v>
      </c>
      <c r="AW44" s="11" t="str">
        <f t="shared" ref="AW44:AW51" si="155">D44*G44</f>
        <v>0</v>
      </c>
      <c r="AX44" s="145" t="str">
        <f t="shared" ref="AX44:AX51" si="156">E44*G44</f>
        <v>0.105</v>
      </c>
    </row>
    <row r="45">
      <c r="A45" s="146" t="s">
        <v>196</v>
      </c>
      <c r="B45" s="16"/>
      <c r="E45" s="144" t="str">
        <f>5.625/1000000</f>
        <v>0.00000563</v>
      </c>
      <c r="G45" s="79">
        <v>20799.106279563843</v>
      </c>
      <c r="H45" s="79" t="str">
        <f t="shared" si="122"/>
        <v>2300</v>
      </c>
      <c r="I45" t="str">
        <f t="shared" si="123"/>
        <v>0</v>
      </c>
      <c r="J45" t="str">
        <f t="shared" si="124"/>
        <v>0</v>
      </c>
      <c r="K45" s="120" t="str">
        <f t="shared" si="125"/>
        <v>0.0129</v>
      </c>
      <c r="M45" s="79" t="str">
        <f t="shared" si="126"/>
        <v>2232</v>
      </c>
      <c r="N45" t="str">
        <f t="shared" si="127"/>
        <v>0</v>
      </c>
      <c r="O45" t="str">
        <f t="shared" si="128"/>
        <v>0</v>
      </c>
      <c r="P45" t="str">
        <f t="shared" si="129"/>
        <v>0.01255356058</v>
      </c>
      <c r="R45" s="79" t="str">
        <f t="shared" si="130"/>
        <v>12</v>
      </c>
      <c r="S45" t="str">
        <f t="shared" si="131"/>
        <v>0</v>
      </c>
      <c r="T45" t="str">
        <f t="shared" si="132"/>
        <v>0</v>
      </c>
      <c r="U45" t="str">
        <f t="shared" si="133"/>
        <v>0.00007019698369</v>
      </c>
      <c r="W45" s="79" t="str">
        <f t="shared" si="134"/>
        <v>3557</v>
      </c>
      <c r="X45" t="str">
        <f t="shared" si="135"/>
        <v>0</v>
      </c>
      <c r="Y45" t="str">
        <f t="shared" si="136"/>
        <v>0</v>
      </c>
      <c r="Z45" t="str">
        <f t="shared" si="137"/>
        <v>0.02000614035</v>
      </c>
      <c r="AB45" s="79" t="str">
        <f t="shared" si="138"/>
        <v>3684</v>
      </c>
      <c r="AC45" t="str">
        <f t="shared" si="139"/>
        <v>0</v>
      </c>
      <c r="AD45" t="str">
        <f t="shared" si="140"/>
        <v>0</v>
      </c>
      <c r="AE45" t="str">
        <f t="shared" si="141"/>
        <v>0.02071980969</v>
      </c>
      <c r="AG45" s="79" t="str">
        <f t="shared" si="142"/>
        <v>3617</v>
      </c>
      <c r="AH45" t="str">
        <f t="shared" si="143"/>
        <v>0</v>
      </c>
      <c r="AI45" t="str">
        <f t="shared" si="144"/>
        <v>0</v>
      </c>
      <c r="AJ45" t="str">
        <f t="shared" si="145"/>
        <v>0.02034542577</v>
      </c>
      <c r="AL45" s="79" t="str">
        <f t="shared" si="146"/>
        <v>3218</v>
      </c>
      <c r="AM45" t="str">
        <f t="shared" si="147"/>
        <v>0</v>
      </c>
      <c r="AN45" t="str">
        <f t="shared" si="148"/>
        <v>0</v>
      </c>
      <c r="AO45" t="str">
        <f t="shared" si="149"/>
        <v>0.0180991223</v>
      </c>
      <c r="AQ45" s="79" t="str">
        <f t="shared" si="150"/>
        <v>2182</v>
      </c>
      <c r="AR45" t="str">
        <f t="shared" si="151"/>
        <v>0</v>
      </c>
      <c r="AS45" t="str">
        <f t="shared" si="152"/>
        <v>0</v>
      </c>
      <c r="AT45" t="str">
        <f t="shared" si="153"/>
        <v>0.01227277265</v>
      </c>
      <c r="AV45" s="11" t="str">
        <f t="shared" si="154"/>
        <v>0</v>
      </c>
      <c r="AW45" s="11" t="str">
        <f t="shared" si="155"/>
        <v>0</v>
      </c>
      <c r="AX45" s="145" t="str">
        <f t="shared" si="156"/>
        <v>0.117</v>
      </c>
    </row>
    <row r="46">
      <c r="A46" s="146" t="s">
        <v>198</v>
      </c>
      <c r="B46" s="16"/>
      <c r="D46" s="147" t="str">
        <f>0.39/1000000</f>
        <v>0.0000004</v>
      </c>
      <c r="E46" s="144" t="str">
        <f>6.942/1000000</f>
        <v>0.00000694</v>
      </c>
      <c r="G46" s="79">
        <v>17435.665130685</v>
      </c>
      <c r="H46" s="79" t="str">
        <f t="shared" si="122"/>
        <v>1928</v>
      </c>
      <c r="I46" t="str">
        <f t="shared" si="123"/>
        <v>0</v>
      </c>
      <c r="J46" s="120" t="str">
        <f t="shared" si="124"/>
        <v>0.0008</v>
      </c>
      <c r="K46" s="120" t="str">
        <f t="shared" si="125"/>
        <v>0.0134</v>
      </c>
      <c r="M46" s="79" t="str">
        <f t="shared" si="126"/>
        <v>1871</v>
      </c>
      <c r="N46" t="str">
        <f t="shared" si="127"/>
        <v>0</v>
      </c>
      <c r="O46" t="str">
        <f t="shared" si="128"/>
        <v>0.0007296302787</v>
      </c>
      <c r="P46" t="str">
        <f t="shared" si="129"/>
        <v>0.01298741896</v>
      </c>
      <c r="R46" s="79" t="str">
        <f t="shared" si="130"/>
        <v>10</v>
      </c>
      <c r="S46" t="str">
        <f t="shared" si="131"/>
        <v>0</v>
      </c>
      <c r="T46" t="str">
        <f t="shared" si="132"/>
        <v>0.000004079945641</v>
      </c>
      <c r="U46" t="str">
        <f t="shared" si="133"/>
        <v>0.0000726230324</v>
      </c>
      <c r="W46" s="79" t="str">
        <f t="shared" si="134"/>
        <v>2981</v>
      </c>
      <c r="X46" t="str">
        <f t="shared" si="135"/>
        <v>0</v>
      </c>
      <c r="Y46" t="str">
        <f t="shared" si="136"/>
        <v>0.001162784508</v>
      </c>
      <c r="Z46" t="str">
        <f t="shared" si="137"/>
        <v>0.02069756423</v>
      </c>
      <c r="AB46" s="79" t="str">
        <f t="shared" si="138"/>
        <v>3088</v>
      </c>
      <c r="AC46" t="str">
        <f t="shared" si="139"/>
        <v>0</v>
      </c>
      <c r="AD46" t="str">
        <f t="shared" si="140"/>
        <v>0.001204263955</v>
      </c>
      <c r="AE46" t="str">
        <f t="shared" si="141"/>
        <v>0.0214358984</v>
      </c>
      <c r="AG46" s="79" t="str">
        <f t="shared" si="142"/>
        <v>3032</v>
      </c>
      <c r="AH46" t="str">
        <f t="shared" si="143"/>
        <v>0</v>
      </c>
      <c r="AI46" t="str">
        <f t="shared" si="144"/>
        <v>0.001182504245</v>
      </c>
      <c r="AJ46" t="str">
        <f t="shared" si="145"/>
        <v>0.02104857556</v>
      </c>
      <c r="AL46" s="79" t="str">
        <f t="shared" si="146"/>
        <v>2697</v>
      </c>
      <c r="AM46" t="str">
        <f t="shared" si="147"/>
        <v>0</v>
      </c>
      <c r="AN46" t="str">
        <f t="shared" si="148"/>
        <v>0.001051945984</v>
      </c>
      <c r="AO46" t="str">
        <f t="shared" si="149"/>
        <v>0.01872463852</v>
      </c>
      <c r="AQ46" s="79" t="str">
        <f t="shared" si="150"/>
        <v>1829</v>
      </c>
      <c r="AR46" t="str">
        <f t="shared" si="151"/>
        <v>0</v>
      </c>
      <c r="AS46" t="str">
        <f t="shared" si="152"/>
        <v>0.0007133104962</v>
      </c>
      <c r="AT46" t="str">
        <f t="shared" si="153"/>
        <v>0.01269692683</v>
      </c>
      <c r="AV46" s="101" t="str">
        <f t="shared" si="154"/>
        <v>0</v>
      </c>
      <c r="AW46" s="145" t="str">
        <f t="shared" si="155"/>
        <v>0.007</v>
      </c>
      <c r="AX46" s="145" t="str">
        <f t="shared" si="156"/>
        <v>0.121</v>
      </c>
    </row>
    <row r="47">
      <c r="A47" s="146" t="s">
        <v>201</v>
      </c>
      <c r="B47" s="16"/>
      <c r="D47" s="147" t="str">
        <f>0.29/1000000</f>
        <v>0.0000003</v>
      </c>
      <c r="E47" s="144" t="str">
        <f>5.11/1000000</f>
        <v>0.00000511</v>
      </c>
      <c r="G47" s="79">
        <v>31451.473244149394</v>
      </c>
      <c r="H47" s="79" t="str">
        <f t="shared" si="122"/>
        <v>3479</v>
      </c>
      <c r="I47" t="str">
        <f t="shared" si="123"/>
        <v>0</v>
      </c>
      <c r="J47" s="120" t="str">
        <f t="shared" si="124"/>
        <v>0.0010</v>
      </c>
      <c r="K47" s="120" t="str">
        <f t="shared" si="125"/>
        <v>0.0178</v>
      </c>
      <c r="M47" s="79" t="str">
        <f t="shared" si="126"/>
        <v>3375</v>
      </c>
      <c r="N47" t="str">
        <f t="shared" si="127"/>
        <v>0</v>
      </c>
      <c r="O47" t="str">
        <f t="shared" si="128"/>
        <v>0.0009786754929</v>
      </c>
      <c r="P47" t="str">
        <f t="shared" si="129"/>
        <v>0.01724493713</v>
      </c>
      <c r="R47" s="79" t="str">
        <f t="shared" si="130"/>
        <v>19</v>
      </c>
      <c r="S47" t="str">
        <f t="shared" si="131"/>
        <v>0</v>
      </c>
      <c r="T47" t="str">
        <f t="shared" si="132"/>
        <v>0.000005472556344</v>
      </c>
      <c r="U47" t="str">
        <f t="shared" si="133"/>
        <v>0.00009643021697</v>
      </c>
      <c r="W47" s="79" t="str">
        <f t="shared" si="134"/>
        <v>5378</v>
      </c>
      <c r="X47" t="str">
        <f t="shared" si="135"/>
        <v>0</v>
      </c>
      <c r="Y47" t="str">
        <f t="shared" si="136"/>
        <v>0.001559678558</v>
      </c>
      <c r="Z47" t="str">
        <f t="shared" si="137"/>
        <v>0.02748261184</v>
      </c>
      <c r="AB47" s="79" t="str">
        <f t="shared" si="138"/>
        <v>5570</v>
      </c>
      <c r="AC47" t="str">
        <f t="shared" si="139"/>
        <v>0</v>
      </c>
      <c r="AD47" t="str">
        <f t="shared" si="140"/>
        <v>0.001615316214</v>
      </c>
      <c r="AE47" t="str">
        <f t="shared" si="141"/>
        <v>0.02846298571</v>
      </c>
      <c r="AG47" s="79" t="str">
        <f t="shared" si="142"/>
        <v>5469</v>
      </c>
      <c r="AH47" t="str">
        <f t="shared" si="143"/>
        <v>0</v>
      </c>
      <c r="AI47" t="str">
        <f t="shared" si="144"/>
        <v>0.001586129247</v>
      </c>
      <c r="AJ47" t="str">
        <f t="shared" si="145"/>
        <v>0.02794869122</v>
      </c>
      <c r="AL47" s="79" t="str">
        <f t="shared" si="146"/>
        <v>4866</v>
      </c>
      <c r="AM47" t="str">
        <f t="shared" si="147"/>
        <v>0</v>
      </c>
      <c r="AN47" t="str">
        <f t="shared" si="148"/>
        <v>0.001411007444</v>
      </c>
      <c r="AO47" t="str">
        <f t="shared" si="149"/>
        <v>0.02486292427</v>
      </c>
      <c r="AQ47" s="79" t="str">
        <f t="shared" si="150"/>
        <v>3299</v>
      </c>
      <c r="AR47" t="str">
        <f t="shared" si="151"/>
        <v>0</v>
      </c>
      <c r="AS47" t="str">
        <f t="shared" si="152"/>
        <v>0.0009567852676</v>
      </c>
      <c r="AT47" t="str">
        <f t="shared" si="153"/>
        <v>0.01685921627</v>
      </c>
      <c r="AV47" s="101" t="str">
        <f t="shared" si="154"/>
        <v>0</v>
      </c>
      <c r="AW47" s="145" t="str">
        <f t="shared" si="155"/>
        <v>0.009</v>
      </c>
      <c r="AX47" s="145" t="str">
        <f t="shared" si="156"/>
        <v>0.161</v>
      </c>
    </row>
    <row r="48">
      <c r="A48" s="146" t="s">
        <v>204</v>
      </c>
      <c r="B48" s="16"/>
      <c r="D48" s="147" t="str">
        <f>0.205/1000000</f>
        <v>0.0000002</v>
      </c>
      <c r="E48" s="144" t="str">
        <f>3.65/1000000</f>
        <v>0.00000365</v>
      </c>
      <c r="G48" s="79">
        <v>41101.945375907526</v>
      </c>
      <c r="H48" s="79" t="str">
        <f t="shared" si="122"/>
        <v>4546</v>
      </c>
      <c r="I48" t="str">
        <f t="shared" si="123"/>
        <v>0</v>
      </c>
      <c r="J48" s="120" t="str">
        <f t="shared" si="124"/>
        <v>0.0009</v>
      </c>
      <c r="K48" s="120" t="str">
        <f t="shared" si="125"/>
        <v>0.0166</v>
      </c>
      <c r="M48" s="79" t="str">
        <f t="shared" si="126"/>
        <v>4410</v>
      </c>
      <c r="N48" t="str">
        <f t="shared" si="127"/>
        <v>0</v>
      </c>
      <c r="O48" t="str">
        <f t="shared" si="128"/>
        <v>0.0009040989415</v>
      </c>
      <c r="P48" t="str">
        <f t="shared" si="129"/>
        <v>0.0160973714</v>
      </c>
      <c r="R48" s="79" t="str">
        <f t="shared" si="130"/>
        <v>25</v>
      </c>
      <c r="S48" t="str">
        <f t="shared" si="131"/>
        <v>0</v>
      </c>
      <c r="T48" t="str">
        <f t="shared" si="132"/>
        <v>0.000005055539281</v>
      </c>
      <c r="U48" t="str">
        <f t="shared" si="133"/>
        <v>0.00009001326037</v>
      </c>
      <c r="W48" s="79" t="str">
        <f t="shared" si="134"/>
        <v>7028</v>
      </c>
      <c r="X48" t="str">
        <f t="shared" si="135"/>
        <v>0</v>
      </c>
      <c r="Y48" t="str">
        <f t="shared" si="136"/>
        <v>0.001440828695</v>
      </c>
      <c r="Z48" t="str">
        <f t="shared" si="137"/>
        <v>0.02565377921</v>
      </c>
      <c r="AB48" s="79" t="str">
        <f t="shared" si="138"/>
        <v>7279</v>
      </c>
      <c r="AC48" t="str">
        <f t="shared" si="139"/>
        <v>0</v>
      </c>
      <c r="AD48" t="str">
        <f t="shared" si="140"/>
        <v>0.001492226678</v>
      </c>
      <c r="AE48" t="str">
        <f t="shared" si="141"/>
        <v>0.02656891402</v>
      </c>
      <c r="AG48" s="79" t="str">
        <f t="shared" si="142"/>
        <v>7148</v>
      </c>
      <c r="AH48" t="str">
        <f t="shared" si="143"/>
        <v>0</v>
      </c>
      <c r="AI48" t="str">
        <f t="shared" si="144"/>
        <v>0.001465263802</v>
      </c>
      <c r="AJ48" t="str">
        <f t="shared" si="145"/>
        <v>0.0260888433</v>
      </c>
      <c r="AL48" s="79" t="str">
        <f t="shared" si="146"/>
        <v>6358</v>
      </c>
      <c r="AM48" t="str">
        <f t="shared" si="147"/>
        <v>0</v>
      </c>
      <c r="AN48" t="str">
        <f t="shared" si="148"/>
        <v>0.001303486545</v>
      </c>
      <c r="AO48" t="str">
        <f t="shared" si="149"/>
        <v>0.02320841897</v>
      </c>
      <c r="AQ48" s="79" t="str">
        <f t="shared" si="150"/>
        <v>4312</v>
      </c>
      <c r="AR48" t="str">
        <f t="shared" si="151"/>
        <v>0</v>
      </c>
      <c r="AS48" t="str">
        <f t="shared" si="152"/>
        <v>0.0008838767843</v>
      </c>
      <c r="AT48" t="str">
        <f t="shared" si="153"/>
        <v>0.01573731836</v>
      </c>
      <c r="AV48" s="101" t="str">
        <f t="shared" si="154"/>
        <v>0</v>
      </c>
      <c r="AW48" s="145" t="str">
        <f t="shared" si="155"/>
        <v>0.008</v>
      </c>
      <c r="AX48" s="145" t="str">
        <f t="shared" si="156"/>
        <v>0.150</v>
      </c>
    </row>
    <row r="49">
      <c r="A49" s="146" t="s">
        <v>207</v>
      </c>
      <c r="B49" s="16"/>
      <c r="C49" s="144" t="str">
        <f>3.699/1000000</f>
        <v>0.00000370</v>
      </c>
      <c r="E49" s="144" t="str">
        <f>0.2215/1000000</f>
        <v>0.00000022</v>
      </c>
      <c r="G49" s="79">
        <v>55968.656126085865</v>
      </c>
      <c r="H49" s="79" t="str">
        <f t="shared" si="122"/>
        <v>6190</v>
      </c>
      <c r="I49" t="str">
        <f t="shared" si="123"/>
        <v>0.02289730333</v>
      </c>
      <c r="J49" t="str">
        <f t="shared" si="124"/>
        <v>0</v>
      </c>
      <c r="K49" s="120" t="str">
        <f t="shared" si="125"/>
        <v>0.0014</v>
      </c>
      <c r="M49" s="79" t="str">
        <f t="shared" si="126"/>
        <v>6005</v>
      </c>
      <c r="N49" t="str">
        <f t="shared" si="127"/>
        <v>0.02221411073</v>
      </c>
      <c r="O49" t="str">
        <f t="shared" si="128"/>
        <v>0</v>
      </c>
      <c r="P49" t="str">
        <f t="shared" si="129"/>
        <v>0.001330204252</v>
      </c>
      <c r="R49" s="79" t="str">
        <f t="shared" si="130"/>
        <v>34</v>
      </c>
      <c r="S49" t="str">
        <f t="shared" si="131"/>
        <v>0.0001242168354</v>
      </c>
      <c r="T49" t="str">
        <f t="shared" si="132"/>
        <v>0</v>
      </c>
      <c r="U49" t="str">
        <f t="shared" si="133"/>
        <v>0.000007438234399</v>
      </c>
      <c r="W49" s="79" t="str">
        <f t="shared" si="134"/>
        <v>9571</v>
      </c>
      <c r="X49" t="str">
        <f t="shared" si="135"/>
        <v>0.03540179809</v>
      </c>
      <c r="Y49" t="str">
        <f t="shared" si="136"/>
        <v>0</v>
      </c>
      <c r="Z49" t="str">
        <f t="shared" si="137"/>
        <v>0.002119896804</v>
      </c>
      <c r="AB49" s="79" t="str">
        <f t="shared" si="138"/>
        <v>9912</v>
      </c>
      <c r="AC49" t="str">
        <f t="shared" si="139"/>
        <v>0.03666466925</v>
      </c>
      <c r="AD49" t="str">
        <f t="shared" si="140"/>
        <v>0</v>
      </c>
      <c r="AE49" t="str">
        <f t="shared" si="141"/>
        <v>0.002195518853</v>
      </c>
      <c r="AG49" s="79" t="str">
        <f t="shared" si="142"/>
        <v>9733</v>
      </c>
      <c r="AH49" t="str">
        <f t="shared" si="143"/>
        <v>0.03600217946</v>
      </c>
      <c r="AI49" t="str">
        <f t="shared" si="144"/>
        <v>0</v>
      </c>
      <c r="AJ49" t="str">
        <f t="shared" si="145"/>
        <v>0.00215584827</v>
      </c>
      <c r="AL49" s="79" t="str">
        <f t="shared" si="146"/>
        <v>8658</v>
      </c>
      <c r="AM49" t="str">
        <f t="shared" si="147"/>
        <v>0.03202724073</v>
      </c>
      <c r="AN49" t="str">
        <f t="shared" si="148"/>
        <v>0</v>
      </c>
      <c r="AO49" t="str">
        <f t="shared" si="149"/>
        <v>0.001917824769</v>
      </c>
      <c r="AQ49" s="79" t="str">
        <f t="shared" si="150"/>
        <v>5871</v>
      </c>
      <c r="AR49" t="str">
        <f t="shared" si="151"/>
        <v>0.02171724339</v>
      </c>
      <c r="AS49" t="str">
        <f t="shared" si="152"/>
        <v>0</v>
      </c>
      <c r="AT49" t="str">
        <f t="shared" si="153"/>
        <v>0.001300451314</v>
      </c>
      <c r="AV49" s="145" t="str">
        <f t="shared" si="154"/>
        <v>0.207</v>
      </c>
      <c r="AW49" s="101" t="str">
        <f t="shared" si="155"/>
        <v>0</v>
      </c>
      <c r="AX49" s="145" t="str">
        <f t="shared" si="156"/>
        <v>0.012</v>
      </c>
    </row>
    <row r="50">
      <c r="A50" s="146" t="s">
        <v>210</v>
      </c>
      <c r="B50" s="16"/>
      <c r="C50" s="144" t="str">
        <f>2.887/1000000</f>
        <v>0.00000289</v>
      </c>
      <c r="E50" s="144" t="str">
        <f>0.173/1000000</f>
        <v>0.00000017</v>
      </c>
      <c r="G50" s="79">
        <v>71419.41186427265</v>
      </c>
      <c r="H50" s="79" t="str">
        <f t="shared" si="122"/>
        <v>7899</v>
      </c>
      <c r="I50" t="str">
        <f t="shared" si="123"/>
        <v>0.02280437533</v>
      </c>
      <c r="J50" t="str">
        <f t="shared" si="124"/>
        <v>0</v>
      </c>
      <c r="K50" s="120" t="str">
        <f t="shared" si="125"/>
        <v>0.0014</v>
      </c>
      <c r="M50" s="79" t="str">
        <f t="shared" si="126"/>
        <v>7663</v>
      </c>
      <c r="N50" t="str">
        <f t="shared" si="127"/>
        <v>0.02212395545</v>
      </c>
      <c r="O50" t="str">
        <f t="shared" si="128"/>
        <v>0</v>
      </c>
      <c r="P50" t="str">
        <f t="shared" si="129"/>
        <v>0.0013257514</v>
      </c>
      <c r="R50" s="79" t="str">
        <f t="shared" si="130"/>
        <v>43</v>
      </c>
      <c r="S50" t="str">
        <f t="shared" si="131"/>
        <v>0.0001237127052</v>
      </c>
      <c r="T50" t="str">
        <f t="shared" si="132"/>
        <v>0</v>
      </c>
      <c r="U50" t="str">
        <f t="shared" si="133"/>
        <v>0.000007413334952</v>
      </c>
      <c r="W50" s="79" t="str">
        <f t="shared" si="134"/>
        <v>12213</v>
      </c>
      <c r="X50" t="str">
        <f t="shared" si="135"/>
        <v>0.03525812099</v>
      </c>
      <c r="Y50" t="str">
        <f t="shared" si="136"/>
        <v>0</v>
      </c>
      <c r="Z50" t="str">
        <f t="shared" si="137"/>
        <v>0.002112800461</v>
      </c>
      <c r="AB50" s="79" t="str">
        <f t="shared" si="138"/>
        <v>12648</v>
      </c>
      <c r="AC50" t="str">
        <f t="shared" si="139"/>
        <v>0.03651586683</v>
      </c>
      <c r="AD50" t="str">
        <f t="shared" si="140"/>
        <v>0</v>
      </c>
      <c r="AE50" t="str">
        <f t="shared" si="141"/>
        <v>0.002188169367</v>
      </c>
      <c r="AG50" s="79" t="str">
        <f t="shared" si="142"/>
        <v>12420</v>
      </c>
      <c r="AH50" t="str">
        <f t="shared" si="143"/>
        <v>0.03585606573</v>
      </c>
      <c r="AI50" t="str">
        <f t="shared" si="144"/>
        <v>0</v>
      </c>
      <c r="AJ50" t="str">
        <f t="shared" si="145"/>
        <v>0.00214863158</v>
      </c>
      <c r="AL50" s="79" t="str">
        <f t="shared" si="146"/>
        <v>11049</v>
      </c>
      <c r="AM50" t="str">
        <f t="shared" si="147"/>
        <v>0.03189725917</v>
      </c>
      <c r="AN50" t="str">
        <f t="shared" si="148"/>
        <v>0</v>
      </c>
      <c r="AO50" t="str">
        <f t="shared" si="149"/>
        <v>0.001911404862</v>
      </c>
      <c r="AQ50" s="79" t="str">
        <f t="shared" si="150"/>
        <v>7492</v>
      </c>
      <c r="AR50" t="str">
        <f t="shared" si="151"/>
        <v>0.02162910463</v>
      </c>
      <c r="AS50" t="str">
        <f t="shared" si="152"/>
        <v>0</v>
      </c>
      <c r="AT50" t="str">
        <f t="shared" si="153"/>
        <v>0.001296098061</v>
      </c>
      <c r="AV50" s="145" t="str">
        <f t="shared" si="154"/>
        <v>0.206</v>
      </c>
      <c r="AW50" s="101" t="str">
        <f t="shared" si="155"/>
        <v>0</v>
      </c>
      <c r="AX50" s="145" t="str">
        <f t="shared" si="156"/>
        <v>0.012</v>
      </c>
    </row>
    <row r="51">
      <c r="A51" s="146" t="s">
        <v>213</v>
      </c>
      <c r="B51" s="16"/>
      <c r="C51" s="144" t="str">
        <f>2.17/1000000</f>
        <v>0.00000217</v>
      </c>
      <c r="E51" s="144" t="str">
        <f>0.129/1000000</f>
        <v>0.00000013</v>
      </c>
      <c r="G51" s="79">
        <v>91850.9823680088</v>
      </c>
      <c r="H51" s="79" t="str">
        <f t="shared" si="122"/>
        <v>10159</v>
      </c>
      <c r="I51" t="str">
        <f t="shared" si="123"/>
        <v>0.02204441947</v>
      </c>
      <c r="J51" t="str">
        <f t="shared" si="124"/>
        <v>0</v>
      </c>
      <c r="K51" s="120" t="str">
        <f t="shared" si="125"/>
        <v>0.0013</v>
      </c>
      <c r="M51" s="79" t="str">
        <f t="shared" si="126"/>
        <v>9856</v>
      </c>
      <c r="N51" t="str">
        <f t="shared" si="127"/>
        <v>0.02138667459</v>
      </c>
      <c r="O51" t="str">
        <f t="shared" si="128"/>
        <v>0</v>
      </c>
      <c r="P51" t="str">
        <f t="shared" si="129"/>
        <v>0.001271373743</v>
      </c>
      <c r="R51" s="79" t="str">
        <f t="shared" si="130"/>
        <v>55</v>
      </c>
      <c r="S51" t="str">
        <f t="shared" si="131"/>
        <v>0.000119589979</v>
      </c>
      <c r="T51" t="str">
        <f t="shared" si="132"/>
        <v>0</v>
      </c>
      <c r="U51" t="str">
        <f t="shared" si="133"/>
        <v>0.000007109266035</v>
      </c>
      <c r="W51" s="79" t="str">
        <f t="shared" si="134"/>
        <v>15707</v>
      </c>
      <c r="X51" t="str">
        <f t="shared" si="135"/>
        <v>0.03408314403</v>
      </c>
      <c r="Y51" t="str">
        <f t="shared" si="136"/>
        <v>0</v>
      </c>
      <c r="Z51" t="str">
        <f t="shared" si="137"/>
        <v>0.00202614082</v>
      </c>
      <c r="AB51" s="79" t="str">
        <f t="shared" si="138"/>
        <v>16267</v>
      </c>
      <c r="AC51" t="str">
        <f t="shared" si="139"/>
        <v>0.03529897548</v>
      </c>
      <c r="AD51" t="str">
        <f t="shared" si="140"/>
        <v>0</v>
      </c>
      <c r="AE51" t="str">
        <f t="shared" si="141"/>
        <v>0.002098418358</v>
      </c>
      <c r="AG51" s="79" t="str">
        <f t="shared" si="142"/>
        <v>15973</v>
      </c>
      <c r="AH51" t="str">
        <f t="shared" si="143"/>
        <v>0.03466116226</v>
      </c>
      <c r="AI51" t="str">
        <f t="shared" si="144"/>
        <v>0</v>
      </c>
      <c r="AJ51" t="str">
        <f t="shared" si="145"/>
        <v>0.002060502273</v>
      </c>
      <c r="AL51" s="79" t="str">
        <f t="shared" si="146"/>
        <v>14209</v>
      </c>
      <c r="AM51" t="str">
        <f t="shared" si="147"/>
        <v>0.03083428293</v>
      </c>
      <c r="AN51" t="str">
        <f t="shared" si="148"/>
        <v>0</v>
      </c>
      <c r="AO51" t="str">
        <f t="shared" si="149"/>
        <v>0.001833005759</v>
      </c>
      <c r="AQ51" s="79" t="str">
        <f t="shared" si="150"/>
        <v>9635</v>
      </c>
      <c r="AR51" t="str">
        <f t="shared" si="151"/>
        <v>0.02090831467</v>
      </c>
      <c r="AS51" t="str">
        <f t="shared" si="152"/>
        <v>0</v>
      </c>
      <c r="AT51" t="str">
        <f t="shared" si="153"/>
        <v>0.001242936679</v>
      </c>
      <c r="AV51" s="145" t="str">
        <f t="shared" si="154"/>
        <v>0.199</v>
      </c>
      <c r="AW51" s="101" t="str">
        <f t="shared" si="155"/>
        <v>0</v>
      </c>
      <c r="AX51" s="145" t="str">
        <f t="shared" si="156"/>
        <v>0.012</v>
      </c>
    </row>
    <row r="52">
      <c r="A52" s="141" t="s">
        <v>216</v>
      </c>
      <c r="B52" s="16" t="s">
        <v>218</v>
      </c>
      <c r="C52" t="str">
        <f>250/1000000</f>
        <v>0.00025</v>
      </c>
      <c r="G52" s="16">
        <v>252.0</v>
      </c>
      <c r="H52" s="16">
        <v>4.0</v>
      </c>
      <c r="I52" t="str">
        <f>H52*$C$52</f>
        <v>0.001</v>
      </c>
      <c r="M52" s="16">
        <v>1.0</v>
      </c>
      <c r="N52" t="str">
        <f>M52*$C$52</f>
        <v>0.00025</v>
      </c>
      <c r="R52" s="16">
        <v>3.0</v>
      </c>
      <c r="S52" t="str">
        <f>R52*$C$52</f>
        <v>0.00075</v>
      </c>
      <c r="W52" s="16">
        <v>9.0</v>
      </c>
      <c r="X52" t="str">
        <f>W52*$C$52</f>
        <v>0.00225</v>
      </c>
      <c r="AB52" s="16">
        <v>4.0</v>
      </c>
      <c r="AC52" t="str">
        <f>AB52*$C$52</f>
        <v>0.001</v>
      </c>
      <c r="AG52" s="16">
        <v>10.0</v>
      </c>
      <c r="AH52" t="str">
        <f>AG52*$C$52</f>
        <v>0.0025</v>
      </c>
      <c r="AL52" s="16">
        <v>4.0</v>
      </c>
      <c r="AM52" t="str">
        <f>AL52*$C$52</f>
        <v>0.001</v>
      </c>
      <c r="AQ52" s="16">
        <v>7.0</v>
      </c>
      <c r="AR52" t="str">
        <f>AQ52*$C$52</f>
        <v>0.00175</v>
      </c>
      <c r="AV52" t="str">
        <f>G52*C52</f>
        <v>0.063</v>
      </c>
      <c r="AY52" t="str">
        <f>sum(H52:AT52)</f>
        <v>42.0105</v>
      </c>
    </row>
    <row r="53">
      <c r="A53" s="141" t="s">
        <v>221</v>
      </c>
      <c r="B53" s="16" t="s">
        <v>690</v>
      </c>
      <c r="C53" t="str">
        <f>500/1000000</f>
        <v>0.0005</v>
      </c>
      <c r="D53" t="str">
        <f>37.9/1000000</f>
        <v>0.0000379</v>
      </c>
      <c r="E53" s="16" t="str">
        <f>75.2/1000000</f>
        <v>0.0000752</v>
      </c>
      <c r="G53" s="16">
        <v>341.0</v>
      </c>
      <c r="H53" s="79" t="str">
        <f>H$3*$G53</f>
        <v>38</v>
      </c>
      <c r="I53" t="str">
        <f>H53*$C$53</f>
        <v>0.0188573</v>
      </c>
      <c r="J53" t="str">
        <f>H53*$D$53</f>
        <v>0.00142938334</v>
      </c>
      <c r="K53" t="str">
        <f>H53*$E53</f>
        <v>0.00283613792</v>
      </c>
      <c r="M53" s="79" t="str">
        <f>M$3*$G53</f>
        <v>37</v>
      </c>
      <c r="N53" t="str">
        <f>M53*$C$53</f>
        <v>0.01829465</v>
      </c>
      <c r="O53" t="str">
        <f>M53*$D$53</f>
        <v>0.00138673447</v>
      </c>
      <c r="P53" t="str">
        <f>M53*$E53</f>
        <v>0.00275151536</v>
      </c>
      <c r="R53" s="115" t="str">
        <f>R$3*$G53</f>
        <v>0.20</v>
      </c>
      <c r="S53" t="str">
        <f>R53*$C$53</f>
        <v>0.0001023</v>
      </c>
      <c r="T53" t="str">
        <f>R53*$D$53</f>
        <v>0.00000775434</v>
      </c>
      <c r="U53" t="str">
        <f>R53*$E53</f>
        <v>0.00001538592</v>
      </c>
      <c r="W53" s="79" t="str">
        <f>W$3*$G53</f>
        <v>58</v>
      </c>
      <c r="X53" t="str">
        <f>W53*$C$53</f>
        <v>0.0291555</v>
      </c>
      <c r="Y53" t="str">
        <f>W53*$D$53</f>
        <v>0.0022099869</v>
      </c>
      <c r="Z53" t="str">
        <f>W53*$E53</f>
        <v>0.0043849872</v>
      </c>
      <c r="AB53" s="79" t="str">
        <f>AB$3*$G53</f>
        <v>60</v>
      </c>
      <c r="AC53" t="str">
        <f>AB53*$C$53</f>
        <v>0.03019555</v>
      </c>
      <c r="AD53" t="str">
        <f>AB53*$D$53</f>
        <v>0.00228882269</v>
      </c>
      <c r="AE53" t="str">
        <f>AB53*$E53</f>
        <v>0.00454141072</v>
      </c>
      <c r="AG53" s="79" t="str">
        <f>AG$3*$G53</f>
        <v>59</v>
      </c>
      <c r="AH53" t="str">
        <f>AG53*$C$53</f>
        <v>0.02964995</v>
      </c>
      <c r="AI53" t="str">
        <f>AG53*$D$53</f>
        <v>0.00224746621</v>
      </c>
      <c r="AJ53" t="str">
        <f>AG53*$E53</f>
        <v>0.00445935248</v>
      </c>
      <c r="AL53" s="79" t="str">
        <f>AL$3*$G53</f>
        <v>53</v>
      </c>
      <c r="AM53" t="str">
        <f>AL53*$C$53</f>
        <v>0.02637635</v>
      </c>
      <c r="AN53" t="str">
        <f>AL53*$D$53</f>
        <v>0.00199932733</v>
      </c>
      <c r="AO53" t="str">
        <f>AL53*$E53</f>
        <v>0.00396700304</v>
      </c>
      <c r="AQ53" s="79" t="str">
        <f>AQ$3*$G53</f>
        <v>36</v>
      </c>
      <c r="AR53" t="str">
        <f>AQ53*$C$53</f>
        <v>0.01788545</v>
      </c>
      <c r="AS53" t="str">
        <f>AQ53*$D$53</f>
        <v>0.00135571711</v>
      </c>
      <c r="AT53" t="str">
        <f>AQ53*$E53</f>
        <v>0.00268997168</v>
      </c>
      <c r="AV53" t="str">
        <f t="shared" ref="AV53:AX53" si="157">C53*$G$53</f>
        <v>0.1705</v>
      </c>
      <c r="AW53" t="str">
        <f t="shared" si="157"/>
        <v>0.0129239</v>
      </c>
      <c r="AX53" t="str">
        <f t="shared" si="157"/>
        <v>0.0256432</v>
      </c>
    </row>
    <row r="54">
      <c r="A54" s="141" t="s">
        <v>691</v>
      </c>
      <c r="G54" s="16">
        <v>552.0</v>
      </c>
    </row>
    <row r="55">
      <c r="A55" s="141" t="s">
        <v>692</v>
      </c>
      <c r="D55" t="str">
        <f>38/1000000</f>
        <v>0.000038</v>
      </c>
      <c r="G55" s="16">
        <v>285.0</v>
      </c>
      <c r="H55" s="79" t="str">
        <f>H$3*$G55</f>
        <v>32</v>
      </c>
      <c r="I55" t="str">
        <f>H55*$D55</f>
        <v>0.001197798</v>
      </c>
      <c r="M55" s="79" t="str">
        <f>M$3*$G55</f>
        <v>31</v>
      </c>
      <c r="N55" t="str">
        <f>M55*$D55</f>
        <v>0.001162059</v>
      </c>
      <c r="R55" s="79" t="str">
        <f>R$3*$G55</f>
        <v>0</v>
      </c>
      <c r="S55" t="str">
        <f>R55*$D55</f>
        <v>0.000006498</v>
      </c>
      <c r="W55" s="79" t="str">
        <f>W$3*$G55</f>
        <v>49</v>
      </c>
      <c r="X55" t="str">
        <f>W55*$D55</f>
        <v>0.00185193</v>
      </c>
      <c r="AB55" s="79" t="str">
        <f>AB$3*$G55</f>
        <v>50</v>
      </c>
      <c r="AC55" t="str">
        <f>AB55*$D55</f>
        <v>0.001917993</v>
      </c>
      <c r="AG55" s="79" t="str">
        <f>AG$3*$G55</f>
        <v>50</v>
      </c>
      <c r="AH55" t="str">
        <f>AG55*$D55</f>
        <v>0.001883337</v>
      </c>
      <c r="AL55" s="79" t="str">
        <f>AL$3*$G55</f>
        <v>44</v>
      </c>
      <c r="AM55" t="str">
        <f>AL55*$D55</f>
        <v>0.001675401</v>
      </c>
      <c r="AQ55" s="79" t="str">
        <f>AQ$3*$G55</f>
        <v>30</v>
      </c>
      <c r="AR55" t="str">
        <f>AQ55*$D55</f>
        <v>0.001136067</v>
      </c>
      <c r="AW55" t="str">
        <f>G55*D55</f>
        <v>0.01083</v>
      </c>
    </row>
    <row r="56">
      <c r="A56" s="141" t="s">
        <v>693</v>
      </c>
      <c r="G56" s="16">
        <v>27.0</v>
      </c>
    </row>
    <row r="57">
      <c r="A57" s="141" t="s">
        <v>694</v>
      </c>
      <c r="C57" t="str">
        <f>23.16/1000000</f>
        <v>0.00002316</v>
      </c>
      <c r="G57" s="16">
        <v>27.0</v>
      </c>
      <c r="H57" s="79" t="str">
        <f t="shared" ref="H57:H60" si="158">H$3*$G57</f>
        <v>3</v>
      </c>
      <c r="I57" t="str">
        <f t="shared" ref="I57:I60" si="159">H57*$C57</f>
        <v>0.000069160392</v>
      </c>
      <c r="M57" s="79" t="str">
        <f t="shared" ref="M57:M60" si="160">M$3*$G57</f>
        <v>3</v>
      </c>
      <c r="N57" t="str">
        <f t="shared" ref="N57:N60" si="161">M57*$C57</f>
        <v>0.000067096836</v>
      </c>
      <c r="R57" s="79" t="str">
        <f t="shared" ref="R57:R60" si="162">R$3*$G57</f>
        <v>0</v>
      </c>
      <c r="S57" t="str">
        <f t="shared" ref="S57:S60" si="163">R57*$C57</f>
        <v>0.000000375192</v>
      </c>
      <c r="W57" s="79" t="str">
        <f t="shared" ref="W57:W60" si="164">W$3*$G57</f>
        <v>5</v>
      </c>
      <c r="X57" t="str">
        <f t="shared" ref="X57:X60" si="165">W57*$C57</f>
        <v>0.00010692972</v>
      </c>
      <c r="AB57" s="79" t="str">
        <f t="shared" ref="AB57:AB60" si="166">AB$3*$G57</f>
        <v>5</v>
      </c>
      <c r="AC57" t="str">
        <f t="shared" ref="AC57:AC60" si="167">AB57*$C57</f>
        <v>0.000110744172</v>
      </c>
      <c r="AG57" s="79" t="str">
        <f t="shared" ref="AG57:AG60" si="168">AG$3*$G57</f>
        <v>5</v>
      </c>
      <c r="AH57" t="str">
        <f t="shared" ref="AH57:AH60" si="169">AG57*$C57</f>
        <v>0.000108743148</v>
      </c>
      <c r="AL57" s="79" t="str">
        <f t="shared" ref="AL57:AL60" si="170">AL$3*$G57</f>
        <v>4</v>
      </c>
      <c r="AM57" t="str">
        <f t="shared" ref="AM57:AM60" si="171">AL57*$C57</f>
        <v>0.000096737004</v>
      </c>
      <c r="AQ57" s="79" t="str">
        <f t="shared" ref="AQ57:AQ60" si="172">AQ$3*$G57</f>
        <v>3</v>
      </c>
      <c r="AR57" t="str">
        <f t="shared" ref="AR57:AR60" si="173">AQ57*$C57</f>
        <v>0.000065596068</v>
      </c>
      <c r="AV57" t="str">
        <f t="shared" ref="AV57:AV60" si="174">G57*C57</f>
        <v>0.00062532</v>
      </c>
    </row>
    <row r="58">
      <c r="A58" s="141" t="s">
        <v>695</v>
      </c>
      <c r="C58" t="str">
        <f>17/1000000</f>
        <v>0.000017</v>
      </c>
      <c r="G58" s="16">
        <v>27.0</v>
      </c>
      <c r="H58" s="79" t="str">
        <f t="shared" si="158"/>
        <v>3</v>
      </c>
      <c r="I58" t="str">
        <f t="shared" si="159"/>
        <v>0.0000507654</v>
      </c>
      <c r="M58" s="79" t="str">
        <f t="shared" si="160"/>
        <v>3</v>
      </c>
      <c r="N58" t="str">
        <f t="shared" si="161"/>
        <v>0.0000492507</v>
      </c>
      <c r="R58" s="79" t="str">
        <f t="shared" si="162"/>
        <v>0</v>
      </c>
      <c r="S58" t="str">
        <f t="shared" si="163"/>
        <v>0.0000002754</v>
      </c>
      <c r="W58" s="79" t="str">
        <f t="shared" si="164"/>
        <v>5</v>
      </c>
      <c r="X58" t="str">
        <f t="shared" si="165"/>
        <v>0.000078489</v>
      </c>
      <c r="AB58" s="79" t="str">
        <f t="shared" si="166"/>
        <v>5</v>
      </c>
      <c r="AC58" t="str">
        <f t="shared" si="167"/>
        <v>0.0000812889</v>
      </c>
      <c r="AG58" s="79" t="str">
        <f t="shared" si="168"/>
        <v>5</v>
      </c>
      <c r="AH58" t="str">
        <f t="shared" si="169"/>
        <v>0.0000798201</v>
      </c>
      <c r="AL58" s="79" t="str">
        <f t="shared" si="170"/>
        <v>4</v>
      </c>
      <c r="AM58" t="str">
        <f t="shared" si="171"/>
        <v>0.0000710073</v>
      </c>
      <c r="AQ58" s="79" t="str">
        <f t="shared" si="172"/>
        <v>3</v>
      </c>
      <c r="AR58" t="str">
        <f t="shared" si="173"/>
        <v>0.0000481491</v>
      </c>
      <c r="AV58" t="str">
        <f t="shared" si="174"/>
        <v>0.000459</v>
      </c>
    </row>
    <row r="59">
      <c r="A59" s="141" t="s">
        <v>241</v>
      </c>
      <c r="C59" t="str">
        <f>25/1000000</f>
        <v>0.000025</v>
      </c>
      <c r="G59" s="16">
        <v>11616.0</v>
      </c>
      <c r="H59" s="79" t="str">
        <f t="shared" si="158"/>
        <v>1285</v>
      </c>
      <c r="I59" t="str">
        <f t="shared" si="159"/>
        <v>0.03211824</v>
      </c>
      <c r="M59" s="79" t="str">
        <f t="shared" si="160"/>
        <v>1246</v>
      </c>
      <c r="N59" t="str">
        <f t="shared" si="161"/>
        <v>0.03115992</v>
      </c>
      <c r="R59" s="79" t="str">
        <f t="shared" si="162"/>
        <v>7</v>
      </c>
      <c r="S59" t="str">
        <f t="shared" si="163"/>
        <v>0.00017424</v>
      </c>
      <c r="W59" s="79" t="str">
        <f t="shared" si="164"/>
        <v>1986</v>
      </c>
      <c r="X59" t="str">
        <f t="shared" si="165"/>
        <v>0.0496584</v>
      </c>
      <c r="AB59" s="79" t="str">
        <f t="shared" si="166"/>
        <v>2057</v>
      </c>
      <c r="AC59" t="str">
        <f t="shared" si="167"/>
        <v>0.05142984</v>
      </c>
      <c r="AG59" s="79" t="str">
        <f t="shared" si="168"/>
        <v>2020</v>
      </c>
      <c r="AH59" t="str">
        <f t="shared" si="169"/>
        <v>0.05050056</v>
      </c>
      <c r="AL59" s="79" t="str">
        <f t="shared" si="170"/>
        <v>1797</v>
      </c>
      <c r="AM59" t="str">
        <f t="shared" si="171"/>
        <v>0.04492488</v>
      </c>
      <c r="AQ59" s="79" t="str">
        <f t="shared" si="172"/>
        <v>1219</v>
      </c>
      <c r="AR59" t="str">
        <f t="shared" si="173"/>
        <v>0.03046296</v>
      </c>
      <c r="AV59" t="str">
        <f t="shared" si="174"/>
        <v>0.2904</v>
      </c>
    </row>
    <row r="60">
      <c r="A60" s="141" t="s">
        <v>245</v>
      </c>
      <c r="C60" t="str">
        <f>7670/1000000</f>
        <v>0.00767</v>
      </c>
      <c r="D60" t="str">
        <f>45/1000000</f>
        <v>0.000045</v>
      </c>
      <c r="G60" s="16">
        <v>13.0</v>
      </c>
      <c r="H60" s="79" t="str">
        <f t="shared" si="158"/>
        <v>1</v>
      </c>
      <c r="I60" t="str">
        <f t="shared" si="159"/>
        <v>0.011027926</v>
      </c>
      <c r="J60" t="str">
        <f>H60*$D60</f>
        <v>0.000064701</v>
      </c>
      <c r="M60" s="79" t="str">
        <f t="shared" si="160"/>
        <v>1</v>
      </c>
      <c r="N60" t="str">
        <f t="shared" si="161"/>
        <v>0.010698883</v>
      </c>
      <c r="O60" t="str">
        <f>M60*$D60</f>
        <v>0.0000627705</v>
      </c>
      <c r="R60" s="79" t="str">
        <f t="shared" si="162"/>
        <v>0</v>
      </c>
      <c r="S60" t="str">
        <f t="shared" si="163"/>
        <v>0.000059826</v>
      </c>
      <c r="T60" t="str">
        <f>R60*$D60</f>
        <v>0.000000351</v>
      </c>
      <c r="W60" s="79" t="str">
        <f t="shared" si="164"/>
        <v>2</v>
      </c>
      <c r="X60" t="str">
        <f t="shared" si="165"/>
        <v>0.01705041</v>
      </c>
      <c r="Y60" t="str">
        <f>W60*$D60</f>
        <v>0.000100035</v>
      </c>
      <c r="AB60" s="79" t="str">
        <f t="shared" si="166"/>
        <v>2</v>
      </c>
      <c r="AC60" t="str">
        <f t="shared" si="167"/>
        <v>0.017658641</v>
      </c>
      <c r="AD60" t="str">
        <f>AB60*$D60</f>
        <v>0.0001036035</v>
      </c>
      <c r="AG60" s="79" t="str">
        <f t="shared" si="168"/>
        <v>2</v>
      </c>
      <c r="AH60" t="str">
        <f t="shared" si="169"/>
        <v>0.017339569</v>
      </c>
      <c r="AI60" t="str">
        <f>AG60*$D60</f>
        <v>0.0001017315</v>
      </c>
      <c r="AL60" s="79" t="str">
        <f t="shared" si="170"/>
        <v>2</v>
      </c>
      <c r="AM60" t="str">
        <f t="shared" si="171"/>
        <v>0.015425137</v>
      </c>
      <c r="AN60" t="str">
        <f>AL60*$D60</f>
        <v>0.0000904995</v>
      </c>
      <c r="AQ60" s="79" t="str">
        <f t="shared" si="172"/>
        <v>1</v>
      </c>
      <c r="AR60" t="str">
        <f t="shared" si="173"/>
        <v>0.010459579</v>
      </c>
      <c r="AS60" t="str">
        <f>AQ60*$D60</f>
        <v>0.0000613665</v>
      </c>
      <c r="AV60" t="str">
        <f t="shared" si="174"/>
        <v>0.09971</v>
      </c>
      <c r="AW60" t="str">
        <f>G60*D60</f>
        <v>0.000585</v>
      </c>
    </row>
    <row r="61">
      <c r="A61" s="138" t="s">
        <v>618</v>
      </c>
      <c r="B61" s="131"/>
      <c r="C61" s="131"/>
      <c r="D61" s="131"/>
      <c r="E61" s="131"/>
      <c r="F61" s="131"/>
      <c r="G61" s="131"/>
      <c r="H61" s="131"/>
      <c r="I61" s="139" t="str">
        <f t="shared" ref="I61:K61" si="175">sum(I37:I60)</f>
        <v>29</v>
      </c>
      <c r="J61" s="131" t="str">
        <f t="shared" si="175"/>
        <v>0.00418683328</v>
      </c>
      <c r="K61" s="131" t="str">
        <f t="shared" si="175"/>
        <v>0.07923159859</v>
      </c>
      <c r="L61" s="131"/>
      <c r="M61" s="131"/>
      <c r="N61" s="139" t="str">
        <f t="shared" ref="N61:P61" si="176">sum(N37:N60)</f>
        <v>28</v>
      </c>
      <c r="O61" s="131" t="str">
        <f t="shared" si="176"/>
        <v>0.004061909683</v>
      </c>
      <c r="P61" s="131" t="str">
        <f t="shared" si="176"/>
        <v>0.07686754547</v>
      </c>
      <c r="Q61" s="131"/>
      <c r="R61" s="131"/>
      <c r="S61" s="148" t="str">
        <f t="shared" ref="S61:U61" si="177">sum(S37:S60)</f>
        <v>0.2</v>
      </c>
      <c r="T61" s="131" t="str">
        <f t="shared" si="177"/>
        <v>0.00002271338127</v>
      </c>
      <c r="U61" s="131" t="str">
        <f t="shared" si="177"/>
        <v>0.0004298278405</v>
      </c>
      <c r="V61" s="131"/>
      <c r="W61" s="131"/>
      <c r="X61" s="139" t="str">
        <f t="shared" ref="X61:Z61" si="178">sum(X37:X60)</f>
        <v>45</v>
      </c>
      <c r="Y61" s="131" t="str">
        <f t="shared" si="178"/>
        <v>0.006473313661</v>
      </c>
      <c r="Z61" s="131" t="str">
        <f t="shared" si="178"/>
        <v>0.1225009345</v>
      </c>
      <c r="AA61" s="131"/>
      <c r="AB61" s="131"/>
      <c r="AC61" s="139" t="str">
        <f t="shared" ref="AC61:AE61" si="179">sum(AC37:AC60)</f>
        <v>46</v>
      </c>
      <c r="AD61" s="131" t="str">
        <f t="shared" si="179"/>
        <v>0.006704233037</v>
      </c>
      <c r="AE61" s="131" t="str">
        <f t="shared" si="179"/>
        <v>0.1268708509</v>
      </c>
      <c r="AF61" s="131"/>
      <c r="AG61" s="131"/>
      <c r="AH61" s="139" t="str">
        <f t="shared" ref="AH61:AJ61" si="180">sum(AH37:AH60)</f>
        <v>45</v>
      </c>
      <c r="AI61" s="131" t="str">
        <f t="shared" si="180"/>
        <v>0.006583095004</v>
      </c>
      <c r="AJ61" s="131" t="str">
        <f t="shared" si="180"/>
        <v>0.1245784358</v>
      </c>
      <c r="AK61" s="131"/>
      <c r="AL61" s="131"/>
      <c r="AM61" s="139" t="str">
        <f t="shared" ref="AM61:AO61" si="181">sum(AM37:AM60)</f>
        <v>40</v>
      </c>
      <c r="AN61" s="131" t="str">
        <f t="shared" si="181"/>
        <v>0.005856266803</v>
      </c>
      <c r="AO61" s="131" t="str">
        <f t="shared" si="181"/>
        <v>0.1108239449</v>
      </c>
      <c r="AP61" s="131"/>
      <c r="AQ61" s="131"/>
      <c r="AR61" s="139" t="str">
        <f t="shared" ref="AR61:AT61" si="182">sum(AR37:AR60)</f>
        <v>27</v>
      </c>
      <c r="AS61" s="131" t="str">
        <f t="shared" si="182"/>
        <v>0.003971056158</v>
      </c>
      <c r="AT61" s="131" t="str">
        <f t="shared" si="182"/>
        <v>0.07514823411</v>
      </c>
      <c r="AU61" s="131"/>
      <c r="AV61" s="131" t="str">
        <f t="shared" ref="AV61:AX61" si="183">sum(AV37:AV60)</f>
        <v>261.2762504</v>
      </c>
      <c r="AW61" s="131" t="str">
        <f t="shared" si="183"/>
        <v>0.04868563544</v>
      </c>
      <c r="AX61" s="131" t="str">
        <f t="shared" si="183"/>
        <v>0.7163797341</v>
      </c>
      <c r="AY61" s="131"/>
      <c r="AZ61" s="131"/>
      <c r="BA61" s="131"/>
      <c r="BB61" s="131"/>
      <c r="BC61" s="131"/>
    </row>
    <row r="62">
      <c r="A62" s="11"/>
      <c r="S62" s="78"/>
    </row>
    <row r="63">
      <c r="A63" s="140" t="s">
        <v>247</v>
      </c>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c r="AC63" s="126"/>
      <c r="AD63" s="126"/>
      <c r="AE63" s="126"/>
      <c r="AF63" s="126"/>
      <c r="AG63" s="126"/>
      <c r="AH63" s="126"/>
      <c r="AI63" s="126"/>
      <c r="AJ63" s="126"/>
      <c r="AK63" s="126"/>
      <c r="AL63" s="126"/>
      <c r="AM63" s="126"/>
      <c r="AN63" s="126"/>
      <c r="AO63" s="126"/>
      <c r="AP63" s="126"/>
      <c r="AQ63" s="126"/>
      <c r="AR63" s="126"/>
      <c r="AS63" s="126"/>
      <c r="AT63" s="126"/>
      <c r="AU63" s="126"/>
      <c r="AV63" s="126"/>
      <c r="AW63" s="126"/>
      <c r="AX63" s="126"/>
      <c r="AY63" s="126"/>
      <c r="AZ63" s="126"/>
      <c r="BA63" s="126"/>
      <c r="BB63" s="126"/>
      <c r="BC63" s="126"/>
    </row>
    <row r="64">
      <c r="A64" s="8" t="s">
        <v>248</v>
      </c>
      <c r="H64" s="149">
        <v>28792.0</v>
      </c>
      <c r="I64">
        <v>24185.28</v>
      </c>
      <c r="J64">
        <v>3426.248</v>
      </c>
      <c r="K64">
        <v>633.424</v>
      </c>
      <c r="M64" s="16">
        <v>20247.0</v>
      </c>
      <c r="N64">
        <v>17007.48</v>
      </c>
      <c r="O64">
        <v>2409.393</v>
      </c>
      <c r="P64">
        <v>445.434</v>
      </c>
      <c r="R64" s="16">
        <v>2673.0</v>
      </c>
      <c r="S64">
        <v>2245.32</v>
      </c>
      <c r="T64">
        <v>318.087</v>
      </c>
      <c r="U64">
        <v>58.806</v>
      </c>
      <c r="W64" s="149">
        <v>30802.0</v>
      </c>
      <c r="X64">
        <v>25873.68</v>
      </c>
      <c r="Y64">
        <v>3665.438</v>
      </c>
      <c r="Z64">
        <v>677.644</v>
      </c>
      <c r="AB64" s="16">
        <v>42946.0</v>
      </c>
      <c r="AC64">
        <v>36074.64</v>
      </c>
      <c r="AD64">
        <v>5110.574</v>
      </c>
      <c r="AE64">
        <v>944.812</v>
      </c>
      <c r="AG64" s="16">
        <v>42875.0</v>
      </c>
      <c r="AH64">
        <v>36015.0</v>
      </c>
      <c r="AI64">
        <v>5102.125</v>
      </c>
      <c r="AJ64">
        <v>943.25</v>
      </c>
      <c r="AL64" s="16">
        <v>32846.0</v>
      </c>
      <c r="AM64">
        <v>27590.64</v>
      </c>
      <c r="AN64">
        <v>3908.674</v>
      </c>
      <c r="AO64">
        <v>722.612</v>
      </c>
      <c r="AQ64" s="16">
        <v>27510.0</v>
      </c>
      <c r="AR64">
        <v>23108.4</v>
      </c>
      <c r="AS64">
        <v>3273.69</v>
      </c>
      <c r="AT64">
        <v>605.22</v>
      </c>
      <c r="AV64" t="str">
        <f t="shared" ref="AV64:AX64" si="184">sum(AR64,AM64,AH64,AC64,X64,S64,N64,I64)</f>
        <v>192100.44</v>
      </c>
      <c r="AW64" t="str">
        <f t="shared" si="184"/>
        <v>27214.229</v>
      </c>
      <c r="AX64" t="str">
        <f t="shared" si="184"/>
        <v>5031.202</v>
      </c>
    </row>
    <row r="65">
      <c r="A65" s="12" t="s">
        <v>256</v>
      </c>
      <c r="H65" s="149">
        <v>287.0</v>
      </c>
      <c r="I65">
        <v>241.08</v>
      </c>
      <c r="J65">
        <v>34.153</v>
      </c>
      <c r="K65">
        <v>6.314</v>
      </c>
      <c r="M65" s="149">
        <v>220.0</v>
      </c>
      <c r="N65">
        <v>184.8</v>
      </c>
      <c r="O65">
        <v>26.18</v>
      </c>
      <c r="P65">
        <v>4.84</v>
      </c>
      <c r="R65" s="16">
        <v>577.0</v>
      </c>
      <c r="S65">
        <v>484.68</v>
      </c>
      <c r="T65">
        <v>68.663</v>
      </c>
      <c r="U65">
        <v>12.694</v>
      </c>
      <c r="W65" s="16">
        <v>262.0</v>
      </c>
      <c r="X65">
        <v>220.08</v>
      </c>
      <c r="Y65">
        <v>31.178</v>
      </c>
      <c r="Z65">
        <v>5.764</v>
      </c>
      <c r="AB65" s="16">
        <v>247.0</v>
      </c>
      <c r="AC65">
        <v>207.48</v>
      </c>
      <c r="AD65">
        <v>29.393</v>
      </c>
      <c r="AE65">
        <v>5.434</v>
      </c>
      <c r="AG65" s="16">
        <v>244.0</v>
      </c>
      <c r="AH65">
        <v>204.96</v>
      </c>
      <c r="AI65">
        <v>29.036</v>
      </c>
      <c r="AJ65">
        <v>5.368</v>
      </c>
      <c r="AL65" s="16">
        <v>262.0</v>
      </c>
      <c r="AM65">
        <v>220.08</v>
      </c>
      <c r="AN65">
        <v>31.178</v>
      </c>
      <c r="AO65">
        <v>5.764</v>
      </c>
      <c r="AQ65" s="16">
        <v>278.0</v>
      </c>
      <c r="AR65">
        <v>233.52</v>
      </c>
      <c r="AS65">
        <v>33.082</v>
      </c>
      <c r="AT65">
        <v>6.116</v>
      </c>
      <c r="AV65" t="str">
        <f t="shared" ref="AV65:AX65" si="185">sum(AR65,AM65,AH65,AC65,X65,S65,N65,I65)</f>
        <v>1996.68</v>
      </c>
      <c r="AW65" t="str">
        <f t="shared" si="185"/>
        <v>282.863</v>
      </c>
      <c r="AX65" t="str">
        <f t="shared" si="185"/>
        <v>52.294</v>
      </c>
    </row>
    <row r="66">
      <c r="A66" s="52" t="s">
        <v>259</v>
      </c>
      <c r="H66" s="149">
        <v>2908.0</v>
      </c>
      <c r="I66">
        <v>2442.72</v>
      </c>
      <c r="J66">
        <v>360.592</v>
      </c>
      <c r="K66">
        <v>63.976</v>
      </c>
      <c r="M66" s="16">
        <v>2025.0</v>
      </c>
      <c r="N66">
        <v>1701.0</v>
      </c>
      <c r="O66">
        <v>251.1</v>
      </c>
      <c r="P66">
        <v>44.55</v>
      </c>
      <c r="R66" s="16">
        <v>1579.0</v>
      </c>
      <c r="S66">
        <v>1326.36</v>
      </c>
      <c r="T66">
        <v>195.796</v>
      </c>
      <c r="U66">
        <v>34.738</v>
      </c>
      <c r="W66" s="149">
        <v>2843.0</v>
      </c>
      <c r="X66">
        <v>2388.12</v>
      </c>
      <c r="Y66">
        <v>352.532</v>
      </c>
      <c r="Z66">
        <v>62.546</v>
      </c>
      <c r="AB66" s="149">
        <v>3623.0</v>
      </c>
      <c r="AC66">
        <v>3043.32</v>
      </c>
      <c r="AD66">
        <v>449.252</v>
      </c>
      <c r="AE66">
        <v>79.706</v>
      </c>
      <c r="AG66" s="149">
        <v>2454.0</v>
      </c>
      <c r="AH66">
        <v>2061.36</v>
      </c>
      <c r="AI66">
        <v>304.296</v>
      </c>
      <c r="AJ66">
        <v>53.988</v>
      </c>
      <c r="AL66" s="149">
        <v>2330.0</v>
      </c>
      <c r="AM66">
        <v>1957.2</v>
      </c>
      <c r="AN66">
        <v>288.92</v>
      </c>
      <c r="AO66">
        <v>51.26</v>
      </c>
      <c r="AQ66" s="16">
        <v>2247.0</v>
      </c>
      <c r="AR66">
        <v>1887.48</v>
      </c>
      <c r="AS66">
        <v>278.628</v>
      </c>
      <c r="AT66">
        <v>49.434</v>
      </c>
      <c r="AV66" t="str">
        <f t="shared" ref="AV66:AX66" si="186">sum(AR66,AM66,AH66,AC66,X66,S66,N66,I66)</f>
        <v>16807.56</v>
      </c>
      <c r="AW66" t="str">
        <f t="shared" si="186"/>
        <v>2481.116</v>
      </c>
      <c r="AX66" t="str">
        <f t="shared" si="186"/>
        <v>440.198</v>
      </c>
    </row>
    <row r="67">
      <c r="A67" s="8" t="s">
        <v>263</v>
      </c>
      <c r="H67" s="149">
        <v>132.0</v>
      </c>
      <c r="I67">
        <v>1029.6</v>
      </c>
      <c r="J67">
        <v>34.65</v>
      </c>
      <c r="K67">
        <v>2.64</v>
      </c>
      <c r="M67" s="149">
        <v>101.0</v>
      </c>
      <c r="N67">
        <v>787.8</v>
      </c>
      <c r="O67">
        <v>26.5125</v>
      </c>
      <c r="P67">
        <v>2.02</v>
      </c>
      <c r="R67" s="16">
        <v>332.0</v>
      </c>
      <c r="S67">
        <v>2589.6</v>
      </c>
      <c r="T67">
        <v>87.15</v>
      </c>
      <c r="U67">
        <v>6.64</v>
      </c>
      <c r="W67" s="16">
        <v>108.0</v>
      </c>
      <c r="X67">
        <v>842.4</v>
      </c>
      <c r="Y67">
        <v>28.35</v>
      </c>
      <c r="Z67">
        <v>2.16</v>
      </c>
      <c r="AB67" s="16">
        <v>95.0</v>
      </c>
      <c r="AC67">
        <v>741.0</v>
      </c>
      <c r="AD67">
        <v>24.9375</v>
      </c>
      <c r="AE67">
        <v>1.9</v>
      </c>
      <c r="AG67" s="16">
        <v>54.0</v>
      </c>
      <c r="AH67">
        <v>421.2</v>
      </c>
      <c r="AI67">
        <v>14.175</v>
      </c>
      <c r="AJ67">
        <v>1.08</v>
      </c>
      <c r="AL67" s="16">
        <v>125.0</v>
      </c>
      <c r="AM67">
        <v>975.0</v>
      </c>
      <c r="AN67">
        <v>32.8125</v>
      </c>
      <c r="AO67">
        <v>2.5</v>
      </c>
      <c r="AQ67" s="16">
        <v>149.0</v>
      </c>
      <c r="AR67">
        <v>1162.2</v>
      </c>
      <c r="AS67">
        <v>39.1125</v>
      </c>
      <c r="AT67">
        <v>2.98</v>
      </c>
      <c r="AV67" t="str">
        <f t="shared" ref="AV67:AX67" si="187">sum(AR67,AM67,AH67,AC67,X67,S67,N67,I67)</f>
        <v>8548.8</v>
      </c>
      <c r="AW67" t="str">
        <f t="shared" si="187"/>
        <v>287.7</v>
      </c>
      <c r="AX67" t="str">
        <f t="shared" si="187"/>
        <v>21.92</v>
      </c>
    </row>
    <row r="68">
      <c r="A68" s="12" t="s">
        <v>270</v>
      </c>
      <c r="H68" s="149">
        <v>2478.0</v>
      </c>
      <c r="I68">
        <v>260.19</v>
      </c>
      <c r="J68">
        <v>111.51</v>
      </c>
      <c r="K68">
        <v>7.434</v>
      </c>
      <c r="M68" s="16">
        <v>2342.0</v>
      </c>
      <c r="N68">
        <v>245.91</v>
      </c>
      <c r="O68">
        <v>105.39</v>
      </c>
      <c r="P68">
        <v>7.026</v>
      </c>
      <c r="R68" s="149">
        <v>125.0</v>
      </c>
      <c r="S68">
        <v>13.125</v>
      </c>
      <c r="T68">
        <v>5.625</v>
      </c>
      <c r="U68">
        <v>0.375</v>
      </c>
      <c r="W68" s="16">
        <v>3269.0</v>
      </c>
      <c r="X68">
        <v>343.245</v>
      </c>
      <c r="Y68">
        <v>147.105</v>
      </c>
      <c r="Z68">
        <v>9.807</v>
      </c>
      <c r="AB68" s="149">
        <v>2656.0</v>
      </c>
      <c r="AC68">
        <v>278.88</v>
      </c>
      <c r="AD68">
        <v>119.52</v>
      </c>
      <c r="AE68">
        <v>7.968</v>
      </c>
      <c r="AG68" s="149">
        <v>3032.0</v>
      </c>
      <c r="AH68">
        <v>318.36</v>
      </c>
      <c r="AI68">
        <v>136.44</v>
      </c>
      <c r="AJ68">
        <v>9.096</v>
      </c>
      <c r="AL68" s="16">
        <v>2911.0</v>
      </c>
      <c r="AM68">
        <v>305.655</v>
      </c>
      <c r="AN68">
        <v>130.995</v>
      </c>
      <c r="AO68">
        <v>8.733</v>
      </c>
      <c r="AQ68" s="149">
        <v>1196.0</v>
      </c>
      <c r="AR68">
        <v>125.58</v>
      </c>
      <c r="AS68">
        <v>53.82</v>
      </c>
      <c r="AT68">
        <v>3.588</v>
      </c>
      <c r="AV68" t="str">
        <f t="shared" ref="AV68:AX68" si="188">sum(AR68,AM68,AH68,AC68,X68,S68,N68,I68)</f>
        <v>1890.945</v>
      </c>
      <c r="AW68" t="str">
        <f t="shared" si="188"/>
        <v>810.405</v>
      </c>
      <c r="AX68" t="str">
        <f t="shared" si="188"/>
        <v>54.027</v>
      </c>
    </row>
    <row r="69">
      <c r="A69" s="54" t="s">
        <v>279</v>
      </c>
      <c r="B69" s="11"/>
      <c r="C69" s="11"/>
      <c r="D69" s="11"/>
      <c r="E69" s="11"/>
      <c r="F69" s="11"/>
      <c r="G69" s="11"/>
      <c r="AV69" s="150" t="str">
        <f>4928000/1000</f>
        <v>4928</v>
      </c>
      <c r="AW69" s="11" t="str">
        <f>3337100/1000</f>
        <v>3337.1</v>
      </c>
      <c r="AX69" s="11" t="str">
        <f>218400/1000</f>
        <v>218.4</v>
      </c>
    </row>
    <row r="70">
      <c r="A70" s="11" t="s">
        <v>287</v>
      </c>
      <c r="AV70" s="79">
        <v>4928.0</v>
      </c>
      <c r="AW70" s="79">
        <v>4376.0</v>
      </c>
    </row>
    <row r="71">
      <c r="A71" s="60" t="s">
        <v>640</v>
      </c>
      <c r="B71" s="11"/>
      <c r="C71" s="11"/>
      <c r="D71" s="11"/>
      <c r="E71" s="11"/>
      <c r="F71" s="11"/>
      <c r="G71" s="11"/>
      <c r="H71" s="151">
        <v>184.0</v>
      </c>
      <c r="I71">
        <v>7.5072</v>
      </c>
      <c r="J71">
        <v>4.6184</v>
      </c>
      <c r="K71">
        <v>1.41312</v>
      </c>
      <c r="M71" s="16">
        <v>134.0</v>
      </c>
      <c r="N71">
        <v>5.4672</v>
      </c>
      <c r="O71">
        <v>3.3634</v>
      </c>
      <c r="P71">
        <v>1.0291199999999998</v>
      </c>
      <c r="R71" s="16">
        <v>16.0</v>
      </c>
      <c r="S71">
        <v>0.6527999999999999</v>
      </c>
      <c r="T71">
        <v>0.4016</v>
      </c>
      <c r="U71">
        <v>0.12287999999999999</v>
      </c>
      <c r="W71" s="16">
        <v>134.0</v>
      </c>
      <c r="X71">
        <v>5.4672</v>
      </c>
      <c r="Y71">
        <v>3.3634</v>
      </c>
      <c r="Z71">
        <v>1.0291199999999998</v>
      </c>
      <c r="AB71" s="16">
        <v>143.0</v>
      </c>
      <c r="AC71">
        <v>5.8344</v>
      </c>
      <c r="AD71">
        <v>3.5893</v>
      </c>
      <c r="AE71">
        <v>1.09824</v>
      </c>
      <c r="AG71" s="16">
        <v>131.0</v>
      </c>
      <c r="AH71">
        <v>5.344799999999999</v>
      </c>
      <c r="AI71">
        <v>3.2881000000000005</v>
      </c>
      <c r="AJ71">
        <v>1.0060799999999999</v>
      </c>
      <c r="AL71" s="16">
        <v>106.0</v>
      </c>
      <c r="AM71">
        <v>4.324799999999999</v>
      </c>
      <c r="AN71">
        <v>2.6606000000000005</v>
      </c>
      <c r="AO71">
        <v>0.8140799999999999</v>
      </c>
      <c r="AQ71" s="16">
        <v>60.0</v>
      </c>
      <c r="AR71">
        <v>2.448</v>
      </c>
      <c r="AS71">
        <v>1.506</v>
      </c>
      <c r="AT71">
        <v>0.46079999999999993</v>
      </c>
      <c r="AU71" t="str">
        <f>sum(AR74,AM74,AH74,AC74,X74,S74,N74,I74)</f>
        <v>3009.0729</v>
      </c>
      <c r="AW71" s="11"/>
      <c r="AX71" s="11"/>
    </row>
    <row r="72">
      <c r="A72" s="60" t="s">
        <v>642</v>
      </c>
      <c r="B72" s="11"/>
      <c r="C72" s="11"/>
      <c r="D72" s="11"/>
      <c r="E72" s="11"/>
      <c r="F72" s="11"/>
      <c r="G72" s="11"/>
      <c r="H72" s="151">
        <v>4626.0</v>
      </c>
      <c r="I72">
        <v>248.4162</v>
      </c>
      <c r="J72">
        <v>69.39</v>
      </c>
      <c r="K72">
        <v>5.181120000000001</v>
      </c>
      <c r="M72" s="151">
        <v>3263.0</v>
      </c>
      <c r="N72">
        <v>175.22310000000002</v>
      </c>
      <c r="O72">
        <v>48.945</v>
      </c>
      <c r="P72">
        <v>3.6545600000000005</v>
      </c>
      <c r="R72" s="151">
        <v>109.0</v>
      </c>
      <c r="S72">
        <v>5.8533</v>
      </c>
      <c r="T72">
        <v>1.635</v>
      </c>
      <c r="U72">
        <v>0.12208000000000001</v>
      </c>
      <c r="W72" s="151">
        <v>5025.0</v>
      </c>
      <c r="X72">
        <v>269.8425</v>
      </c>
      <c r="Y72">
        <v>75.375</v>
      </c>
      <c r="Z72">
        <v>5.628000000000001</v>
      </c>
      <c r="AB72" s="151">
        <v>7126.0</v>
      </c>
      <c r="AC72">
        <v>382.6662</v>
      </c>
      <c r="AD72">
        <v>106.89</v>
      </c>
      <c r="AE72">
        <v>7.981120000000001</v>
      </c>
      <c r="AG72" s="151">
        <v>5126.0</v>
      </c>
      <c r="AH72">
        <v>275.2662</v>
      </c>
      <c r="AI72">
        <v>76.89</v>
      </c>
      <c r="AJ72">
        <v>5.7411200000000004</v>
      </c>
      <c r="AL72" s="151">
        <v>4560.0</v>
      </c>
      <c r="AM72">
        <v>244.872</v>
      </c>
      <c r="AN72">
        <v>68.4</v>
      </c>
      <c r="AO72">
        <v>5.107200000000001</v>
      </c>
      <c r="AQ72" s="151">
        <v>2065.0</v>
      </c>
      <c r="AR72">
        <v>110.8905</v>
      </c>
      <c r="AS72">
        <v>30.975</v>
      </c>
      <c r="AT72">
        <v>2.3128</v>
      </c>
      <c r="AU72" t="str">
        <f>sum(AT74,AO74,AJ74,AE74,Z74,U74,P74,K74)</f>
        <v>75.75889</v>
      </c>
      <c r="AW72" s="11"/>
      <c r="AX72" s="11"/>
    </row>
    <row r="73">
      <c r="A73" s="60" t="s">
        <v>644</v>
      </c>
      <c r="B73" s="11"/>
      <c r="C73" s="11"/>
      <c r="D73" s="11"/>
      <c r="E73" s="11"/>
      <c r="F73" s="11"/>
      <c r="G73" s="11"/>
      <c r="H73" s="151">
        <v>3380.0</v>
      </c>
      <c r="I73">
        <v>181.506</v>
      </c>
      <c r="J73">
        <v>50.7</v>
      </c>
      <c r="K73">
        <v>4.7658000000000005</v>
      </c>
      <c r="M73" s="151">
        <v>2236.0</v>
      </c>
      <c r="N73">
        <v>120.07320000000001</v>
      </c>
      <c r="O73">
        <v>33.54</v>
      </c>
      <c r="P73">
        <v>3.15276</v>
      </c>
      <c r="R73" s="151">
        <v>179.0</v>
      </c>
      <c r="S73">
        <v>9.612300000000001</v>
      </c>
      <c r="T73">
        <v>2.685</v>
      </c>
      <c r="U73">
        <v>0.25239</v>
      </c>
      <c r="W73" s="151">
        <v>3876.0</v>
      </c>
      <c r="X73">
        <v>208.1412</v>
      </c>
      <c r="Y73">
        <v>58.14</v>
      </c>
      <c r="Z73">
        <v>5.46516</v>
      </c>
      <c r="AB73" s="151">
        <v>4335.0</v>
      </c>
      <c r="AC73">
        <v>232.7895</v>
      </c>
      <c r="AD73">
        <v>65.025</v>
      </c>
      <c r="AE73">
        <v>6.112349999999999</v>
      </c>
      <c r="AG73" s="151">
        <v>3691.0</v>
      </c>
      <c r="AH73">
        <v>198.2067</v>
      </c>
      <c r="AI73">
        <v>55.365</v>
      </c>
      <c r="AJ73">
        <v>5.2043099999999995</v>
      </c>
      <c r="AL73" s="151">
        <v>3284.0</v>
      </c>
      <c r="AM73">
        <v>176.35080000000002</v>
      </c>
      <c r="AN73">
        <v>49.26</v>
      </c>
      <c r="AO73">
        <v>4.630439999999999</v>
      </c>
      <c r="AQ73" s="151">
        <v>2464.0</v>
      </c>
      <c r="AR73">
        <v>132.31680000000003</v>
      </c>
      <c r="AS73">
        <v>36.96</v>
      </c>
      <c r="AT73">
        <v>3.47424</v>
      </c>
      <c r="AU73" t="str">
        <f>sum(AS74,AN74,AI74,AD74,Y74,T74,O74,J74)</f>
        <v>852.9658</v>
      </c>
      <c r="AW73" s="11"/>
      <c r="AX73" s="11"/>
    </row>
    <row r="74">
      <c r="A74" s="11" t="s">
        <v>645</v>
      </c>
      <c r="B74" s="11"/>
      <c r="C74" s="11"/>
      <c r="D74" s="11"/>
      <c r="E74" s="11"/>
      <c r="F74" s="11"/>
      <c r="G74" s="11"/>
      <c r="H74" t="str">
        <f>sum(H71:H73)</f>
        <v>8190</v>
      </c>
      <c r="I74">
        <v>437.42940000000004</v>
      </c>
      <c r="J74">
        <v>124.7084</v>
      </c>
      <c r="K74">
        <v>11.360040000000001</v>
      </c>
      <c r="M74" t="str">
        <f>sum(M71:M73)</f>
        <v>5633</v>
      </c>
      <c r="N74">
        <v>300.7635</v>
      </c>
      <c r="O74">
        <v>85.8484</v>
      </c>
      <c r="P74">
        <v>7.8364400000000005</v>
      </c>
      <c r="R74" t="str">
        <f>sum(R71:R73)</f>
        <v>304</v>
      </c>
      <c r="S74">
        <v>16.1184</v>
      </c>
      <c r="T74">
        <v>4.7216000000000005</v>
      </c>
      <c r="U74">
        <v>0.49735</v>
      </c>
      <c r="W74" t="str">
        <f>sum(W71:W73)</f>
        <v>9035</v>
      </c>
      <c r="X74">
        <v>483.45090000000005</v>
      </c>
      <c r="Y74">
        <v>136.8784</v>
      </c>
      <c r="Z74">
        <v>12.12228</v>
      </c>
      <c r="AB74" t="str">
        <f>sum(AB71:AB73)</f>
        <v>11604</v>
      </c>
      <c r="AC74">
        <v>621.2901</v>
      </c>
      <c r="AD74">
        <v>175.5043</v>
      </c>
      <c r="AE74">
        <v>15.191709999999999</v>
      </c>
      <c r="AG74" t="str">
        <f>sum(AG71:AG73)</f>
        <v>8948</v>
      </c>
      <c r="AH74">
        <v>478.8177</v>
      </c>
      <c r="AI74">
        <v>135.5431</v>
      </c>
      <c r="AJ74">
        <v>11.95151</v>
      </c>
      <c r="AL74" t="str">
        <f>sum(AL71:AL73)</f>
        <v>7950</v>
      </c>
      <c r="AM74">
        <v>425.5476</v>
      </c>
      <c r="AN74">
        <v>120.3206</v>
      </c>
      <c r="AO74">
        <v>10.551720000000001</v>
      </c>
      <c r="AQ74" t="str">
        <f>sum(AQ71:AQ73)</f>
        <v>4589</v>
      </c>
      <c r="AR74">
        <v>245.6553</v>
      </c>
      <c r="AS74">
        <v>69.441</v>
      </c>
      <c r="AT74">
        <v>6.24784</v>
      </c>
      <c r="AU74" t="str">
        <f t="shared" ref="AU74:AX74" si="189">sum(AQ74,AL74,AG74,AB74,W74,R74,M74,H74)</f>
        <v>56253</v>
      </c>
      <c r="AV74" t="str">
        <f t="shared" si="189"/>
        <v>3009.0729</v>
      </c>
      <c r="AW74" t="str">
        <f t="shared" si="189"/>
        <v>852.9658</v>
      </c>
      <c r="AX74" t="str">
        <f t="shared" si="189"/>
        <v>75.75889</v>
      </c>
    </row>
    <row r="75">
      <c r="A75" s="11" t="s">
        <v>641</v>
      </c>
      <c r="B75" s="11"/>
      <c r="C75" s="11"/>
      <c r="D75" s="11"/>
      <c r="E75" s="11"/>
      <c r="F75" s="11"/>
      <c r="G75" s="11"/>
      <c r="AU75" s="16"/>
      <c r="AV75" s="152">
        <v>997.542</v>
      </c>
      <c r="AW75" s="153">
        <v>263.42</v>
      </c>
      <c r="AX75" s="152">
        <v>31.466</v>
      </c>
    </row>
    <row r="76">
      <c r="A76" s="54" t="s">
        <v>643</v>
      </c>
      <c r="AU76" s="16"/>
    </row>
    <row r="77">
      <c r="A77" s="138" t="s">
        <v>618</v>
      </c>
      <c r="B77" s="131"/>
      <c r="C77" s="131"/>
      <c r="D77" s="131"/>
      <c r="E77" s="131"/>
      <c r="F77" s="131"/>
      <c r="G77" s="131"/>
      <c r="H77" s="132" t="str">
        <f t="shared" ref="H77:K77" si="190">sum(H64:H68)</f>
        <v>34597</v>
      </c>
      <c r="I77" s="131" t="str">
        <f t="shared" si="190"/>
        <v>28158.87</v>
      </c>
      <c r="J77" s="131" t="str">
        <f t="shared" si="190"/>
        <v>3967.153</v>
      </c>
      <c r="K77" s="131" t="str">
        <f t="shared" si="190"/>
        <v>713.788</v>
      </c>
      <c r="L77" s="131"/>
      <c r="M77" s="131" t="str">
        <f t="shared" ref="M77:P77" si="191">sum(M64:M68)</f>
        <v>24935</v>
      </c>
      <c r="N77" s="131" t="str">
        <f t="shared" si="191"/>
        <v>19926.99</v>
      </c>
      <c r="O77" s="131" t="str">
        <f t="shared" si="191"/>
        <v>2818.5755</v>
      </c>
      <c r="P77" s="131" t="str">
        <f t="shared" si="191"/>
        <v>503.87</v>
      </c>
      <c r="Q77" s="131"/>
      <c r="R77" s="131" t="str">
        <f t="shared" ref="R77:U77" si="192">sum(R64:R68)</f>
        <v>5286</v>
      </c>
      <c r="S77" s="131" t="str">
        <f t="shared" si="192"/>
        <v>6659.085</v>
      </c>
      <c r="T77" s="131" t="str">
        <f t="shared" si="192"/>
        <v>675.321</v>
      </c>
      <c r="U77" s="131" t="str">
        <f t="shared" si="192"/>
        <v>113.253</v>
      </c>
      <c r="V77" s="131"/>
      <c r="W77" s="131" t="str">
        <f t="shared" ref="W77:Z77" si="193">sum(W64:W68)</f>
        <v>37284</v>
      </c>
      <c r="X77" s="131" t="str">
        <f t="shared" si="193"/>
        <v>29667.525</v>
      </c>
      <c r="Y77" s="131" t="str">
        <f t="shared" si="193"/>
        <v>4224.603</v>
      </c>
      <c r="Z77" s="131" t="str">
        <f t="shared" si="193"/>
        <v>757.921</v>
      </c>
      <c r="AA77" s="131"/>
      <c r="AB77" s="131" t="str">
        <f t="shared" ref="AB77:AE77" si="194">sum(AB64:AB68)</f>
        <v>49567</v>
      </c>
      <c r="AC77" s="131" t="str">
        <f t="shared" si="194"/>
        <v>40345.32</v>
      </c>
      <c r="AD77" s="131" t="str">
        <f t="shared" si="194"/>
        <v>5733.6765</v>
      </c>
      <c r="AE77" s="131" t="str">
        <f t="shared" si="194"/>
        <v>1039.82</v>
      </c>
      <c r="AF77" s="131"/>
      <c r="AG77" s="131" t="str">
        <f t="shared" ref="AG77:AJ77" si="195">sum(AG64:AG68)</f>
        <v>48659</v>
      </c>
      <c r="AH77" s="131" t="str">
        <f t="shared" si="195"/>
        <v>39020.88</v>
      </c>
      <c r="AI77" s="131" t="str">
        <f t="shared" si="195"/>
        <v>5586.072</v>
      </c>
      <c r="AJ77" s="131" t="str">
        <f t="shared" si="195"/>
        <v>1012.782</v>
      </c>
      <c r="AK77" s="131"/>
      <c r="AL77" s="131" t="str">
        <f t="shared" ref="AL77:AO77" si="196">sum(AL64:AL68)</f>
        <v>38474</v>
      </c>
      <c r="AM77" s="131" t="str">
        <f t="shared" si="196"/>
        <v>31048.575</v>
      </c>
      <c r="AN77" s="131" t="str">
        <f t="shared" si="196"/>
        <v>4392.5795</v>
      </c>
      <c r="AO77" s="131" t="str">
        <f t="shared" si="196"/>
        <v>790.869</v>
      </c>
      <c r="AP77" s="131"/>
      <c r="AQ77" s="131" t="str">
        <f t="shared" ref="AQ77:AT77" si="197">sum(AQ64:AQ68)</f>
        <v>31380</v>
      </c>
      <c r="AR77" s="131" t="str">
        <f t="shared" si="197"/>
        <v>26517.18</v>
      </c>
      <c r="AS77" s="131" t="str">
        <f t="shared" si="197"/>
        <v>3678.3325</v>
      </c>
      <c r="AT77" s="131" t="str">
        <f t="shared" si="197"/>
        <v>667.338</v>
      </c>
      <c r="AU77" s="131"/>
      <c r="AV77" s="131"/>
      <c r="AW77" s="131"/>
      <c r="AX77" s="131"/>
      <c r="AY77" s="131"/>
      <c r="AZ77" s="131"/>
      <c r="BA77" s="131"/>
      <c r="BB77" s="131"/>
      <c r="BC77" s="131"/>
    </row>
    <row r="78">
      <c r="A78" s="132" t="s">
        <v>657</v>
      </c>
      <c r="B78" s="131"/>
      <c r="C78" s="131"/>
      <c r="D78" s="131"/>
      <c r="E78" s="131"/>
      <c r="F78" s="131"/>
      <c r="G78" s="131"/>
      <c r="H78" s="131"/>
      <c r="I78" s="131" t="str">
        <f t="shared" ref="I78:K78" si="198">sum(I77,I74)</f>
        <v>28596.2994</v>
      </c>
      <c r="J78" s="131" t="str">
        <f t="shared" si="198"/>
        <v>4091.8614</v>
      </c>
      <c r="K78" s="131" t="str">
        <f t="shared" si="198"/>
        <v>725.14804</v>
      </c>
      <c r="L78" s="131"/>
      <c r="M78" s="131"/>
      <c r="N78" s="131" t="str">
        <f t="shared" ref="N78:P78" si="199">sum(N77,N74)</f>
        <v>20227.7535</v>
      </c>
      <c r="O78" s="131" t="str">
        <f t="shared" si="199"/>
        <v>2904.4239</v>
      </c>
      <c r="P78" s="131" t="str">
        <f t="shared" si="199"/>
        <v>511.70644</v>
      </c>
      <c r="Q78" s="131"/>
      <c r="R78" s="131"/>
      <c r="S78" s="131" t="str">
        <f t="shared" ref="S78:U78" si="200">sum(S77,S74)</f>
        <v>6675.2034</v>
      </c>
      <c r="T78" s="131" t="str">
        <f t="shared" si="200"/>
        <v>680.0426</v>
      </c>
      <c r="U78" s="131" t="str">
        <f t="shared" si="200"/>
        <v>113.75035</v>
      </c>
      <c r="V78" s="131"/>
      <c r="W78" s="131"/>
      <c r="X78" s="131" t="str">
        <f t="shared" ref="X78:Z78" si="201">sum(X77,X74)</f>
        <v>30150.9759</v>
      </c>
      <c r="Y78" s="131" t="str">
        <f t="shared" si="201"/>
        <v>4361.4814</v>
      </c>
      <c r="Z78" s="131" t="str">
        <f t="shared" si="201"/>
        <v>770.04328</v>
      </c>
      <c r="AA78" s="131"/>
      <c r="AB78" s="131"/>
      <c r="AC78" s="131" t="str">
        <f t="shared" ref="AC78:AE78" si="202">sum(AC77,AC74)</f>
        <v>40966.6101</v>
      </c>
      <c r="AD78" s="131" t="str">
        <f t="shared" si="202"/>
        <v>5909.1808</v>
      </c>
      <c r="AE78" s="131" t="str">
        <f t="shared" si="202"/>
        <v>1055.01171</v>
      </c>
      <c r="AF78" s="131"/>
      <c r="AG78" s="131"/>
      <c r="AH78" s="131" t="str">
        <f t="shared" ref="AH78:AJ78" si="203">sum(AH77,AH74)</f>
        <v>39499.6977</v>
      </c>
      <c r="AI78" s="131" t="str">
        <f t="shared" si="203"/>
        <v>5721.6151</v>
      </c>
      <c r="AJ78" s="131" t="str">
        <f t="shared" si="203"/>
        <v>1024.73351</v>
      </c>
      <c r="AK78" s="131"/>
      <c r="AL78" s="131"/>
      <c r="AM78" s="131" t="str">
        <f t="shared" ref="AM78:AO78" si="204">sum(AM77,AM74)</f>
        <v>31474.1226</v>
      </c>
      <c r="AN78" s="131" t="str">
        <f t="shared" si="204"/>
        <v>4512.9001</v>
      </c>
      <c r="AO78" s="131" t="str">
        <f t="shared" si="204"/>
        <v>801.42072</v>
      </c>
      <c r="AP78" s="131"/>
      <c r="AQ78" s="131"/>
      <c r="AR78" s="131" t="str">
        <f t="shared" ref="AR78:AT78" si="205">sum(AR77,AR74)</f>
        <v>26762.8353</v>
      </c>
      <c r="AS78" s="131" t="str">
        <f t="shared" si="205"/>
        <v>3747.7735</v>
      </c>
      <c r="AT78" s="131" t="str">
        <f t="shared" si="205"/>
        <v>673.58584</v>
      </c>
      <c r="AU78" s="131"/>
      <c r="AV78" s="131"/>
      <c r="AW78" s="131"/>
      <c r="AX78" s="131"/>
      <c r="AY78" s="131"/>
      <c r="AZ78" s="131"/>
      <c r="BA78" s="131"/>
      <c r="BB78" s="131"/>
      <c r="BC78" s="131"/>
    </row>
    <row r="79">
      <c r="A79" s="7"/>
    </row>
    <row r="80">
      <c r="A80" s="136" t="s">
        <v>316</v>
      </c>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126"/>
      <c r="AZ80" s="126"/>
      <c r="BA80" s="126"/>
      <c r="BB80" s="126"/>
      <c r="BC80" s="126"/>
    </row>
    <row r="81">
      <c r="A81" s="107" t="s">
        <v>658</v>
      </c>
      <c r="B81" s="43"/>
      <c r="C81" s="43"/>
      <c r="D81" s="43"/>
      <c r="E81" s="43"/>
      <c r="F81" s="43"/>
      <c r="G81" s="43"/>
      <c r="H81" s="79"/>
      <c r="I81" s="79">
        <v>30.45443443</v>
      </c>
      <c r="J81" s="79">
        <v>6.411459880000001</v>
      </c>
      <c r="K81" s="79">
        <v>1.6028649700000002</v>
      </c>
      <c r="L81" s="79"/>
      <c r="M81" s="79"/>
      <c r="N81" s="79">
        <v>29.545757815</v>
      </c>
      <c r="O81" s="79">
        <v>6.220159540000001</v>
      </c>
      <c r="P81" s="79">
        <v>1.5550398850000002</v>
      </c>
      <c r="Q81" s="79"/>
      <c r="R81" s="79"/>
      <c r="S81" s="79">
        <v>0.16521392999999998</v>
      </c>
      <c r="T81" s="79">
        <v>0.034781879999999994</v>
      </c>
      <c r="U81" s="79">
        <v>0.008695469999999999</v>
      </c>
      <c r="V81" s="79"/>
      <c r="W81" s="79"/>
      <c r="X81" s="79">
        <v>47.08597005</v>
      </c>
      <c r="Y81" s="79">
        <v>9.9128358</v>
      </c>
      <c r="Z81" s="79">
        <v>2.47820895</v>
      </c>
      <c r="AA81" s="79"/>
      <c r="AB81" s="79"/>
      <c r="AC81" s="79">
        <v>48.765645004999996</v>
      </c>
      <c r="AD81" s="79">
        <v>10.26645158</v>
      </c>
      <c r="AE81" s="79">
        <v>2.566612895</v>
      </c>
      <c r="AF81" s="79"/>
      <c r="AG81" s="79"/>
      <c r="AH81" s="79">
        <v>47.88450404499999</v>
      </c>
      <c r="AI81" s="79">
        <v>10.08094822</v>
      </c>
      <c r="AJ81" s="79">
        <v>2.520237055</v>
      </c>
      <c r="AK81" s="79"/>
      <c r="AL81" s="79"/>
      <c r="AM81" s="79">
        <v>42.597658284999994</v>
      </c>
      <c r="AN81" s="79">
        <v>8.96792806</v>
      </c>
      <c r="AO81" s="79">
        <v>2.241982015</v>
      </c>
      <c r="AP81" s="79"/>
      <c r="AQ81" s="79"/>
      <c r="AR81" s="79">
        <v>28.884902094999998</v>
      </c>
      <c r="AS81" s="79">
        <v>6.081032019999999</v>
      </c>
      <c r="AT81" s="79">
        <v>1.5202580049999999</v>
      </c>
      <c r="AU81" s="79"/>
      <c r="AV81" s="43">
        <v>275.384085655</v>
      </c>
      <c r="AW81" s="79">
        <v>57.975596980000006</v>
      </c>
      <c r="AX81" s="79">
        <v>14.493899245000001</v>
      </c>
      <c r="AY81" s="79"/>
      <c r="AZ81" s="79"/>
      <c r="BA81" s="79"/>
      <c r="BB81" s="79"/>
      <c r="BC81" s="79"/>
    </row>
    <row r="82">
      <c r="A82" s="107" t="s">
        <v>347</v>
      </c>
      <c r="B82" s="79"/>
      <c r="C82" s="79"/>
      <c r="D82" s="79"/>
      <c r="E82" s="79"/>
      <c r="F82" s="79"/>
      <c r="G82" s="79"/>
      <c r="H82" s="79"/>
      <c r="I82" s="79">
        <v>2.3085676250000002</v>
      </c>
      <c r="J82" s="79">
        <v>2.4009103300000003</v>
      </c>
      <c r="K82" s="79">
        <v>0.0</v>
      </c>
      <c r="L82" s="79"/>
      <c r="M82" s="79"/>
      <c r="N82" s="79">
        <v>2.2396863125</v>
      </c>
      <c r="O82" s="79">
        <v>2.329273765</v>
      </c>
      <c r="P82" s="79">
        <v>0.0</v>
      </c>
      <c r="Q82" s="79"/>
      <c r="R82" s="79"/>
      <c r="S82" s="79">
        <v>0.012523875</v>
      </c>
      <c r="T82" s="79">
        <v>0.01302483</v>
      </c>
      <c r="U82" s="79">
        <v>0.0</v>
      </c>
      <c r="V82" s="79"/>
      <c r="W82" s="79"/>
      <c r="X82" s="79">
        <v>3.5693043750000006</v>
      </c>
      <c r="Y82" s="79">
        <v>3.7120765500000004</v>
      </c>
      <c r="Z82" s="79">
        <v>0.0</v>
      </c>
      <c r="AA82" s="79"/>
      <c r="AB82" s="79"/>
      <c r="AC82" s="79">
        <v>3.6966304375</v>
      </c>
      <c r="AD82" s="79">
        <v>3.844495655</v>
      </c>
      <c r="AE82" s="79">
        <v>0.0</v>
      </c>
      <c r="AF82" s="79"/>
      <c r="AG82" s="79"/>
      <c r="AH82" s="79">
        <v>3.6298364375000003</v>
      </c>
      <c r="AI82" s="79">
        <v>3.775029895</v>
      </c>
      <c r="AJ82" s="79">
        <v>0.0</v>
      </c>
      <c r="AK82" s="79"/>
      <c r="AL82" s="79"/>
      <c r="AM82" s="79">
        <v>3.2290724375000006</v>
      </c>
      <c r="AN82" s="79">
        <v>3.358235335</v>
      </c>
      <c r="AO82" s="79">
        <v>0.0</v>
      </c>
      <c r="AP82" s="79"/>
      <c r="AQ82" s="79"/>
      <c r="AR82" s="79">
        <v>2.1895908125</v>
      </c>
      <c r="AS82" s="79">
        <v>2.2771744449999995</v>
      </c>
      <c r="AT82" s="79">
        <v>0.0</v>
      </c>
      <c r="AU82" s="79"/>
      <c r="AV82" s="43">
        <v>20.8752123125</v>
      </c>
      <c r="AW82" s="79">
        <v>21.710220805</v>
      </c>
      <c r="AX82" s="79">
        <v>0.0</v>
      </c>
      <c r="AY82" s="79"/>
      <c r="AZ82" s="79"/>
      <c r="BA82" s="79"/>
      <c r="BB82" s="79"/>
      <c r="BC82" s="79"/>
    </row>
    <row r="83">
      <c r="A83" s="107" t="s">
        <v>659</v>
      </c>
      <c r="B83" s="79"/>
      <c r="C83" s="79"/>
      <c r="D83" s="79"/>
      <c r="E83" s="79"/>
      <c r="F83" s="79"/>
      <c r="G83" s="79"/>
      <c r="H83" s="79"/>
      <c r="I83" s="79">
        <v>38.839074292199996</v>
      </c>
      <c r="J83" s="79">
        <v>3.0102268214200003</v>
      </c>
      <c r="K83" s="79">
        <v>5.956913235</v>
      </c>
      <c r="L83" s="79"/>
      <c r="M83" s="79"/>
      <c r="N83" s="79">
        <v>37.680223070100006</v>
      </c>
      <c r="O83" s="79">
        <v>2.920409927110001</v>
      </c>
      <c r="P83" s="79">
        <v>5.7791753175</v>
      </c>
      <c r="Q83" s="79"/>
      <c r="R83" s="79"/>
      <c r="S83" s="79">
        <v>0.21070022219999998</v>
      </c>
      <c r="T83" s="79">
        <v>0.01633034442</v>
      </c>
      <c r="U83" s="79">
        <v>0.032315985</v>
      </c>
      <c r="V83" s="79"/>
      <c r="W83" s="79"/>
      <c r="X83" s="79">
        <v>60.049563327</v>
      </c>
      <c r="Y83" s="79">
        <v>4.6541481597</v>
      </c>
      <c r="Z83" s="79">
        <v>9.210055725</v>
      </c>
      <c r="AA83" s="79"/>
      <c r="AB83" s="79"/>
      <c r="AC83" s="79">
        <v>62.191682252700005</v>
      </c>
      <c r="AD83" s="79">
        <v>4.820173327970001</v>
      </c>
      <c r="AE83" s="79">
        <v>9.5386015725</v>
      </c>
      <c r="AF83" s="79"/>
      <c r="AG83" s="79"/>
      <c r="AH83" s="79">
        <v>61.0679477343</v>
      </c>
      <c r="AI83" s="79">
        <v>4.7330781577300005</v>
      </c>
      <c r="AJ83" s="79">
        <v>9.366249652499999</v>
      </c>
      <c r="AK83" s="79"/>
      <c r="AL83" s="79"/>
      <c r="AM83" s="79">
        <v>54.325540623900004</v>
      </c>
      <c r="AN83" s="79">
        <v>4.21050713629</v>
      </c>
      <c r="AO83" s="79">
        <v>8.3321381325</v>
      </c>
      <c r="AP83" s="79"/>
      <c r="AQ83" s="79"/>
      <c r="AR83" s="79">
        <v>36.8374221813</v>
      </c>
      <c r="AS83" s="79">
        <v>2.8550885494300005</v>
      </c>
      <c r="AT83" s="79">
        <v>5.6499113775</v>
      </c>
      <c r="AU83" s="79"/>
      <c r="AV83" s="43">
        <v>351.2021537037</v>
      </c>
      <c r="AW83" s="79">
        <v>27.21996242407</v>
      </c>
      <c r="AX83" s="79">
        <v>53.86536099749999</v>
      </c>
      <c r="AY83" s="79"/>
      <c r="AZ83" s="79"/>
      <c r="BA83" s="79"/>
      <c r="BB83" s="79"/>
      <c r="BC83" s="79"/>
    </row>
    <row r="84">
      <c r="A84" s="107" t="s">
        <v>367</v>
      </c>
      <c r="B84" s="79"/>
      <c r="C84" s="79"/>
      <c r="D84" s="79"/>
      <c r="E84" s="79"/>
      <c r="F84" s="79"/>
      <c r="G84" s="79"/>
      <c r="H84" s="79"/>
      <c r="I84" s="79">
        <v>66.9853324</v>
      </c>
      <c r="J84" s="79">
        <v>22.48793302</v>
      </c>
      <c r="K84" s="79">
        <v>15.631505782200001</v>
      </c>
      <c r="L84" s="79"/>
      <c r="M84" s="79"/>
      <c r="N84" s="79">
        <v>64.9866742</v>
      </c>
      <c r="O84" s="79">
        <v>21.81695491</v>
      </c>
      <c r="P84" s="79">
        <v>15.165104615099999</v>
      </c>
      <c r="Q84" s="79"/>
      <c r="R84" s="79"/>
      <c r="S84" s="79">
        <v>0.36339239999999995</v>
      </c>
      <c r="T84" s="79">
        <v>0.12199601999999998</v>
      </c>
      <c r="U84" s="79">
        <v>0.08480021219999999</v>
      </c>
      <c r="V84" s="79"/>
      <c r="W84" s="79"/>
      <c r="X84" s="79">
        <v>103.56683400000001</v>
      </c>
      <c r="Y84" s="79">
        <v>34.7688657</v>
      </c>
      <c r="Z84" s="79">
        <v>24.168060477000004</v>
      </c>
      <c r="AA84" s="79"/>
      <c r="AB84" s="79"/>
      <c r="AC84" s="79">
        <v>107.2613234</v>
      </c>
      <c r="AD84" s="79">
        <v>36.00915857</v>
      </c>
      <c r="AE84" s="79">
        <v>25.0301959677</v>
      </c>
      <c r="AF84" s="79"/>
      <c r="AG84" s="79"/>
      <c r="AH84" s="79">
        <v>105.3232306</v>
      </c>
      <c r="AI84" s="79">
        <v>35.35851313</v>
      </c>
      <c r="AJ84" s="79">
        <v>24.5779281693</v>
      </c>
      <c r="AK84" s="79"/>
      <c r="AL84" s="79"/>
      <c r="AM84" s="79">
        <v>93.6946738</v>
      </c>
      <c r="AN84" s="79">
        <v>31.454640490000003</v>
      </c>
      <c r="AO84" s="79">
        <v>21.8643213789</v>
      </c>
      <c r="AP84" s="79"/>
      <c r="AQ84" s="79"/>
      <c r="AR84" s="79">
        <v>63.533104599999994</v>
      </c>
      <c r="AS84" s="79">
        <v>21.32897083</v>
      </c>
      <c r="AT84" s="79">
        <v>14.825903766299998</v>
      </c>
      <c r="AU84" s="79"/>
      <c r="AV84" s="43">
        <v>605.7145654</v>
      </c>
      <c r="AW84" s="79">
        <v>203.34703267</v>
      </c>
      <c r="AX84" s="79">
        <v>141.3478203687</v>
      </c>
      <c r="AY84" s="79"/>
      <c r="AZ84" s="79"/>
      <c r="BA84" s="79"/>
      <c r="BB84" s="79"/>
      <c r="BC84" s="79"/>
    </row>
    <row r="85">
      <c r="A85" s="107" t="s">
        <v>660</v>
      </c>
      <c r="B85" s="79"/>
      <c r="C85" s="79"/>
      <c r="D85" s="79"/>
      <c r="E85" s="79"/>
      <c r="F85" s="79"/>
      <c r="G85" s="79"/>
      <c r="H85" s="79"/>
      <c r="I85" s="79">
        <v>239.13774948</v>
      </c>
      <c r="J85" s="79">
        <v>28.133852880000003</v>
      </c>
      <c r="K85" s="79">
        <v>70.3346322</v>
      </c>
      <c r="L85" s="79"/>
      <c r="M85" s="79"/>
      <c r="N85" s="79">
        <v>232.00253633999998</v>
      </c>
      <c r="O85" s="79">
        <v>27.29441604</v>
      </c>
      <c r="P85" s="79">
        <v>68.23604010000001</v>
      </c>
      <c r="Q85" s="79"/>
      <c r="R85" s="79"/>
      <c r="S85" s="79">
        <v>1.2973114799999996</v>
      </c>
      <c r="T85" s="79">
        <v>0.15262487999999996</v>
      </c>
      <c r="U85" s="79">
        <v>0.38156219999999996</v>
      </c>
      <c r="V85" s="79"/>
      <c r="W85" s="79"/>
      <c r="X85" s="79">
        <v>369.7337718</v>
      </c>
      <c r="Y85" s="79">
        <v>43.4980908</v>
      </c>
      <c r="Z85" s="79">
        <v>108.745227</v>
      </c>
      <c r="AA85" s="79"/>
      <c r="AB85" s="79"/>
      <c r="AC85" s="79">
        <v>382.92310518</v>
      </c>
      <c r="AD85" s="79">
        <v>45.04977708</v>
      </c>
      <c r="AE85" s="79">
        <v>112.62444270000002</v>
      </c>
      <c r="AF85" s="79"/>
      <c r="AG85" s="79"/>
      <c r="AH85" s="79">
        <v>376.00411061999995</v>
      </c>
      <c r="AI85" s="79">
        <v>44.23577772</v>
      </c>
      <c r="AJ85" s="79">
        <v>110.5894443</v>
      </c>
      <c r="AK85" s="79"/>
      <c r="AL85" s="79"/>
      <c r="AM85" s="79">
        <v>334.4901432599999</v>
      </c>
      <c r="AN85" s="79">
        <v>39.35178156</v>
      </c>
      <c r="AO85" s="79">
        <v>98.37945389999999</v>
      </c>
      <c r="AP85" s="79"/>
      <c r="AQ85" s="79"/>
      <c r="AR85" s="79">
        <v>226.81329042</v>
      </c>
      <c r="AS85" s="79">
        <v>26.68391652</v>
      </c>
      <c r="AT85" s="79">
        <v>66.70979129999999</v>
      </c>
      <c r="AU85" s="79"/>
      <c r="AV85" s="43">
        <v>2162.40201858</v>
      </c>
      <c r="AW85" s="79">
        <v>254.40023748000002</v>
      </c>
      <c r="AX85" s="79">
        <v>636.0005937000001</v>
      </c>
      <c r="AY85" s="79"/>
      <c r="AZ85" s="79"/>
      <c r="BA85" s="79"/>
      <c r="BB85" s="79"/>
      <c r="BC85" s="79"/>
    </row>
    <row r="86">
      <c r="A86" s="107" t="s">
        <v>661</v>
      </c>
      <c r="B86" s="79"/>
      <c r="C86" s="79"/>
      <c r="D86" s="79"/>
      <c r="E86" s="79"/>
      <c r="F86" s="79"/>
      <c r="G86" s="79"/>
      <c r="H86" s="79"/>
      <c r="I86" s="79">
        <v>562.199155</v>
      </c>
      <c r="J86" s="79">
        <v>28.109957750000003</v>
      </c>
      <c r="K86" s="79">
        <v>28.109957750000003</v>
      </c>
      <c r="L86" s="79"/>
      <c r="M86" s="79"/>
      <c r="N86" s="79">
        <v>545.4246775000001</v>
      </c>
      <c r="O86" s="79">
        <v>27.271233875</v>
      </c>
      <c r="P86" s="79">
        <v>27.271233875</v>
      </c>
      <c r="Q86" s="79"/>
      <c r="R86" s="79"/>
      <c r="S86" s="79">
        <v>3.049905</v>
      </c>
      <c r="T86" s="79">
        <v>0.15249525</v>
      </c>
      <c r="U86" s="79">
        <v>0.15249525</v>
      </c>
      <c r="V86" s="79"/>
      <c r="W86" s="79"/>
      <c r="X86" s="79">
        <v>869.222925</v>
      </c>
      <c r="Y86" s="79">
        <v>43.461146250000006</v>
      </c>
      <c r="Z86" s="79">
        <v>43.461146250000006</v>
      </c>
      <c r="AA86" s="79"/>
      <c r="AB86" s="79"/>
      <c r="AC86" s="79">
        <v>900.2302925</v>
      </c>
      <c r="AD86" s="79">
        <v>45.011514625</v>
      </c>
      <c r="AE86" s="79">
        <v>45.011514625</v>
      </c>
      <c r="AF86" s="79"/>
      <c r="AG86" s="79"/>
      <c r="AH86" s="79">
        <v>883.9641325000001</v>
      </c>
      <c r="AI86" s="79">
        <v>44.198206625000005</v>
      </c>
      <c r="AJ86" s="79">
        <v>44.198206625000005</v>
      </c>
      <c r="AK86" s="79"/>
      <c r="AL86" s="79"/>
      <c r="AM86" s="79">
        <v>786.3671725</v>
      </c>
      <c r="AN86" s="79">
        <v>39.318358625</v>
      </c>
      <c r="AO86" s="79">
        <v>39.318358625</v>
      </c>
      <c r="AP86" s="79"/>
      <c r="AQ86" s="79"/>
      <c r="AR86" s="79">
        <v>533.2250575</v>
      </c>
      <c r="AS86" s="79">
        <v>26.661252875</v>
      </c>
      <c r="AT86" s="79">
        <v>26.661252875</v>
      </c>
      <c r="AU86" s="79"/>
      <c r="AV86" s="43">
        <v>5083.6833175</v>
      </c>
      <c r="AW86" s="79">
        <v>254.18416587500002</v>
      </c>
      <c r="AX86" s="79">
        <v>254.18416587500002</v>
      </c>
      <c r="AY86" s="79"/>
      <c r="AZ86" s="79"/>
      <c r="BA86" s="79"/>
      <c r="BB86" s="79"/>
      <c r="BC86" s="79"/>
    </row>
    <row r="87">
      <c r="A87" s="107" t="s">
        <v>662</v>
      </c>
      <c r="B87" s="79"/>
      <c r="C87" s="79"/>
      <c r="D87" s="79"/>
      <c r="E87" s="79"/>
      <c r="F87" s="79"/>
      <c r="G87" s="79"/>
      <c r="H87" s="79"/>
      <c r="I87" s="79">
        <v>931.574952</v>
      </c>
      <c r="J87" s="79">
        <v>20.74871484</v>
      </c>
      <c r="K87" s="79">
        <v>59.47964920800001</v>
      </c>
      <c r="L87" s="79"/>
      <c r="M87" s="79"/>
      <c r="N87" s="79">
        <v>903.779316</v>
      </c>
      <c r="O87" s="79">
        <v>20.12963022</v>
      </c>
      <c r="P87" s="79">
        <v>57.704939964000005</v>
      </c>
      <c r="Q87" s="79"/>
      <c r="R87" s="79"/>
      <c r="S87" s="79">
        <v>5.053751999999999</v>
      </c>
      <c r="T87" s="79">
        <v>0.11256083999999998</v>
      </c>
      <c r="U87" s="79">
        <v>0.32267440799999997</v>
      </c>
      <c r="V87" s="79"/>
      <c r="W87" s="79"/>
      <c r="X87" s="79">
        <v>1440.31932</v>
      </c>
      <c r="Y87" s="79">
        <v>32.0798394</v>
      </c>
      <c r="Z87" s="79">
        <v>91.96220628000002</v>
      </c>
      <c r="AA87" s="79"/>
      <c r="AB87" s="79"/>
      <c r="AC87" s="79">
        <v>1491.699132</v>
      </c>
      <c r="AD87" s="79">
        <v>33.22420794</v>
      </c>
      <c r="AE87" s="79">
        <v>95.242729428</v>
      </c>
      <c r="AF87" s="79"/>
      <c r="AG87" s="79"/>
      <c r="AH87" s="79">
        <v>1464.745788</v>
      </c>
      <c r="AI87" s="79">
        <v>32.623883459999995</v>
      </c>
      <c r="AJ87" s="79">
        <v>93.521799252</v>
      </c>
      <c r="AK87" s="79"/>
      <c r="AL87" s="79"/>
      <c r="AM87" s="79">
        <v>1303.025724</v>
      </c>
      <c r="AN87" s="79">
        <v>29.021936580000002</v>
      </c>
      <c r="AO87" s="79">
        <v>83.19621819600002</v>
      </c>
      <c r="AP87" s="79"/>
      <c r="AQ87" s="79"/>
      <c r="AR87" s="79">
        <v>883.564308</v>
      </c>
      <c r="AS87" s="79">
        <v>19.679386859999997</v>
      </c>
      <c r="AT87" s="79">
        <v>56.414242332</v>
      </c>
      <c r="AU87" s="79"/>
      <c r="AV87" s="43">
        <v>8423.762292</v>
      </c>
      <c r="AW87" s="79">
        <v>187.62016013999997</v>
      </c>
      <c r="AX87" s="79">
        <v>537.844459068</v>
      </c>
      <c r="AY87" s="79"/>
      <c r="AZ87" s="79"/>
      <c r="BA87" s="79"/>
      <c r="BB87" s="79"/>
      <c r="BC87" s="79"/>
    </row>
    <row r="88">
      <c r="A88" s="107" t="s">
        <v>663</v>
      </c>
      <c r="B88" s="79"/>
      <c r="C88" s="79"/>
      <c r="D88" s="79"/>
      <c r="E88" s="79"/>
      <c r="F88" s="79"/>
      <c r="G88" s="79"/>
      <c r="H88" s="79"/>
      <c r="I88" s="79">
        <v>1745.4480568</v>
      </c>
      <c r="J88" s="79">
        <v>87.27240284</v>
      </c>
      <c r="K88" s="79">
        <v>82.67911848</v>
      </c>
      <c r="L88" s="79"/>
      <c r="M88" s="79"/>
      <c r="N88" s="79">
        <v>1693.3686844</v>
      </c>
      <c r="O88" s="79">
        <v>84.66843422</v>
      </c>
      <c r="P88" s="79">
        <v>80.21220084000001</v>
      </c>
      <c r="Q88" s="79"/>
      <c r="R88" s="79"/>
      <c r="S88" s="79">
        <v>9.468976799999998</v>
      </c>
      <c r="T88" s="79">
        <v>0.47344884</v>
      </c>
      <c r="U88" s="79">
        <v>0.44853047999999995</v>
      </c>
      <c r="V88" s="79"/>
      <c r="W88" s="79"/>
      <c r="X88" s="79">
        <v>2698.6583880000003</v>
      </c>
      <c r="Y88" s="79">
        <v>134.93291939999997</v>
      </c>
      <c r="Z88" s="79">
        <v>127.83118680000001</v>
      </c>
      <c r="AA88" s="79"/>
      <c r="AB88" s="79"/>
      <c r="AC88" s="79">
        <v>2794.9263188000004</v>
      </c>
      <c r="AD88" s="79">
        <v>139.74631594</v>
      </c>
      <c r="AE88" s="79">
        <v>132.39124668000002</v>
      </c>
      <c r="AF88" s="79"/>
      <c r="AG88" s="79"/>
      <c r="AH88" s="79">
        <v>2744.4251092</v>
      </c>
      <c r="AI88" s="79">
        <v>137.22125545999998</v>
      </c>
      <c r="AJ88" s="79">
        <v>129.99908412</v>
      </c>
      <c r="AK88" s="79"/>
      <c r="AL88" s="79"/>
      <c r="AM88" s="79">
        <v>2441.4178515999997</v>
      </c>
      <c r="AN88" s="79">
        <v>122.07089257999999</v>
      </c>
      <c r="AO88" s="79">
        <v>115.64610876</v>
      </c>
      <c r="AP88" s="79"/>
      <c r="AQ88" s="79"/>
      <c r="AR88" s="79">
        <v>1655.4927771999999</v>
      </c>
      <c r="AS88" s="79">
        <v>82.77463886</v>
      </c>
      <c r="AT88" s="79">
        <v>78.41807892</v>
      </c>
      <c r="AU88" s="79"/>
      <c r="AV88" s="43">
        <v>15783.206162799997</v>
      </c>
      <c r="AW88" s="79">
        <v>789.1603081399999</v>
      </c>
      <c r="AX88" s="79">
        <v>747.6255550799999</v>
      </c>
      <c r="AY88" s="79"/>
      <c r="AZ88" s="79"/>
      <c r="BA88" s="79"/>
      <c r="BB88" s="79"/>
      <c r="BC88" s="79"/>
    </row>
    <row r="89">
      <c r="A89" s="107" t="s">
        <v>664</v>
      </c>
      <c r="B89" s="79"/>
      <c r="C89" s="79"/>
      <c r="D89" s="79"/>
      <c r="E89" s="79"/>
      <c r="F89" s="79"/>
      <c r="G89" s="79"/>
      <c r="H89" s="79"/>
      <c r="I89" s="79">
        <v>153.1093312</v>
      </c>
      <c r="J89" s="79">
        <v>52.63133260000001</v>
      </c>
      <c r="K89" s="79">
        <v>26.315666300000004</v>
      </c>
      <c r="L89" s="79"/>
      <c r="M89" s="79"/>
      <c r="N89" s="79">
        <v>148.5409696</v>
      </c>
      <c r="O89" s="79">
        <v>51.0609583</v>
      </c>
      <c r="P89" s="79">
        <v>25.53047915</v>
      </c>
      <c r="Q89" s="79"/>
      <c r="R89" s="79"/>
      <c r="S89" s="79">
        <v>0.8306112</v>
      </c>
      <c r="T89" s="79">
        <v>0.2855226</v>
      </c>
      <c r="U89" s="79">
        <v>0.1427613</v>
      </c>
      <c r="V89" s="79"/>
      <c r="W89" s="79"/>
      <c r="X89" s="79">
        <v>236.72419200000004</v>
      </c>
      <c r="Y89" s="79">
        <v>81.37394100000002</v>
      </c>
      <c r="Z89" s="79">
        <v>40.68697050000001</v>
      </c>
      <c r="AA89" s="79"/>
      <c r="AB89" s="79"/>
      <c r="AC89" s="79">
        <v>245.1687392</v>
      </c>
      <c r="AD89" s="79">
        <v>84.2767541</v>
      </c>
      <c r="AE89" s="79">
        <v>42.13837705</v>
      </c>
      <c r="AF89" s="79"/>
      <c r="AG89" s="79"/>
      <c r="AH89" s="79">
        <v>240.7388128</v>
      </c>
      <c r="AI89" s="79">
        <v>82.75396690000001</v>
      </c>
      <c r="AJ89" s="79">
        <v>41.376983450000004</v>
      </c>
      <c r="AK89" s="79"/>
      <c r="AL89" s="79"/>
      <c r="AM89" s="79">
        <v>214.15925440000004</v>
      </c>
      <c r="AN89" s="79">
        <v>73.61724370000002</v>
      </c>
      <c r="AO89" s="79">
        <v>36.80862185000001</v>
      </c>
      <c r="AP89" s="79"/>
      <c r="AQ89" s="79"/>
      <c r="AR89" s="79">
        <v>145.21852479999998</v>
      </c>
      <c r="AS89" s="79">
        <v>49.918867899999995</v>
      </c>
      <c r="AT89" s="79">
        <v>24.959433949999998</v>
      </c>
      <c r="AU89" s="79"/>
      <c r="AV89" s="43">
        <v>1384.4904352000003</v>
      </c>
      <c r="AW89" s="79">
        <v>475.9185871000001</v>
      </c>
      <c r="AX89" s="79">
        <v>237.95929355000004</v>
      </c>
      <c r="AY89" s="79"/>
      <c r="AZ89" s="79"/>
      <c r="BA89" s="79"/>
      <c r="BB89" s="79"/>
      <c r="BC89" s="79"/>
    </row>
    <row r="90">
      <c r="A90" s="107" t="s">
        <v>665</v>
      </c>
      <c r="B90" s="79"/>
      <c r="C90" s="79"/>
      <c r="D90" s="79"/>
      <c r="E90" s="79"/>
      <c r="F90" s="79"/>
      <c r="G90" s="79"/>
      <c r="H90" s="79"/>
      <c r="I90" s="79">
        <v>2135.8735776</v>
      </c>
      <c r="J90" s="79">
        <v>59.3298216</v>
      </c>
      <c r="K90" s="79">
        <v>5.932982160000001</v>
      </c>
      <c r="L90" s="79"/>
      <c r="M90" s="79"/>
      <c r="N90" s="79">
        <v>2072.1449808</v>
      </c>
      <c r="O90" s="79">
        <v>57.5595828</v>
      </c>
      <c r="P90" s="79">
        <v>5.755958280000001</v>
      </c>
      <c r="Q90" s="79"/>
      <c r="R90" s="79"/>
      <c r="S90" s="79">
        <v>11.5870176</v>
      </c>
      <c r="T90" s="79">
        <v>0.32186159999999997</v>
      </c>
      <c r="U90" s="79">
        <v>0.03218615999999999</v>
      </c>
      <c r="V90" s="79"/>
      <c r="W90" s="79"/>
      <c r="X90" s="79">
        <v>3302.300016</v>
      </c>
      <c r="Y90" s="79">
        <v>91.730556</v>
      </c>
      <c r="Z90" s="79">
        <v>9.173055600000001</v>
      </c>
      <c r="AA90" s="79"/>
      <c r="AB90" s="79"/>
      <c r="AC90" s="79">
        <v>3420.1013616</v>
      </c>
      <c r="AD90" s="79">
        <v>95.0028156</v>
      </c>
      <c r="AE90" s="79">
        <v>9.500281560000001</v>
      </c>
      <c r="AF90" s="79"/>
      <c r="AG90" s="79"/>
      <c r="AH90" s="79">
        <v>3358.3039344000003</v>
      </c>
      <c r="AI90" s="79">
        <v>93.2862204</v>
      </c>
      <c r="AJ90" s="79">
        <v>9.32862204</v>
      </c>
      <c r="AK90" s="79"/>
      <c r="AL90" s="79"/>
      <c r="AM90" s="79">
        <v>2987.5193712</v>
      </c>
      <c r="AN90" s="79">
        <v>82.9866492</v>
      </c>
      <c r="AO90" s="79">
        <v>8.29866492</v>
      </c>
      <c r="AP90" s="79"/>
      <c r="AQ90" s="79"/>
      <c r="AR90" s="79">
        <v>2025.7969104</v>
      </c>
      <c r="AS90" s="79">
        <v>56.272136399999994</v>
      </c>
      <c r="AT90" s="79">
        <v>5.62721364</v>
      </c>
      <c r="AU90" s="79"/>
      <c r="AV90" s="43">
        <v>19313.627169600004</v>
      </c>
      <c r="AW90" s="79">
        <v>536.4896436</v>
      </c>
      <c r="AX90" s="79">
        <v>53.64896436000001</v>
      </c>
      <c r="AY90" s="79"/>
      <c r="AZ90" s="79"/>
      <c r="BA90" s="79"/>
      <c r="BB90" s="79"/>
      <c r="BC90" s="79"/>
    </row>
    <row r="91">
      <c r="A91" s="107" t="s">
        <v>434</v>
      </c>
      <c r="B91" s="79"/>
      <c r="C91" s="79"/>
      <c r="D91" s="79"/>
      <c r="E91" s="79"/>
      <c r="F91" s="79"/>
      <c r="G91" s="79"/>
      <c r="H91" s="79"/>
      <c r="I91" s="79">
        <v>430.04536063999996</v>
      </c>
      <c r="J91" s="79">
        <v>23.511825792</v>
      </c>
      <c r="K91" s="79">
        <v>23.310870016</v>
      </c>
      <c r="L91" s="79"/>
      <c r="M91" s="79"/>
      <c r="N91" s="79">
        <v>417.21398912</v>
      </c>
      <c r="O91" s="79">
        <v>22.810297535999997</v>
      </c>
      <c r="P91" s="79">
        <v>22.615337728</v>
      </c>
      <c r="Q91" s="79"/>
      <c r="R91" s="79"/>
      <c r="S91" s="79">
        <v>2.3329766399999996</v>
      </c>
      <c r="T91" s="79">
        <v>0.127550592</v>
      </c>
      <c r="U91" s="79">
        <v>0.126460416</v>
      </c>
      <c r="V91" s="79"/>
      <c r="W91" s="79"/>
      <c r="X91" s="79">
        <v>664.8983424</v>
      </c>
      <c r="Y91" s="79">
        <v>36.35191872</v>
      </c>
      <c r="Z91" s="79">
        <v>36.041218560000004</v>
      </c>
      <c r="AA91" s="79"/>
      <c r="AB91" s="79"/>
      <c r="AC91" s="79">
        <v>688.61693824</v>
      </c>
      <c r="AD91" s="79">
        <v>37.648683072</v>
      </c>
      <c r="AE91" s="79">
        <v>37.326899456</v>
      </c>
      <c r="AF91" s="79"/>
      <c r="AG91" s="79"/>
      <c r="AH91" s="79">
        <v>676.1743961599999</v>
      </c>
      <c r="AI91" s="79">
        <v>36.968413248</v>
      </c>
      <c r="AJ91" s="79">
        <v>36.652443903999995</v>
      </c>
      <c r="AK91" s="79"/>
      <c r="AL91" s="79"/>
      <c r="AM91" s="79">
        <v>601.51914368</v>
      </c>
      <c r="AN91" s="79">
        <v>32.886794304000006</v>
      </c>
      <c r="AO91" s="79">
        <v>32.605710592</v>
      </c>
      <c r="AP91" s="79"/>
      <c r="AQ91" s="79"/>
      <c r="AR91" s="79">
        <v>407.8820825599999</v>
      </c>
      <c r="AS91" s="79">
        <v>22.300095167999995</v>
      </c>
      <c r="AT91" s="79">
        <v>22.109496063999995</v>
      </c>
      <c r="AU91" s="79"/>
      <c r="AV91" s="43">
        <v>3888.68322944</v>
      </c>
      <c r="AW91" s="79">
        <v>212.605578432</v>
      </c>
      <c r="AX91" s="79">
        <v>210.788436736</v>
      </c>
      <c r="AY91" s="79"/>
      <c r="AZ91" s="79"/>
      <c r="BA91" s="79"/>
      <c r="BB91" s="79"/>
      <c r="BC91" s="79"/>
    </row>
    <row r="92">
      <c r="A92" s="107" t="s">
        <v>666</v>
      </c>
      <c r="B92" s="79"/>
      <c r="C92" s="79"/>
      <c r="D92" s="79"/>
      <c r="E92" s="79"/>
      <c r="F92" s="79"/>
      <c r="G92" s="79"/>
      <c r="H92" s="79"/>
      <c r="I92" s="79">
        <v>2464.1032990000003</v>
      </c>
      <c r="J92" s="79">
        <v>119.61666500000001</v>
      </c>
      <c r="K92" s="79">
        <v>119.61666500000001</v>
      </c>
      <c r="L92" s="79"/>
      <c r="M92" s="79"/>
      <c r="N92" s="79">
        <v>2390.5812295</v>
      </c>
      <c r="O92" s="79">
        <v>116.0476325</v>
      </c>
      <c r="P92" s="79">
        <v>116.0476325</v>
      </c>
      <c r="Q92" s="79"/>
      <c r="R92" s="79"/>
      <c r="S92" s="79">
        <v>13.367649</v>
      </c>
      <c r="T92" s="79">
        <v>0.6489149999999999</v>
      </c>
      <c r="U92" s="79">
        <v>0.6489149999999999</v>
      </c>
      <c r="V92" s="79"/>
      <c r="W92" s="79"/>
      <c r="X92" s="79">
        <v>3809.7799650000006</v>
      </c>
      <c r="Y92" s="79">
        <v>184.94077500000003</v>
      </c>
      <c r="Z92" s="79">
        <v>184.94077500000003</v>
      </c>
      <c r="AA92" s="79"/>
      <c r="AB92" s="79"/>
      <c r="AC92" s="79">
        <v>3945.6843965</v>
      </c>
      <c r="AD92" s="79">
        <v>191.5380775</v>
      </c>
      <c r="AE92" s="79">
        <v>191.5380775</v>
      </c>
      <c r="AF92" s="79"/>
      <c r="AG92" s="79"/>
      <c r="AH92" s="79">
        <v>3874.3902685000003</v>
      </c>
      <c r="AI92" s="79">
        <v>188.0771975</v>
      </c>
      <c r="AJ92" s="79">
        <v>188.0771975</v>
      </c>
      <c r="AK92" s="79"/>
      <c r="AL92" s="79"/>
      <c r="AM92" s="79">
        <v>3446.6255005000007</v>
      </c>
      <c r="AN92" s="79">
        <v>167.31191750000002</v>
      </c>
      <c r="AO92" s="79">
        <v>167.31191750000002</v>
      </c>
      <c r="AP92" s="79"/>
      <c r="AQ92" s="79"/>
      <c r="AR92" s="79">
        <v>2337.1106335</v>
      </c>
      <c r="AS92" s="79">
        <v>113.45197249999998</v>
      </c>
      <c r="AT92" s="79">
        <v>113.45197249999998</v>
      </c>
      <c r="AU92" s="79"/>
      <c r="AV92" s="43">
        <v>22281.642941500002</v>
      </c>
      <c r="AW92" s="79">
        <v>1081.6331525</v>
      </c>
      <c r="AX92" s="79">
        <v>1081.6331525</v>
      </c>
      <c r="AY92" s="79"/>
      <c r="AZ92" s="79"/>
      <c r="BA92" s="79"/>
      <c r="BB92" s="79"/>
      <c r="BC92" s="79"/>
    </row>
    <row r="93">
      <c r="A93" s="138" t="s">
        <v>618</v>
      </c>
      <c r="B93" s="131"/>
      <c r="C93" s="131"/>
      <c r="D93" s="131"/>
      <c r="E93" s="131"/>
      <c r="F93" s="131"/>
      <c r="G93" s="131"/>
      <c r="H93" s="131"/>
      <c r="I93" s="139" t="str">
        <f t="shared" ref="I93:K93" si="206">SUM(I81:I92)</f>
        <v>8800</v>
      </c>
      <c r="J93" s="139" t="str">
        <f t="shared" si="206"/>
        <v>454</v>
      </c>
      <c r="K93" s="139" t="str">
        <f t="shared" si="206"/>
        <v>439</v>
      </c>
      <c r="L93" s="131"/>
      <c r="M93" s="131"/>
      <c r="N93" s="139" t="str">
        <f t="shared" ref="N93:P93" si="207">SUM(N81:N92)</f>
        <v>8538</v>
      </c>
      <c r="O93" s="139" t="str">
        <f t="shared" si="207"/>
        <v>440</v>
      </c>
      <c r="P93" s="139" t="str">
        <f t="shared" si="207"/>
        <v>426</v>
      </c>
      <c r="Q93" s="131"/>
      <c r="R93" s="131"/>
      <c r="S93" s="139" t="str">
        <f t="shared" ref="S93:U93" si="208">SUM(S81:S92)</f>
        <v>48</v>
      </c>
      <c r="T93" s="139" t="str">
        <f t="shared" si="208"/>
        <v>2</v>
      </c>
      <c r="U93" s="139" t="str">
        <f t="shared" si="208"/>
        <v>2</v>
      </c>
      <c r="V93" s="131"/>
      <c r="W93" s="131"/>
      <c r="X93" s="139" t="str">
        <f t="shared" ref="X93:Z93" si="209">SUM(X81:X92)</f>
        <v>13606</v>
      </c>
      <c r="Y93" s="139" t="str">
        <f t="shared" si="209"/>
        <v>701</v>
      </c>
      <c r="Z93" s="139" t="str">
        <f t="shared" si="209"/>
        <v>679</v>
      </c>
      <c r="AA93" s="131"/>
      <c r="AB93" s="131"/>
      <c r="AC93" s="132">
        <v>439.0</v>
      </c>
      <c r="AD93" s="139" t="str">
        <f t="shared" ref="AD93:AE93" si="210">SUM(AD81:AD92)</f>
        <v>726</v>
      </c>
      <c r="AE93" s="139" t="str">
        <f t="shared" si="210"/>
        <v>703</v>
      </c>
      <c r="AF93" s="131"/>
      <c r="AG93" s="131"/>
      <c r="AH93" s="139" t="str">
        <f t="shared" ref="AH93:AJ93" si="211">SUM(AH81:AH92)</f>
        <v>13837</v>
      </c>
      <c r="AI93" s="139" t="str">
        <f t="shared" si="211"/>
        <v>713</v>
      </c>
      <c r="AJ93" s="139" t="str">
        <f t="shared" si="211"/>
        <v>690</v>
      </c>
      <c r="AK93" s="131"/>
      <c r="AL93" s="131"/>
      <c r="AM93" s="139" t="str">
        <f t="shared" ref="AM93:AN93" si="212">SUM(AM81:AM92)</f>
        <v>12309</v>
      </c>
      <c r="AN93" s="139" t="str">
        <f t="shared" si="212"/>
        <v>635</v>
      </c>
      <c r="AO93" s="132">
        <v>439.0</v>
      </c>
      <c r="AP93" s="131"/>
      <c r="AQ93" s="131"/>
      <c r="AR93" s="139" t="str">
        <f t="shared" ref="AR93:AT93" si="213">SUM(AR81:AR92)</f>
        <v>8347</v>
      </c>
      <c r="AS93" s="139" t="str">
        <f t="shared" si="213"/>
        <v>430</v>
      </c>
      <c r="AT93" s="139" t="str">
        <f t="shared" si="213"/>
        <v>416</v>
      </c>
      <c r="AU93" s="131"/>
      <c r="AV93" s="139" t="str">
        <f t="shared" ref="AV93:AX93" si="214">sum(AV81:AV92)</f>
        <v>79575</v>
      </c>
      <c r="AW93" s="139" t="str">
        <f t="shared" si="214"/>
        <v>4102</v>
      </c>
      <c r="AX93" s="139" t="str">
        <f t="shared" si="214"/>
        <v>3969</v>
      </c>
      <c r="AY93" s="131"/>
      <c r="AZ93" s="131"/>
      <c r="BA93" s="131"/>
      <c r="BB93" s="131"/>
      <c r="BC93" s="131"/>
    </row>
    <row r="94">
      <c r="A94" s="11"/>
      <c r="AC94" s="16"/>
      <c r="AO94" s="16"/>
    </row>
    <row r="95">
      <c r="A95" s="154" t="s">
        <v>466</v>
      </c>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c r="AC95" s="126"/>
      <c r="AD95" s="126"/>
      <c r="AE95" s="126"/>
      <c r="AF95" s="126"/>
      <c r="AG95" s="126"/>
      <c r="AH95" s="126"/>
      <c r="AI95" s="126"/>
      <c r="AJ95" s="126"/>
      <c r="AK95" s="126"/>
      <c r="AL95" s="126"/>
      <c r="AM95" s="126"/>
      <c r="AN95" s="126"/>
      <c r="AO95" s="126"/>
      <c r="AP95" s="126"/>
      <c r="AQ95" s="126"/>
      <c r="AR95" s="126"/>
      <c r="AS95" s="126"/>
      <c r="AT95" s="126"/>
      <c r="AU95" s="126"/>
      <c r="AV95" s="126"/>
      <c r="AW95" s="126"/>
      <c r="AX95" s="126"/>
      <c r="AY95" s="126"/>
      <c r="AZ95" s="126"/>
      <c r="BA95" s="126"/>
      <c r="BB95" s="126"/>
      <c r="BC95" s="126"/>
    </row>
    <row r="96">
      <c r="A96" s="11" t="s">
        <v>467</v>
      </c>
      <c r="B96" s="16">
        <v>84.5</v>
      </c>
      <c r="C96" s="16" t="str">
        <f t="shared" ref="C96:C97" si="224">B96*61%</f>
        <v>51.545</v>
      </c>
      <c r="D96" s="16">
        <v>10.0</v>
      </c>
      <c r="E96" s="16" t="str">
        <f t="shared" ref="E96:E97" si="225">B96*3%</f>
        <v>2.535</v>
      </c>
      <c r="F96" s="16"/>
      <c r="G96" s="16">
        <v>23936.0</v>
      </c>
      <c r="H96" s="71">
        <v>1664.0</v>
      </c>
      <c r="I96" s="43" t="str">
        <f t="shared" ref="I96:K96" si="215">C96*$H96</f>
        <v>85771</v>
      </c>
      <c r="J96" s="43" t="str">
        <f t="shared" si="215"/>
        <v>16640</v>
      </c>
      <c r="K96" s="43" t="str">
        <f t="shared" si="215"/>
        <v>4218</v>
      </c>
      <c r="M96" s="71">
        <v>6784.0</v>
      </c>
      <c r="N96" s="16" t="str">
        <f t="shared" ref="N96:P96" si="216">$M96*C96</f>
        <v>349681.28</v>
      </c>
      <c r="O96" s="16" t="str">
        <f t="shared" si="216"/>
        <v>67840</v>
      </c>
      <c r="P96" s="16" t="str">
        <f t="shared" si="216"/>
        <v>17197.44</v>
      </c>
      <c r="R96" s="16">
        <v>56.0</v>
      </c>
      <c r="S96" s="16" t="str">
        <f t="shared" ref="S96:U96" si="217">$R96*C96</f>
        <v>2886.52</v>
      </c>
      <c r="T96" s="16" t="str">
        <f t="shared" si="217"/>
        <v>560</v>
      </c>
      <c r="U96" s="16" t="str">
        <f t="shared" si="217"/>
        <v>141.96</v>
      </c>
      <c r="W96" s="16">
        <v>3696.0</v>
      </c>
      <c r="X96" s="16" t="str">
        <f t="shared" ref="X96:Z96" si="218">$W96*C96</f>
        <v>190510.32</v>
      </c>
      <c r="Y96" s="16" t="str">
        <f t="shared" si="218"/>
        <v>36960</v>
      </c>
      <c r="Z96" s="16" t="str">
        <f t="shared" si="218"/>
        <v>9369.36</v>
      </c>
      <c r="AB96" s="16">
        <v>2410.0</v>
      </c>
      <c r="AC96" s="16" t="str">
        <f t="shared" ref="AC96:AE96" si="219">$AB96*C96</f>
        <v>124223.45</v>
      </c>
      <c r="AD96" s="16" t="str">
        <f t="shared" si="219"/>
        <v>24100</v>
      </c>
      <c r="AE96" s="16" t="str">
        <f t="shared" si="219"/>
        <v>6109.35</v>
      </c>
      <c r="AG96" s="16">
        <v>5278.0</v>
      </c>
      <c r="AH96" s="16" t="str">
        <f t="shared" ref="AH96:AJ96" si="220">$AG96*C96</f>
        <v>272054.51</v>
      </c>
      <c r="AI96" s="16" t="str">
        <f t="shared" si="220"/>
        <v>52780</v>
      </c>
      <c r="AJ96" s="16" t="str">
        <f t="shared" si="220"/>
        <v>13379.73</v>
      </c>
      <c r="AL96" s="71">
        <v>2596.0</v>
      </c>
      <c r="AM96" s="71" t="str">
        <f t="shared" ref="AM96:AO96" si="221">$AL96*C96</f>
        <v>133810.82</v>
      </c>
      <c r="AN96" s="71" t="str">
        <f t="shared" si="221"/>
        <v>25960</v>
      </c>
      <c r="AO96" s="71" t="str">
        <f t="shared" si="221"/>
        <v>6580.86</v>
      </c>
      <c r="AQ96" s="71">
        <v>1452.0</v>
      </c>
      <c r="AR96" s="71" t="str">
        <f t="shared" ref="AR96:AT96" si="222">$AQ96*C96</f>
        <v>74843.34</v>
      </c>
      <c r="AS96" s="71" t="str">
        <f t="shared" si="222"/>
        <v>14520</v>
      </c>
      <c r="AT96" s="71" t="str">
        <f t="shared" si="222"/>
        <v>3680.82</v>
      </c>
      <c r="AV96" s="43" t="str">
        <f t="shared" ref="AV96:AX96" si="223">I96+N96+S96+X96+AC96+AH96+AM96+AR96</f>
        <v>1233781</v>
      </c>
      <c r="AW96" s="43" t="str">
        <f t="shared" si="223"/>
        <v>239360</v>
      </c>
      <c r="AX96" s="43" t="str">
        <f t="shared" si="223"/>
        <v>60678</v>
      </c>
    </row>
    <row r="97">
      <c r="A97" s="11" t="s">
        <v>472</v>
      </c>
      <c r="B97" s="71">
        <v>15.0</v>
      </c>
      <c r="C97" s="16" t="str">
        <f t="shared" si="224"/>
        <v>9.15</v>
      </c>
      <c r="D97" s="16" t="str">
        <f>B97*3%</f>
        <v>0.45</v>
      </c>
      <c r="E97" s="16" t="str">
        <f t="shared" si="225"/>
        <v>0.45</v>
      </c>
      <c r="F97" s="71"/>
      <c r="G97" s="71">
        <v>26287.0</v>
      </c>
      <c r="H97" s="112">
        <v>667.0</v>
      </c>
      <c r="I97" s="43" t="str">
        <f t="shared" ref="I97:K97" si="226">C97*$H97</f>
        <v>6103</v>
      </c>
      <c r="J97" s="43" t="str">
        <f t="shared" si="226"/>
        <v>300</v>
      </c>
      <c r="K97" s="43" t="str">
        <f t="shared" si="226"/>
        <v>300</v>
      </c>
      <c r="M97" s="112">
        <v>11933.0</v>
      </c>
      <c r="N97" s="16" t="str">
        <f t="shared" ref="N97:P97" si="227">$M97*C97</f>
        <v>109186.95</v>
      </c>
      <c r="O97" s="16" t="str">
        <f t="shared" si="227"/>
        <v>5369.85</v>
      </c>
      <c r="P97" s="16" t="str">
        <f t="shared" si="227"/>
        <v>5369.85</v>
      </c>
      <c r="R97" s="112">
        <v>0.0</v>
      </c>
      <c r="S97" s="16" t="str">
        <f t="shared" ref="S97:U97" si="228">$R97*C97</f>
        <v>0</v>
      </c>
      <c r="T97" s="16" t="str">
        <f t="shared" si="228"/>
        <v>0</v>
      </c>
      <c r="U97" s="16" t="str">
        <f t="shared" si="228"/>
        <v>0</v>
      </c>
      <c r="W97" s="112">
        <v>2726.0</v>
      </c>
      <c r="X97" s="16" t="str">
        <f t="shared" ref="X97:Z97" si="229">$W97*C97</f>
        <v>24942.9</v>
      </c>
      <c r="Y97" s="16" t="str">
        <f t="shared" si="229"/>
        <v>1226.7</v>
      </c>
      <c r="Z97" s="16" t="str">
        <f t="shared" si="229"/>
        <v>1226.7</v>
      </c>
      <c r="AB97" s="112">
        <v>2496.0</v>
      </c>
      <c r="AC97" s="16" t="str">
        <f t="shared" ref="AC97:AE97" si="230">$AB97*C97</f>
        <v>22838.4</v>
      </c>
      <c r="AD97" s="16" t="str">
        <f t="shared" si="230"/>
        <v>1123.2</v>
      </c>
      <c r="AE97" s="16" t="str">
        <f t="shared" si="230"/>
        <v>1123.2</v>
      </c>
      <c r="AG97" s="112">
        <v>5723.0</v>
      </c>
      <c r="AH97" s="16" t="str">
        <f t="shared" ref="AH97:AJ97" si="231">$AG97*C97</f>
        <v>52365.45</v>
      </c>
      <c r="AI97" s="16" t="str">
        <f t="shared" si="231"/>
        <v>2575.35</v>
      </c>
      <c r="AJ97" s="16" t="str">
        <f t="shared" si="231"/>
        <v>2575.35</v>
      </c>
      <c r="AL97" s="112">
        <v>2074.0</v>
      </c>
      <c r="AM97" s="71" t="str">
        <f t="shared" ref="AM97:AO97" si="232">$AL97*C97</f>
        <v>18977.1</v>
      </c>
      <c r="AN97" s="71" t="str">
        <f t="shared" si="232"/>
        <v>933.3</v>
      </c>
      <c r="AO97" s="71" t="str">
        <f t="shared" si="232"/>
        <v>933.3</v>
      </c>
      <c r="AQ97" s="112">
        <v>668.0</v>
      </c>
      <c r="AR97" s="71" t="str">
        <f t="shared" ref="AR97:AT97" si="233">$AQ97*C97</f>
        <v>6112.2</v>
      </c>
      <c r="AS97" s="71" t="str">
        <f t="shared" si="233"/>
        <v>300.6</v>
      </c>
      <c r="AT97" s="71" t="str">
        <f t="shared" si="233"/>
        <v>300.6</v>
      </c>
      <c r="AV97" s="43" t="str">
        <f t="shared" ref="AV97:AX97" si="234">I97+N97+S97+X97+AC97+AH97+AM97+AR97</f>
        <v>240526</v>
      </c>
      <c r="AW97" s="43" t="str">
        <f t="shared" si="234"/>
        <v>11829</v>
      </c>
      <c r="AX97" s="43" t="str">
        <f t="shared" si="234"/>
        <v>11829</v>
      </c>
    </row>
    <row r="98">
      <c r="A98" s="11" t="s">
        <v>663</v>
      </c>
      <c r="B98" s="71">
        <v>225.0</v>
      </c>
      <c r="C98" s="71" t="str">
        <f t="shared" ref="C98:C99" si="244">B98*50.7%</f>
        <v>114.075</v>
      </c>
      <c r="D98" s="71" t="str">
        <f t="shared" ref="D98:D99" si="245">B98*2.8%</f>
        <v>6.3</v>
      </c>
      <c r="E98" s="71" t="str">
        <f t="shared" ref="E98:E99" si="246">B98*2.4%</f>
        <v>5.4</v>
      </c>
      <c r="F98" s="71"/>
      <c r="G98" s="71">
        <v>1772.0</v>
      </c>
      <c r="H98" s="71">
        <v>42.0</v>
      </c>
      <c r="I98" s="43" t="str">
        <f t="shared" ref="I98:K98" si="235">C98*$H98</f>
        <v>4791</v>
      </c>
      <c r="J98" s="43" t="str">
        <f t="shared" si="235"/>
        <v>265</v>
      </c>
      <c r="K98" s="43" t="str">
        <f t="shared" si="235"/>
        <v>227</v>
      </c>
      <c r="M98" s="71">
        <v>822.0</v>
      </c>
      <c r="N98" s="16" t="str">
        <f t="shared" ref="N98:P98" si="236">$M98*C98</f>
        <v>93769.65</v>
      </c>
      <c r="O98" s="16" t="str">
        <f t="shared" si="236"/>
        <v>5178.6</v>
      </c>
      <c r="P98" s="16" t="str">
        <f t="shared" si="236"/>
        <v>4438.8</v>
      </c>
      <c r="R98" s="112">
        <v>0.0</v>
      </c>
      <c r="S98" s="16" t="str">
        <f t="shared" ref="S98:U98" si="237">$R98*C98</f>
        <v>0</v>
      </c>
      <c r="T98" s="16" t="str">
        <f t="shared" si="237"/>
        <v>0</v>
      </c>
      <c r="U98" s="16" t="str">
        <f t="shared" si="237"/>
        <v>0</v>
      </c>
      <c r="W98" s="71">
        <v>195.0</v>
      </c>
      <c r="X98" s="16" t="str">
        <f t="shared" ref="X98:Z98" si="238">$W98*C98</f>
        <v>22244.625</v>
      </c>
      <c r="Y98" s="16" t="str">
        <f t="shared" si="238"/>
        <v>1228.5</v>
      </c>
      <c r="Z98" s="16" t="str">
        <f t="shared" si="238"/>
        <v>1053</v>
      </c>
      <c r="AB98" s="71">
        <v>171.0</v>
      </c>
      <c r="AC98" s="16" t="str">
        <f t="shared" ref="AC98:AE98" si="239">$AB98*C98</f>
        <v>19506.825</v>
      </c>
      <c r="AD98" s="16" t="str">
        <f t="shared" si="239"/>
        <v>1077.3</v>
      </c>
      <c r="AE98" s="16" t="str">
        <f t="shared" si="239"/>
        <v>923.4</v>
      </c>
      <c r="AG98" s="71">
        <v>360.0</v>
      </c>
      <c r="AH98" s="16" t="str">
        <f t="shared" ref="AH98:AJ98" si="240">$AG98*C98</f>
        <v>41067</v>
      </c>
      <c r="AI98" s="16" t="str">
        <f t="shared" si="240"/>
        <v>2268</v>
      </c>
      <c r="AJ98" s="16" t="str">
        <f t="shared" si="240"/>
        <v>1944</v>
      </c>
      <c r="AL98" s="71">
        <v>140.0</v>
      </c>
      <c r="AM98" s="71" t="str">
        <f t="shared" ref="AM98:AO98" si="241">$AL98*C98</f>
        <v>15970.5</v>
      </c>
      <c r="AN98" s="71" t="str">
        <f t="shared" si="241"/>
        <v>882</v>
      </c>
      <c r="AO98" s="71" t="str">
        <f t="shared" si="241"/>
        <v>756</v>
      </c>
      <c r="AQ98" s="71">
        <v>44.0</v>
      </c>
      <c r="AR98" s="71" t="str">
        <f t="shared" ref="AR98:AT98" si="242">$AQ98*C98</f>
        <v>5019.3</v>
      </c>
      <c r="AS98" s="71" t="str">
        <f t="shared" si="242"/>
        <v>277.2</v>
      </c>
      <c r="AT98" s="71" t="str">
        <f t="shared" si="242"/>
        <v>237.6</v>
      </c>
      <c r="AV98" s="43" t="str">
        <f t="shared" ref="AV98:AX98" si="243">I98+N98+S98+X98+AC98+AH98+AM98+AR98</f>
        <v>202369</v>
      </c>
      <c r="AW98" s="43" t="str">
        <f t="shared" si="243"/>
        <v>11176</v>
      </c>
      <c r="AX98" s="43" t="str">
        <f t="shared" si="243"/>
        <v>9580</v>
      </c>
    </row>
    <row r="99">
      <c r="A99" s="11" t="s">
        <v>662</v>
      </c>
      <c r="B99" s="71">
        <v>225.0</v>
      </c>
      <c r="C99" s="71" t="str">
        <f t="shared" si="244"/>
        <v>114.075</v>
      </c>
      <c r="D99" s="71" t="str">
        <f t="shared" si="245"/>
        <v>6.3</v>
      </c>
      <c r="E99" s="71" t="str">
        <f t="shared" si="246"/>
        <v>5.4</v>
      </c>
      <c r="F99" s="71"/>
      <c r="G99" s="71">
        <v>1772.0</v>
      </c>
      <c r="H99" s="71">
        <v>42.0</v>
      </c>
      <c r="I99" s="43" t="str">
        <f t="shared" ref="I99:K99" si="247">C99*$H99</f>
        <v>4791</v>
      </c>
      <c r="J99" s="43" t="str">
        <f t="shared" si="247"/>
        <v>265</v>
      </c>
      <c r="K99" s="43" t="str">
        <f t="shared" si="247"/>
        <v>227</v>
      </c>
      <c r="M99" s="71">
        <v>822.0</v>
      </c>
      <c r="N99" s="16" t="str">
        <f t="shared" ref="N99:P99" si="248">$M99*C99</f>
        <v>93769.65</v>
      </c>
      <c r="O99" s="16" t="str">
        <f t="shared" si="248"/>
        <v>5178.6</v>
      </c>
      <c r="P99" s="16" t="str">
        <f t="shared" si="248"/>
        <v>4438.8</v>
      </c>
      <c r="R99" s="112">
        <v>0.0</v>
      </c>
      <c r="S99" s="16" t="str">
        <f t="shared" ref="S99:U99" si="249">$R99*C99</f>
        <v>0</v>
      </c>
      <c r="T99" s="16" t="str">
        <f t="shared" si="249"/>
        <v>0</v>
      </c>
      <c r="U99" s="16" t="str">
        <f t="shared" si="249"/>
        <v>0</v>
      </c>
      <c r="W99" s="71">
        <v>195.0</v>
      </c>
      <c r="X99" s="16" t="str">
        <f t="shared" ref="X99:Z99" si="250">$W99*C99</f>
        <v>22244.625</v>
      </c>
      <c r="Y99" s="16" t="str">
        <f t="shared" si="250"/>
        <v>1228.5</v>
      </c>
      <c r="Z99" s="16" t="str">
        <f t="shared" si="250"/>
        <v>1053</v>
      </c>
      <c r="AB99" s="71">
        <v>171.0</v>
      </c>
      <c r="AC99" s="16" t="str">
        <f t="shared" ref="AC99:AE99" si="251">$AB99*C99</f>
        <v>19506.825</v>
      </c>
      <c r="AD99" s="16" t="str">
        <f t="shared" si="251"/>
        <v>1077.3</v>
      </c>
      <c r="AE99" s="16" t="str">
        <f t="shared" si="251"/>
        <v>923.4</v>
      </c>
      <c r="AG99" s="71">
        <v>360.0</v>
      </c>
      <c r="AH99" s="16" t="str">
        <f t="shared" ref="AH99:AJ99" si="252">$AG99*C99</f>
        <v>41067</v>
      </c>
      <c r="AI99" s="16" t="str">
        <f t="shared" si="252"/>
        <v>2268</v>
      </c>
      <c r="AJ99" s="16" t="str">
        <f t="shared" si="252"/>
        <v>1944</v>
      </c>
      <c r="AL99" s="71">
        <v>140.0</v>
      </c>
      <c r="AM99" s="71" t="str">
        <f t="shared" ref="AM99:AO99" si="253">$AL99*C99</f>
        <v>15970.5</v>
      </c>
      <c r="AN99" s="71" t="str">
        <f t="shared" si="253"/>
        <v>882</v>
      </c>
      <c r="AO99" s="71" t="str">
        <f t="shared" si="253"/>
        <v>756</v>
      </c>
      <c r="AQ99" s="71">
        <v>44.0</v>
      </c>
      <c r="AR99" s="71" t="str">
        <f t="shared" ref="AR99:AT99" si="254">$AQ99*C99</f>
        <v>5019.3</v>
      </c>
      <c r="AS99" s="71" t="str">
        <f t="shared" si="254"/>
        <v>277.2</v>
      </c>
      <c r="AT99" s="71" t="str">
        <f t="shared" si="254"/>
        <v>237.6</v>
      </c>
      <c r="AV99" s="43" t="str">
        <f t="shared" ref="AV99:AX99" si="255">I99+N99+S99+X99+AC99+AH99+AM99+AR99</f>
        <v>202369</v>
      </c>
      <c r="AW99" s="43" t="str">
        <f t="shared" si="255"/>
        <v>11176</v>
      </c>
      <c r="AX99" s="43" t="str">
        <f t="shared" si="255"/>
        <v>9580</v>
      </c>
    </row>
    <row r="100">
      <c r="A100" s="11" t="s">
        <v>661</v>
      </c>
      <c r="B100" s="71">
        <v>60.0</v>
      </c>
      <c r="C100" s="71" t="str">
        <f>B100*50%</f>
        <v>30</v>
      </c>
      <c r="D100" s="71" t="str">
        <f>B100*3.5%</f>
        <v>2.1</v>
      </c>
      <c r="E100" s="71" t="str">
        <f>B100*2.5%</f>
        <v>1.5</v>
      </c>
      <c r="F100" s="71"/>
      <c r="G100" s="71">
        <v>7528.0</v>
      </c>
      <c r="H100" s="112">
        <v>517.0</v>
      </c>
      <c r="I100" s="43" t="str">
        <f t="shared" ref="I100:K100" si="256">C100*$H100</f>
        <v>15510</v>
      </c>
      <c r="J100" s="43" t="str">
        <f t="shared" si="256"/>
        <v>1086</v>
      </c>
      <c r="K100" s="43" t="str">
        <f t="shared" si="256"/>
        <v>776</v>
      </c>
      <c r="M100" s="112">
        <v>2180.0</v>
      </c>
      <c r="N100" s="16" t="str">
        <f t="shared" ref="N100:P100" si="257">$M100*C100</f>
        <v>65400</v>
      </c>
      <c r="O100" s="16" t="str">
        <f t="shared" si="257"/>
        <v>4578</v>
      </c>
      <c r="P100" s="16" t="str">
        <f t="shared" si="257"/>
        <v>3270</v>
      </c>
      <c r="R100" s="112">
        <v>22.0</v>
      </c>
      <c r="S100" s="16" t="str">
        <f t="shared" ref="S100:U100" si="258">$R100*C100</f>
        <v>660</v>
      </c>
      <c r="T100" s="16" t="str">
        <f t="shared" si="258"/>
        <v>46.2</v>
      </c>
      <c r="U100" s="16" t="str">
        <f t="shared" si="258"/>
        <v>33</v>
      </c>
      <c r="W100" s="112">
        <v>1089.0</v>
      </c>
      <c r="X100" s="16" t="str">
        <f t="shared" ref="X100:Z100" si="259">$W100*C100</f>
        <v>32670</v>
      </c>
      <c r="Y100" s="16" t="str">
        <f t="shared" si="259"/>
        <v>2286.9</v>
      </c>
      <c r="Z100" s="16" t="str">
        <f t="shared" si="259"/>
        <v>1633.5</v>
      </c>
      <c r="AB100" s="112">
        <v>776.0</v>
      </c>
      <c r="AC100" s="16" t="str">
        <f t="shared" ref="AC100:AE100" si="260">$AB100*C100</f>
        <v>23280</v>
      </c>
      <c r="AD100" s="16" t="str">
        <f t="shared" si="260"/>
        <v>1629.6</v>
      </c>
      <c r="AE100" s="16" t="str">
        <f t="shared" si="260"/>
        <v>1164</v>
      </c>
      <c r="AG100" s="112">
        <v>1691.0</v>
      </c>
      <c r="AH100" s="16" t="str">
        <f t="shared" ref="AH100:AJ100" si="261">$AG100*C100</f>
        <v>50730</v>
      </c>
      <c r="AI100" s="16" t="str">
        <f t="shared" si="261"/>
        <v>3551.1</v>
      </c>
      <c r="AJ100" s="16" t="str">
        <f t="shared" si="261"/>
        <v>2536.5</v>
      </c>
      <c r="AL100" s="112">
        <v>770.0</v>
      </c>
      <c r="AM100" s="71" t="str">
        <f t="shared" ref="AM100:AO100" si="262">$AL100*C100</f>
        <v>23100</v>
      </c>
      <c r="AN100" s="71" t="str">
        <f t="shared" si="262"/>
        <v>1617</v>
      </c>
      <c r="AO100" s="71" t="str">
        <f t="shared" si="262"/>
        <v>1155</v>
      </c>
      <c r="AQ100" s="112">
        <v>483.0</v>
      </c>
      <c r="AR100" s="71" t="str">
        <f t="shared" ref="AR100:AT100" si="263">$AQ100*C100</f>
        <v>14490</v>
      </c>
      <c r="AS100" s="71" t="str">
        <f t="shared" si="263"/>
        <v>1014.3</v>
      </c>
      <c r="AT100" s="71" t="str">
        <f t="shared" si="263"/>
        <v>724.5</v>
      </c>
      <c r="AV100" s="43" t="str">
        <f t="shared" ref="AV100:AX100" si="264">I100+N100+S100+X100+AC100+AH100+AM100+AR100</f>
        <v>225840</v>
      </c>
      <c r="AW100" s="43" t="str">
        <f t="shared" si="264"/>
        <v>15809</v>
      </c>
      <c r="AX100" s="43" t="str">
        <f t="shared" si="264"/>
        <v>11292</v>
      </c>
    </row>
    <row r="101">
      <c r="A101" s="11" t="s">
        <v>479</v>
      </c>
      <c r="B101" s="71">
        <v>80.0</v>
      </c>
      <c r="C101" s="71" t="str">
        <f>B101*72%</f>
        <v>57.6</v>
      </c>
      <c r="D101" s="71" t="str">
        <f>B101*2%</f>
        <v>1.6</v>
      </c>
      <c r="E101" s="71" t="str">
        <f>B101*0.2%</f>
        <v>0.16</v>
      </c>
      <c r="F101" s="71"/>
      <c r="G101" s="71">
        <v>15056.0</v>
      </c>
      <c r="H101" s="71">
        <v>1034.0</v>
      </c>
      <c r="I101" s="43" t="str">
        <f t="shared" ref="I101:K101" si="265">C101*$H101</f>
        <v>59558</v>
      </c>
      <c r="J101" s="43" t="str">
        <f t="shared" si="265"/>
        <v>1654</v>
      </c>
      <c r="K101" s="43" t="str">
        <f t="shared" si="265"/>
        <v>165</v>
      </c>
      <c r="M101" s="71">
        <v>4360.0</v>
      </c>
      <c r="N101" s="16" t="str">
        <f t="shared" ref="N101:P101" si="266">$M101*C101</f>
        <v>251136</v>
      </c>
      <c r="O101" s="16" t="str">
        <f t="shared" si="266"/>
        <v>6976</v>
      </c>
      <c r="P101" s="16" t="str">
        <f t="shared" si="266"/>
        <v>697.6</v>
      </c>
      <c r="R101" s="71">
        <v>44.0</v>
      </c>
      <c r="S101" s="16" t="str">
        <f t="shared" ref="S101:U101" si="267">$R101*C101</f>
        <v>2534.4</v>
      </c>
      <c r="T101" s="16" t="str">
        <f t="shared" si="267"/>
        <v>70.4</v>
      </c>
      <c r="U101" s="16" t="str">
        <f t="shared" si="267"/>
        <v>7.04</v>
      </c>
      <c r="W101" s="71">
        <v>2178.0</v>
      </c>
      <c r="X101" s="16" t="str">
        <f t="shared" ref="X101:Z101" si="268">$W101*C101</f>
        <v>125452.8</v>
      </c>
      <c r="Y101" s="16" t="str">
        <f t="shared" si="268"/>
        <v>3484.8</v>
      </c>
      <c r="Z101" s="16" t="str">
        <f t="shared" si="268"/>
        <v>348.48</v>
      </c>
      <c r="AB101" s="71">
        <v>1552.0</v>
      </c>
      <c r="AC101" s="16" t="str">
        <f t="shared" ref="AC101:AE101" si="269">$AB101*C101</f>
        <v>89395.2</v>
      </c>
      <c r="AD101" s="16" t="str">
        <f t="shared" si="269"/>
        <v>2483.2</v>
      </c>
      <c r="AE101" s="16" t="str">
        <f t="shared" si="269"/>
        <v>248.32</v>
      </c>
      <c r="AG101" s="71">
        <v>3382.0</v>
      </c>
      <c r="AH101" s="16" t="str">
        <f t="shared" ref="AH101:AJ101" si="270">$AG101*C101</f>
        <v>194803.2</v>
      </c>
      <c r="AI101" s="16" t="str">
        <f t="shared" si="270"/>
        <v>5411.2</v>
      </c>
      <c r="AJ101" s="16" t="str">
        <f t="shared" si="270"/>
        <v>541.12</v>
      </c>
      <c r="AL101" s="71">
        <v>1540.0</v>
      </c>
      <c r="AM101" s="71" t="str">
        <f t="shared" ref="AM101:AO101" si="271">$AL101*C101</f>
        <v>88704</v>
      </c>
      <c r="AN101" s="71" t="str">
        <f t="shared" si="271"/>
        <v>2464</v>
      </c>
      <c r="AO101" s="71" t="str">
        <f t="shared" si="271"/>
        <v>246.4</v>
      </c>
      <c r="AQ101" s="71">
        <v>966.0</v>
      </c>
      <c r="AR101" s="71" t="str">
        <f t="shared" ref="AR101:AT101" si="272">$AQ101*C101</f>
        <v>55641.6</v>
      </c>
      <c r="AS101" s="71" t="str">
        <f t="shared" si="272"/>
        <v>1545.6</v>
      </c>
      <c r="AT101" s="71" t="str">
        <f t="shared" si="272"/>
        <v>154.56</v>
      </c>
      <c r="AV101" s="43" t="str">
        <f t="shared" ref="AV101:AX101" si="273">I101+N101+S101+X101+AC101+AH101+AM101+AR101</f>
        <v>867226</v>
      </c>
      <c r="AW101" s="43" t="str">
        <f t="shared" si="273"/>
        <v>24090</v>
      </c>
      <c r="AX101" s="43" t="str">
        <f t="shared" si="273"/>
        <v>2409</v>
      </c>
    </row>
    <row r="102">
      <c r="A102" s="11" t="s">
        <v>482</v>
      </c>
      <c r="B102" s="71">
        <v>15.0</v>
      </c>
      <c r="C102" s="71" t="str">
        <f>B102*71.3%</f>
        <v>10.695</v>
      </c>
      <c r="D102" s="71">
        <v>0.5</v>
      </c>
      <c r="E102" s="71" t="str">
        <f>B102*3.9%</f>
        <v>0.585</v>
      </c>
      <c r="F102" s="71"/>
      <c r="G102" s="71">
        <v>18781.0</v>
      </c>
      <c r="H102" s="112">
        <v>1202.0</v>
      </c>
      <c r="I102" s="43" t="str">
        <f t="shared" ref="I102:K102" si="274">C102*$H102</f>
        <v>12855</v>
      </c>
      <c r="J102" s="43" t="str">
        <f t="shared" si="274"/>
        <v>601</v>
      </c>
      <c r="K102" s="43" t="str">
        <f t="shared" si="274"/>
        <v>703</v>
      </c>
      <c r="M102" s="112">
        <v>4115.0</v>
      </c>
      <c r="N102" s="16" t="str">
        <f t="shared" ref="N102:P102" si="275">$M102*C102</f>
        <v>44009.925</v>
      </c>
      <c r="O102" s="16" t="str">
        <f t="shared" si="275"/>
        <v>2057.5</v>
      </c>
      <c r="P102" s="16" t="str">
        <f t="shared" si="275"/>
        <v>2407.275</v>
      </c>
      <c r="R102" s="112">
        <v>326.0</v>
      </c>
      <c r="S102" s="16" t="str">
        <f t="shared" ref="S102:U102" si="276">$R102*C102</f>
        <v>3486.57</v>
      </c>
      <c r="T102" s="16" t="str">
        <f t="shared" si="276"/>
        <v>163</v>
      </c>
      <c r="U102" s="16" t="str">
        <f t="shared" si="276"/>
        <v>190.71</v>
      </c>
      <c r="W102" s="112">
        <v>2000.0</v>
      </c>
      <c r="X102" s="16" t="str">
        <f t="shared" ref="X102:Z102" si="277">$W102*C102</f>
        <v>21390</v>
      </c>
      <c r="Y102" s="16" t="str">
        <f t="shared" si="277"/>
        <v>1000</v>
      </c>
      <c r="Z102" s="16" t="str">
        <f t="shared" si="277"/>
        <v>1170</v>
      </c>
      <c r="AB102" s="112">
        <v>2199.0</v>
      </c>
      <c r="AC102" s="16" t="str">
        <f t="shared" ref="AC102:AE102" si="278">$AB102*C102</f>
        <v>23518.305</v>
      </c>
      <c r="AD102" s="16" t="str">
        <f t="shared" si="278"/>
        <v>1099.5</v>
      </c>
      <c r="AE102" s="16" t="str">
        <f t="shared" si="278"/>
        <v>1286.415</v>
      </c>
      <c r="AG102" s="112">
        <v>4155.0</v>
      </c>
      <c r="AH102" s="16" t="str">
        <f t="shared" ref="AH102:AJ102" si="279">$AG102*C102</f>
        <v>44437.725</v>
      </c>
      <c r="AI102" s="16" t="str">
        <f t="shared" si="279"/>
        <v>2077.5</v>
      </c>
      <c r="AJ102" s="16" t="str">
        <f t="shared" si="279"/>
        <v>2430.675</v>
      </c>
      <c r="AL102" s="112">
        <v>3050.0</v>
      </c>
      <c r="AM102" s="71" t="str">
        <f t="shared" ref="AM102:AO102" si="280">$AL102*C102</f>
        <v>32619.75</v>
      </c>
      <c r="AN102" s="71" t="str">
        <f t="shared" si="280"/>
        <v>1525</v>
      </c>
      <c r="AO102" s="71" t="str">
        <f t="shared" si="280"/>
        <v>1784.25</v>
      </c>
      <c r="AQ102" s="112">
        <v>1735.0</v>
      </c>
      <c r="AR102" s="71" t="str">
        <f t="shared" ref="AR102:AT102" si="281">$AQ102*C102</f>
        <v>18555.825</v>
      </c>
      <c r="AS102" s="71" t="str">
        <f t="shared" si="281"/>
        <v>867.5</v>
      </c>
      <c r="AT102" s="71" t="str">
        <f t="shared" si="281"/>
        <v>1014.975</v>
      </c>
      <c r="AV102" s="43" t="str">
        <f t="shared" ref="AV102:AX102" si="282">I102+N102+S102+X102+AC102+AH102+AM102+AR102</f>
        <v>200873</v>
      </c>
      <c r="AW102" s="43" t="str">
        <f t="shared" si="282"/>
        <v>9391</v>
      </c>
      <c r="AX102" s="43" t="str">
        <f t="shared" si="282"/>
        <v>10987</v>
      </c>
    </row>
    <row r="103">
      <c r="A103" s="11" t="s">
        <v>487</v>
      </c>
      <c r="B103" s="71">
        <v>9.9</v>
      </c>
      <c r="C103" s="71" t="str">
        <f>B103*28.6%</f>
        <v>2.8314</v>
      </c>
      <c r="D103" s="71" t="str">
        <f>B103*9.5%</f>
        <v>0.9405</v>
      </c>
      <c r="E103" s="71" t="str">
        <f>B103*6.6%</f>
        <v>0.6534</v>
      </c>
      <c r="F103" s="71"/>
      <c r="G103" s="71">
        <v>402032.0</v>
      </c>
      <c r="H103" s="71">
        <v>24298.0</v>
      </c>
      <c r="I103" s="43" t="str">
        <f t="shared" ref="I103:K103" si="283">C103*$H103</f>
        <v>68797</v>
      </c>
      <c r="J103" s="43" t="str">
        <f t="shared" si="283"/>
        <v>22852</v>
      </c>
      <c r="K103" s="43" t="str">
        <f t="shared" si="283"/>
        <v>15876</v>
      </c>
      <c r="M103" s="71">
        <v>70496.0</v>
      </c>
      <c r="N103" s="16" t="str">
        <f t="shared" ref="N103:P103" si="284">$M103*C103</f>
        <v>199602.3744</v>
      </c>
      <c r="O103" s="16" t="str">
        <f t="shared" si="284"/>
        <v>66301.488</v>
      </c>
      <c r="P103" s="16" t="str">
        <f t="shared" si="284"/>
        <v>46062.0864</v>
      </c>
      <c r="R103" s="71">
        <v>14591.0</v>
      </c>
      <c r="S103" s="16" t="str">
        <f t="shared" ref="S103:U103" si="285">$R103*C103</f>
        <v>41312.9574</v>
      </c>
      <c r="T103" s="16" t="str">
        <f t="shared" si="285"/>
        <v>13722.8355</v>
      </c>
      <c r="U103" s="16" t="str">
        <f t="shared" si="285"/>
        <v>9533.7594</v>
      </c>
      <c r="W103" s="71">
        <v>36753.0</v>
      </c>
      <c r="X103" s="16" t="str">
        <f t="shared" ref="X103:Z103" si="286">$W103*C103</f>
        <v>104062.4442</v>
      </c>
      <c r="Y103" s="16" t="str">
        <f t="shared" si="286"/>
        <v>34566.1965</v>
      </c>
      <c r="Z103" s="16" t="str">
        <f t="shared" si="286"/>
        <v>24014.4102</v>
      </c>
      <c r="AB103" s="71">
        <v>54391.0</v>
      </c>
      <c r="AC103" s="16" t="str">
        <f t="shared" ref="AC103:AE103" si="287">$AB103*C103</f>
        <v>154002.6774</v>
      </c>
      <c r="AD103" s="16" t="str">
        <f t="shared" si="287"/>
        <v>51154.7355</v>
      </c>
      <c r="AE103" s="16" t="str">
        <f t="shared" si="287"/>
        <v>35539.0794</v>
      </c>
      <c r="AG103" s="71">
        <v>85785.0</v>
      </c>
      <c r="AH103" s="16" t="str">
        <f t="shared" ref="AH103:AJ103" si="288">$AG103*C103</f>
        <v>242891.649</v>
      </c>
      <c r="AI103" s="16" t="str">
        <f t="shared" si="288"/>
        <v>80680.7925</v>
      </c>
      <c r="AJ103" s="16" t="str">
        <f t="shared" si="288"/>
        <v>56051.919</v>
      </c>
      <c r="AL103" s="71">
        <v>66120.0</v>
      </c>
      <c r="AM103" s="71" t="str">
        <f t="shared" ref="AM103:AO103" si="289">$AL103*C103</f>
        <v>187212.168</v>
      </c>
      <c r="AN103" s="71" t="str">
        <f t="shared" si="289"/>
        <v>62185.86</v>
      </c>
      <c r="AO103" s="71" t="str">
        <f t="shared" si="289"/>
        <v>43202.808</v>
      </c>
      <c r="AQ103" s="71">
        <v>49598.0</v>
      </c>
      <c r="AR103" s="71" t="str">
        <f t="shared" ref="AR103:AT103" si="290">$AQ103*C103</f>
        <v>140431.7772</v>
      </c>
      <c r="AS103" s="71" t="str">
        <f t="shared" si="290"/>
        <v>46646.919</v>
      </c>
      <c r="AT103" s="71" t="str">
        <f t="shared" si="290"/>
        <v>32407.3332</v>
      </c>
      <c r="AV103" s="43" t="str">
        <f t="shared" ref="AV103:AX103" si="291">I103+N103+S103+X103+AC103+AH103+AM103+AR103</f>
        <v>1138313</v>
      </c>
      <c r="AW103" s="43" t="str">
        <f t="shared" si="291"/>
        <v>378111</v>
      </c>
      <c r="AX103" s="43" t="str">
        <f t="shared" si="291"/>
        <v>262688</v>
      </c>
    </row>
    <row r="104">
      <c r="A104" s="11" t="s">
        <v>490</v>
      </c>
      <c r="B104" s="71">
        <v>5.1</v>
      </c>
      <c r="C104" s="71" t="str">
        <f>B104*19%</f>
        <v>0.969</v>
      </c>
      <c r="D104" s="71" t="str">
        <f t="shared" ref="D104:D105" si="301">B104*1%</f>
        <v>0.051</v>
      </c>
      <c r="E104" s="71" t="str">
        <f>B104*5%</f>
        <v>0.255</v>
      </c>
      <c r="F104" s="71"/>
      <c r="G104" s="71">
        <v>44487.0</v>
      </c>
      <c r="H104" s="71">
        <v>1865.0</v>
      </c>
      <c r="I104" s="43" t="str">
        <f t="shared" ref="I104:K104" si="292">C104*$H104</f>
        <v>1807</v>
      </c>
      <c r="J104" s="43" t="str">
        <f t="shared" si="292"/>
        <v>95</v>
      </c>
      <c r="K104" s="43" t="str">
        <f t="shared" si="292"/>
        <v>476</v>
      </c>
      <c r="M104" s="71">
        <v>16546.0</v>
      </c>
      <c r="N104" s="16" t="str">
        <f t="shared" ref="N104:P104" si="293">$M104*C104</f>
        <v>16033.074</v>
      </c>
      <c r="O104" s="16" t="str">
        <f t="shared" si="293"/>
        <v>843.846</v>
      </c>
      <c r="P104" s="16" t="str">
        <f t="shared" si="293"/>
        <v>4219.23</v>
      </c>
      <c r="R104" s="71">
        <v>324.0</v>
      </c>
      <c r="S104" s="16" t="str">
        <f t="shared" ref="S104:U104" si="294">$R104*C104</f>
        <v>313.956</v>
      </c>
      <c r="T104" s="16" t="str">
        <f t="shared" si="294"/>
        <v>16.524</v>
      </c>
      <c r="U104" s="16" t="str">
        <f t="shared" si="294"/>
        <v>82.62</v>
      </c>
      <c r="W104" s="71">
        <v>5041.0</v>
      </c>
      <c r="X104" s="16" t="str">
        <f t="shared" ref="X104:Z104" si="295">$W104*C104</f>
        <v>4884.729</v>
      </c>
      <c r="Y104" s="16" t="str">
        <f t="shared" si="295"/>
        <v>257.091</v>
      </c>
      <c r="Z104" s="16" t="str">
        <f t="shared" si="295"/>
        <v>1285.455</v>
      </c>
      <c r="AB104" s="71">
        <v>4639.0</v>
      </c>
      <c r="AC104" s="16" t="str">
        <f t="shared" ref="AC104:AE104" si="296">$AB104*C104</f>
        <v>4495.191</v>
      </c>
      <c r="AD104" s="16" t="str">
        <f t="shared" si="296"/>
        <v>236.589</v>
      </c>
      <c r="AE104" s="16" t="str">
        <f t="shared" si="296"/>
        <v>1182.945</v>
      </c>
      <c r="AG104" s="71">
        <v>9649.0</v>
      </c>
      <c r="AH104" s="16" t="str">
        <f t="shared" ref="AH104:AJ104" si="297">$AG104*C104</f>
        <v>9349.881</v>
      </c>
      <c r="AI104" s="16" t="str">
        <f t="shared" si="297"/>
        <v>492.099</v>
      </c>
      <c r="AJ104" s="16" t="str">
        <f t="shared" si="297"/>
        <v>2460.495</v>
      </c>
      <c r="AL104" s="71">
        <v>4049.0</v>
      </c>
      <c r="AM104" s="71" t="str">
        <f t="shared" ref="AM104:AO104" si="298">$AL104*C104</f>
        <v>3923.481</v>
      </c>
      <c r="AN104" s="71" t="str">
        <f t="shared" si="298"/>
        <v>206.499</v>
      </c>
      <c r="AO104" s="71" t="str">
        <f t="shared" si="298"/>
        <v>1032.495</v>
      </c>
      <c r="AQ104" s="71">
        <v>2374.0</v>
      </c>
      <c r="AR104" s="71" t="str">
        <f t="shared" ref="AR104:AT104" si="299">$AQ104*C104</f>
        <v>2300.406</v>
      </c>
      <c r="AS104" s="71" t="str">
        <f t="shared" si="299"/>
        <v>121.074</v>
      </c>
      <c r="AT104" s="71" t="str">
        <f t="shared" si="299"/>
        <v>605.37</v>
      </c>
      <c r="AV104" s="43" t="str">
        <f t="shared" ref="AV104:AX104" si="300">I104+N104+S104+X104+AC104+AH104+AM104+AR104</f>
        <v>43108</v>
      </c>
      <c r="AW104" s="43" t="str">
        <f t="shared" si="300"/>
        <v>2269</v>
      </c>
      <c r="AX104" s="43" t="str">
        <f t="shared" si="300"/>
        <v>11344</v>
      </c>
    </row>
    <row r="105">
      <c r="A105" s="11" t="s">
        <v>492</v>
      </c>
      <c r="B105" s="16">
        <v>0.2</v>
      </c>
      <c r="C105" s="16" t="str">
        <f>B105*7%</f>
        <v>0.014</v>
      </c>
      <c r="D105" s="16" t="str">
        <f t="shared" si="301"/>
        <v>0.002</v>
      </c>
      <c r="E105" s="16" t="str">
        <f>B105*8.92%</f>
        <v>0.01784</v>
      </c>
      <c r="F105" s="16"/>
      <c r="G105" s="16">
        <v>294792.0</v>
      </c>
      <c r="H105" s="16">
        <v>14899.0</v>
      </c>
      <c r="I105" s="43" t="str">
        <f t="shared" ref="I105:K105" si="302">C105*$H105</f>
        <v>209</v>
      </c>
      <c r="J105" s="43" t="str">
        <f t="shared" si="302"/>
        <v>30</v>
      </c>
      <c r="K105" s="43" t="str">
        <f t="shared" si="302"/>
        <v>266</v>
      </c>
      <c r="M105" s="71">
        <v>66638.0</v>
      </c>
      <c r="N105" s="16" t="str">
        <f t="shared" ref="N105:P105" si="303">$M105*C105</f>
        <v>932.932</v>
      </c>
      <c r="O105" s="16" t="str">
        <f t="shared" si="303"/>
        <v>133.276</v>
      </c>
      <c r="P105" s="16" t="str">
        <f t="shared" si="303"/>
        <v>1188.82192</v>
      </c>
      <c r="R105" s="71">
        <v>6028.0</v>
      </c>
      <c r="S105" s="16" t="str">
        <f t="shared" ref="S105:U105" si="304">$R105*C105</f>
        <v>84.392</v>
      </c>
      <c r="T105" s="16" t="str">
        <f t="shared" si="304"/>
        <v>12.056</v>
      </c>
      <c r="U105" s="16" t="str">
        <f t="shared" si="304"/>
        <v>107.53952</v>
      </c>
      <c r="W105" s="71">
        <v>32614.0</v>
      </c>
      <c r="X105" s="16" t="str">
        <f t="shared" ref="X105:Z105" si="305">$W105*C105</f>
        <v>456.596</v>
      </c>
      <c r="Y105" s="16" t="str">
        <f t="shared" si="305"/>
        <v>65.228</v>
      </c>
      <c r="Z105" s="16" t="str">
        <f t="shared" si="305"/>
        <v>581.83376</v>
      </c>
      <c r="AB105" s="71">
        <v>38262.0</v>
      </c>
      <c r="AC105" s="16" t="str">
        <f t="shared" ref="AC105:AE105" si="306">$AB105*C105</f>
        <v>535.668</v>
      </c>
      <c r="AD105" s="16" t="str">
        <f t="shared" si="306"/>
        <v>76.524</v>
      </c>
      <c r="AE105" s="16" t="str">
        <f t="shared" si="306"/>
        <v>682.59408</v>
      </c>
      <c r="AG105" s="71">
        <v>65009.0</v>
      </c>
      <c r="AH105" s="16" t="str">
        <f t="shared" ref="AH105:AJ105" si="307">$AG105*C105</f>
        <v>910.126</v>
      </c>
      <c r="AI105" s="16" t="str">
        <f t="shared" si="307"/>
        <v>130.018</v>
      </c>
      <c r="AJ105" s="16" t="str">
        <f t="shared" si="307"/>
        <v>1159.76056</v>
      </c>
      <c r="AL105" s="71">
        <v>33216.0</v>
      </c>
      <c r="AM105" s="71" t="str">
        <f t="shared" ref="AM105:AO105" si="308">$AL105*C105</f>
        <v>465.024</v>
      </c>
      <c r="AN105" s="71" t="str">
        <f t="shared" si="308"/>
        <v>66.432</v>
      </c>
      <c r="AO105" s="71" t="str">
        <f t="shared" si="308"/>
        <v>592.57344</v>
      </c>
      <c r="AQ105" s="71">
        <v>38126.0</v>
      </c>
      <c r="AR105" s="71" t="str">
        <f t="shared" ref="AR105:AT105" si="309">$AQ105*C105</f>
        <v>533.764</v>
      </c>
      <c r="AS105" s="71" t="str">
        <f t="shared" si="309"/>
        <v>76.252</v>
      </c>
      <c r="AT105" s="71" t="str">
        <f t="shared" si="309"/>
        <v>680.16784</v>
      </c>
      <c r="AV105" s="43" t="str">
        <f t="shared" ref="AV105:AX105" si="310">I105+N105+S105+X105+AC105+AH105+AM105+AR105</f>
        <v>4127</v>
      </c>
      <c r="AW105" s="43" t="str">
        <f t="shared" si="310"/>
        <v>590</v>
      </c>
      <c r="AX105" s="43" t="str">
        <f t="shared" si="310"/>
        <v>5259</v>
      </c>
    </row>
    <row r="106">
      <c r="A106" s="16" t="s">
        <v>494</v>
      </c>
      <c r="B106" s="16">
        <v>3.0</v>
      </c>
      <c r="C106" s="16" t="str">
        <f>B106*10%</f>
        <v>0.3</v>
      </c>
      <c r="D106" s="16" t="str">
        <f>B106*2%</f>
        <v>0.06</v>
      </c>
      <c r="E106" s="16" t="str">
        <f>B106*3%</f>
        <v>0.09</v>
      </c>
      <c r="F106" s="16"/>
      <c r="G106" s="16">
        <v>15316.0</v>
      </c>
      <c r="H106" s="71">
        <v>954.0</v>
      </c>
      <c r="I106" s="43" t="str">
        <f t="shared" ref="I106:K106" si="311">C106*$H106</f>
        <v>286</v>
      </c>
      <c r="J106" s="43" t="str">
        <f t="shared" si="311"/>
        <v>57</v>
      </c>
      <c r="K106" s="43" t="str">
        <f t="shared" si="311"/>
        <v>86</v>
      </c>
      <c r="M106" s="71">
        <v>4623.0</v>
      </c>
      <c r="N106" s="16" t="str">
        <f t="shared" ref="N106:P106" si="312">$M106*C106</f>
        <v>1386.9</v>
      </c>
      <c r="O106" s="16" t="str">
        <f t="shared" si="312"/>
        <v>277.38</v>
      </c>
      <c r="P106" s="16" t="str">
        <f t="shared" si="312"/>
        <v>416.07</v>
      </c>
      <c r="R106" s="71">
        <v>183.0</v>
      </c>
      <c r="S106" s="16" t="str">
        <f t="shared" ref="S106:U106" si="313">$R106*C106</f>
        <v>54.9</v>
      </c>
      <c r="T106" s="16" t="str">
        <f t="shared" si="313"/>
        <v>10.98</v>
      </c>
      <c r="U106" s="16" t="str">
        <f t="shared" si="313"/>
        <v>16.47</v>
      </c>
      <c r="W106" s="71">
        <v>2151.0</v>
      </c>
      <c r="X106" s="16" t="str">
        <f t="shared" ref="X106:Z106" si="314">$W106*C106</f>
        <v>645.3</v>
      </c>
      <c r="Y106" s="16" t="str">
        <f t="shared" si="314"/>
        <v>129.06</v>
      </c>
      <c r="Z106" s="16" t="str">
        <f t="shared" si="314"/>
        <v>193.59</v>
      </c>
      <c r="AB106" s="71">
        <v>1551.0</v>
      </c>
      <c r="AC106" s="16" t="str">
        <f t="shared" ref="AC106:AE106" si="315">$AB106*C106</f>
        <v>465.3</v>
      </c>
      <c r="AD106" s="16" t="str">
        <f t="shared" si="315"/>
        <v>93.06</v>
      </c>
      <c r="AE106" s="16" t="str">
        <f t="shared" si="315"/>
        <v>139.59</v>
      </c>
      <c r="AG106" s="71">
        <v>3142.0</v>
      </c>
      <c r="AH106" s="16" t="str">
        <f t="shared" ref="AH106:AJ106" si="316">$AG106*C106</f>
        <v>942.6</v>
      </c>
      <c r="AI106" s="16" t="str">
        <f t="shared" si="316"/>
        <v>188.52</v>
      </c>
      <c r="AJ106" s="16" t="str">
        <f t="shared" si="316"/>
        <v>282.78</v>
      </c>
      <c r="AL106" s="71">
        <v>1603.0</v>
      </c>
      <c r="AM106" s="71" t="str">
        <f t="shared" ref="AM106:AO106" si="317">$AL106*C106</f>
        <v>480.9</v>
      </c>
      <c r="AN106" s="71" t="str">
        <f t="shared" si="317"/>
        <v>96.18</v>
      </c>
      <c r="AO106" s="71" t="str">
        <f t="shared" si="317"/>
        <v>144.27</v>
      </c>
      <c r="AQ106" s="71">
        <v>1110.0</v>
      </c>
      <c r="AR106" s="71" t="str">
        <f t="shared" ref="AR106:AT106" si="318">$AQ106*C106</f>
        <v>333</v>
      </c>
      <c r="AS106" s="71" t="str">
        <f t="shared" si="318"/>
        <v>66.6</v>
      </c>
      <c r="AT106" s="71" t="str">
        <f t="shared" si="318"/>
        <v>99.9</v>
      </c>
      <c r="AV106" s="43" t="str">
        <f t="shared" ref="AV106:AX106" si="319">I106+N106+S106+X106+AC106+AH106+AM106+AR106</f>
        <v>4595</v>
      </c>
      <c r="AW106" s="43" t="str">
        <f t="shared" si="319"/>
        <v>919</v>
      </c>
      <c r="AX106" s="43" t="str">
        <f t="shared" si="319"/>
        <v>1379</v>
      </c>
    </row>
    <row r="107">
      <c r="A107" s="11" t="s">
        <v>495</v>
      </c>
      <c r="B107" s="16">
        <v>80.0</v>
      </c>
      <c r="C107" s="16" t="str">
        <f>B107*42.13%</f>
        <v>33.704</v>
      </c>
      <c r="D107" s="16">
        <v>5.0</v>
      </c>
      <c r="E107" s="16">
        <v>0.0</v>
      </c>
      <c r="F107" s="16"/>
      <c r="G107" s="16">
        <v>3376.0</v>
      </c>
      <c r="H107" s="71">
        <v>205.0</v>
      </c>
      <c r="I107" s="43" t="str">
        <f t="shared" ref="I107:K107" si="320">C107*$H107</f>
        <v>6909</v>
      </c>
      <c r="J107" s="43" t="str">
        <f t="shared" si="320"/>
        <v>1025</v>
      </c>
      <c r="K107" s="43" t="str">
        <f t="shared" si="320"/>
        <v>0</v>
      </c>
      <c r="M107" s="71">
        <v>580.0</v>
      </c>
      <c r="N107" s="16" t="str">
        <f t="shared" ref="N107:P107" si="321">$M107*C107</f>
        <v>19548.32</v>
      </c>
      <c r="O107" s="16" t="str">
        <f t="shared" si="321"/>
        <v>2900</v>
      </c>
      <c r="P107" s="16" t="str">
        <f t="shared" si="321"/>
        <v>0</v>
      </c>
      <c r="R107" s="71">
        <v>91.0</v>
      </c>
      <c r="S107" s="16" t="str">
        <f t="shared" ref="S107:U107" si="322">$R107*C107</f>
        <v>3067.064</v>
      </c>
      <c r="T107" s="16" t="str">
        <f t="shared" si="322"/>
        <v>455</v>
      </c>
      <c r="U107" s="16" t="str">
        <f t="shared" si="322"/>
        <v>0</v>
      </c>
      <c r="W107" s="71">
        <v>273.0</v>
      </c>
      <c r="X107" s="16" t="str">
        <f t="shared" ref="X107:Z107" si="323">$W107*C107</f>
        <v>9201.192</v>
      </c>
      <c r="Y107" s="16" t="str">
        <f t="shared" si="323"/>
        <v>1365</v>
      </c>
      <c r="Z107" s="16" t="str">
        <f t="shared" si="323"/>
        <v>0</v>
      </c>
      <c r="AB107" s="71">
        <v>427.0</v>
      </c>
      <c r="AC107" s="16" t="str">
        <f t="shared" ref="AC107:AE107" si="324">$AB107*C107</f>
        <v>14391.608</v>
      </c>
      <c r="AD107" s="16" t="str">
        <f t="shared" si="324"/>
        <v>2135</v>
      </c>
      <c r="AE107" s="16" t="str">
        <f t="shared" si="324"/>
        <v>0</v>
      </c>
      <c r="AG107" s="71">
        <v>739.0</v>
      </c>
      <c r="AH107" s="16" t="str">
        <f t="shared" ref="AH107:AJ107" si="325">$AG107*C107</f>
        <v>24907.256</v>
      </c>
      <c r="AI107" s="16" t="str">
        <f t="shared" si="325"/>
        <v>3695</v>
      </c>
      <c r="AJ107" s="16" t="str">
        <f t="shared" si="325"/>
        <v>0</v>
      </c>
      <c r="AL107" s="71">
        <v>684.0</v>
      </c>
      <c r="AM107" s="71" t="str">
        <f t="shared" ref="AM107:AO107" si="326">$AL107*C107</f>
        <v>23053.536</v>
      </c>
      <c r="AN107" s="71" t="str">
        <f t="shared" si="326"/>
        <v>3420</v>
      </c>
      <c r="AO107" s="71" t="str">
        <f t="shared" si="326"/>
        <v>0</v>
      </c>
      <c r="AQ107" s="71">
        <v>376.0</v>
      </c>
      <c r="AR107" s="71" t="str">
        <f t="shared" ref="AR107:AT107" si="327">$AQ107*C107</f>
        <v>12672.704</v>
      </c>
      <c r="AS107" s="71" t="str">
        <f t="shared" si="327"/>
        <v>1880</v>
      </c>
      <c r="AT107" s="71" t="str">
        <f t="shared" si="327"/>
        <v>0</v>
      </c>
      <c r="AV107" s="43" t="str">
        <f t="shared" ref="AV107:AX107" si="328">I107+N107+S107+X107+AC107+AH107+AM107+AR107</f>
        <v>113751</v>
      </c>
      <c r="AW107" s="43" t="str">
        <f t="shared" si="328"/>
        <v>16875</v>
      </c>
      <c r="AX107" s="43" t="str">
        <f t="shared" si="328"/>
        <v>0</v>
      </c>
    </row>
    <row r="108">
      <c r="A108" s="11" t="s">
        <v>498</v>
      </c>
      <c r="B108" s="16">
        <v>8.0</v>
      </c>
      <c r="C108" s="16" t="str">
        <f t="shared" ref="C108:C113" si="338">B108*100%</f>
        <v>8</v>
      </c>
      <c r="D108" s="16">
        <v>0.0</v>
      </c>
      <c r="E108" s="16">
        <v>0.0</v>
      </c>
      <c r="F108" s="16"/>
      <c r="G108" s="43">
        <v>60339.0</v>
      </c>
      <c r="H108" s="113">
        <v>1643.0</v>
      </c>
      <c r="I108" s="43" t="str">
        <f t="shared" ref="I108:K108" si="329">C108*$H108</f>
        <v>13144</v>
      </c>
      <c r="J108" s="43" t="str">
        <f t="shared" si="329"/>
        <v>0</v>
      </c>
      <c r="K108" s="43" t="str">
        <f t="shared" si="329"/>
        <v>0</v>
      </c>
      <c r="L108" s="79"/>
      <c r="M108" s="113">
        <v>26290.0</v>
      </c>
      <c r="N108" s="43" t="str">
        <f t="shared" ref="N108:P108" si="330">$M108*C108</f>
        <v>210320</v>
      </c>
      <c r="O108" s="43" t="str">
        <f t="shared" si="330"/>
        <v>0</v>
      </c>
      <c r="P108" s="43" t="str">
        <f t="shared" si="330"/>
        <v>0</v>
      </c>
      <c r="Q108" s="79"/>
      <c r="R108" s="113">
        <v>0.0</v>
      </c>
      <c r="S108" s="43" t="str">
        <f t="shared" ref="S108:U108" si="331">$R108*C108</f>
        <v>0</v>
      </c>
      <c r="T108" s="43" t="str">
        <f t="shared" si="331"/>
        <v>0</v>
      </c>
      <c r="U108" s="43" t="str">
        <f t="shared" si="331"/>
        <v>0</v>
      </c>
      <c r="V108" s="79"/>
      <c r="W108" s="113">
        <v>6233.0</v>
      </c>
      <c r="X108" s="43" t="str">
        <f t="shared" ref="X108:Z108" si="332">$W108*C108</f>
        <v>49864</v>
      </c>
      <c r="Y108" s="43" t="str">
        <f t="shared" si="332"/>
        <v>0</v>
      </c>
      <c r="Z108" s="43" t="str">
        <f t="shared" si="332"/>
        <v>0</v>
      </c>
      <c r="AA108" s="79"/>
      <c r="AB108" s="113">
        <v>6496.0</v>
      </c>
      <c r="AC108" s="43" t="str">
        <f t="shared" ref="AC108:AE108" si="333">$AB108*C108</f>
        <v>51968</v>
      </c>
      <c r="AD108" s="43" t="str">
        <f t="shared" si="333"/>
        <v>0</v>
      </c>
      <c r="AE108" s="43" t="str">
        <f t="shared" si="333"/>
        <v>0</v>
      </c>
      <c r="AF108" s="79"/>
      <c r="AG108" s="113">
        <v>12240.0</v>
      </c>
      <c r="AH108" s="43" t="str">
        <f t="shared" ref="AH108:AJ108" si="334">$AG108*C108</f>
        <v>97920</v>
      </c>
      <c r="AI108" s="43" t="str">
        <f t="shared" si="334"/>
        <v>0</v>
      </c>
      <c r="AJ108" s="43" t="str">
        <f t="shared" si="334"/>
        <v>0</v>
      </c>
      <c r="AK108" s="79"/>
      <c r="AL108" s="113">
        <v>5033.0</v>
      </c>
      <c r="AM108" s="72" t="str">
        <f t="shared" ref="AM108:AO108" si="335">$AL108*C108</f>
        <v>40264</v>
      </c>
      <c r="AN108" s="72" t="str">
        <f t="shared" si="335"/>
        <v>0</v>
      </c>
      <c r="AO108" s="72" t="str">
        <f t="shared" si="335"/>
        <v>0</v>
      </c>
      <c r="AP108" s="79"/>
      <c r="AQ108" s="113">
        <v>2404.0</v>
      </c>
      <c r="AR108" s="72" t="str">
        <f t="shared" ref="AR108:AT108" si="336">$AQ108*C108</f>
        <v>19232</v>
      </c>
      <c r="AS108" s="72" t="str">
        <f t="shared" si="336"/>
        <v>0</v>
      </c>
      <c r="AT108" s="72" t="str">
        <f t="shared" si="336"/>
        <v>0</v>
      </c>
      <c r="AU108" s="79"/>
      <c r="AV108" s="43" t="str">
        <f t="shared" ref="AV108:AX108" si="337">I108+N108+S108+X108+AC108+AH108+AM108+AR108</f>
        <v>482712</v>
      </c>
      <c r="AW108" s="43" t="str">
        <f t="shared" si="337"/>
        <v>0</v>
      </c>
      <c r="AX108" s="43" t="str">
        <f t="shared" si="337"/>
        <v>0</v>
      </c>
    </row>
    <row r="109">
      <c r="A109" s="11" t="s">
        <v>502</v>
      </c>
      <c r="B109" s="16">
        <v>90.0</v>
      </c>
      <c r="C109" s="16" t="str">
        <f t="shared" si="338"/>
        <v>90</v>
      </c>
      <c r="D109" s="16">
        <v>0.0</v>
      </c>
      <c r="E109" s="16">
        <v>0.0</v>
      </c>
      <c r="F109" s="16"/>
      <c r="G109" s="43">
        <v>51714.0</v>
      </c>
      <c r="H109" s="72">
        <v>2221.0</v>
      </c>
      <c r="I109" s="43" t="str">
        <f t="shared" ref="I109:K109" si="339">C109*$H109</f>
        <v>199890</v>
      </c>
      <c r="J109" s="43" t="str">
        <f t="shared" si="339"/>
        <v>0</v>
      </c>
      <c r="K109" s="43" t="str">
        <f t="shared" si="339"/>
        <v>0</v>
      </c>
      <c r="L109" s="79"/>
      <c r="M109" s="72">
        <v>10566.0</v>
      </c>
      <c r="N109" s="43" t="str">
        <f t="shared" ref="N109:P109" si="340">$M109*C109</f>
        <v>950940</v>
      </c>
      <c r="O109" s="43" t="str">
        <f t="shared" si="340"/>
        <v>0</v>
      </c>
      <c r="P109" s="43" t="str">
        <f t="shared" si="340"/>
        <v>0</v>
      </c>
      <c r="Q109" s="79"/>
      <c r="R109" s="72">
        <v>1305.0</v>
      </c>
      <c r="S109" s="43" t="str">
        <f t="shared" ref="S109:U109" si="341">$R109*C109</f>
        <v>117450</v>
      </c>
      <c r="T109" s="43" t="str">
        <f t="shared" si="341"/>
        <v>0</v>
      </c>
      <c r="U109" s="43" t="str">
        <f t="shared" si="341"/>
        <v>0</v>
      </c>
      <c r="V109" s="79"/>
      <c r="W109" s="72">
        <v>4629.0</v>
      </c>
      <c r="X109" s="43" t="str">
        <f t="shared" ref="X109:Z109" si="342">$W109*C109</f>
        <v>416610</v>
      </c>
      <c r="Y109" s="43" t="str">
        <f t="shared" si="342"/>
        <v>0</v>
      </c>
      <c r="Z109" s="43" t="str">
        <f t="shared" si="342"/>
        <v>0</v>
      </c>
      <c r="AA109" s="79"/>
      <c r="AB109" s="72">
        <v>6976.0</v>
      </c>
      <c r="AC109" s="43" t="str">
        <f t="shared" ref="AC109:AE109" si="343">$AB109*C109</f>
        <v>627840</v>
      </c>
      <c r="AD109" s="43" t="str">
        <f t="shared" si="343"/>
        <v>0</v>
      </c>
      <c r="AE109" s="43" t="str">
        <f t="shared" si="343"/>
        <v>0</v>
      </c>
      <c r="AF109" s="79"/>
      <c r="AG109" s="72">
        <v>12004.0</v>
      </c>
      <c r="AH109" s="43" t="str">
        <f t="shared" ref="AH109:AJ109" si="344">$AG109*C109</f>
        <v>1080360</v>
      </c>
      <c r="AI109" s="43" t="str">
        <f t="shared" si="344"/>
        <v>0</v>
      </c>
      <c r="AJ109" s="43" t="str">
        <f t="shared" si="344"/>
        <v>0</v>
      </c>
      <c r="AK109" s="79"/>
      <c r="AL109" s="72">
        <v>5628.0</v>
      </c>
      <c r="AM109" s="72" t="str">
        <f t="shared" ref="AM109:AO109" si="345">$AL109*C109</f>
        <v>506520</v>
      </c>
      <c r="AN109" s="72" t="str">
        <f t="shared" si="345"/>
        <v>0</v>
      </c>
      <c r="AO109" s="72" t="str">
        <f t="shared" si="345"/>
        <v>0</v>
      </c>
      <c r="AP109" s="79"/>
      <c r="AQ109" s="72">
        <v>8387.0</v>
      </c>
      <c r="AR109" s="72" t="str">
        <f t="shared" ref="AR109:AT109" si="346">$AQ109*C109</f>
        <v>754830</v>
      </c>
      <c r="AS109" s="72" t="str">
        <f t="shared" si="346"/>
        <v>0</v>
      </c>
      <c r="AT109" s="72" t="str">
        <f t="shared" si="346"/>
        <v>0</v>
      </c>
      <c r="AU109" s="79"/>
      <c r="AV109" s="43" t="str">
        <f t="shared" ref="AV109:AX109" si="347">I109+N109+S109+X109+AC109+AH109+AM109+AR109</f>
        <v>4654440</v>
      </c>
      <c r="AW109" s="43" t="str">
        <f t="shared" si="347"/>
        <v>0</v>
      </c>
      <c r="AX109" s="43" t="str">
        <f t="shared" si="347"/>
        <v>0</v>
      </c>
    </row>
    <row r="110">
      <c r="A110" s="11" t="s">
        <v>506</v>
      </c>
      <c r="B110" s="16">
        <v>61.3</v>
      </c>
      <c r="C110" s="16" t="str">
        <f t="shared" si="338"/>
        <v>61.3</v>
      </c>
      <c r="D110" s="16">
        <v>0.0</v>
      </c>
      <c r="E110" s="16">
        <v>0.0</v>
      </c>
      <c r="F110" s="16"/>
      <c r="G110" s="43">
        <v>217832.0</v>
      </c>
      <c r="H110" s="72">
        <v>14934.0</v>
      </c>
      <c r="I110" s="43" t="str">
        <f t="shared" ref="I110:K110" si="348">C110*$H110</f>
        <v>915454</v>
      </c>
      <c r="J110" s="43" t="str">
        <f t="shared" si="348"/>
        <v>0</v>
      </c>
      <c r="K110" s="43" t="str">
        <f t="shared" si="348"/>
        <v>0</v>
      </c>
      <c r="L110" s="79"/>
      <c r="M110" s="72">
        <v>63270.0</v>
      </c>
      <c r="N110" s="43" t="str">
        <f t="shared" ref="N110:P110" si="349">$M110*C110</f>
        <v>3878451</v>
      </c>
      <c r="O110" s="43" t="str">
        <f t="shared" si="349"/>
        <v>0</v>
      </c>
      <c r="P110" s="43" t="str">
        <f t="shared" si="349"/>
        <v>0</v>
      </c>
      <c r="Q110" s="79"/>
      <c r="R110" s="72">
        <v>654.0</v>
      </c>
      <c r="S110" s="43" t="str">
        <f t="shared" ref="S110:U110" si="350">$R110*C110</f>
        <v>40090</v>
      </c>
      <c r="T110" s="43" t="str">
        <f t="shared" si="350"/>
        <v>0</v>
      </c>
      <c r="U110" s="43" t="str">
        <f t="shared" si="350"/>
        <v>0</v>
      </c>
      <c r="V110" s="79"/>
      <c r="W110" s="72">
        <v>31212.0</v>
      </c>
      <c r="X110" s="43" t="str">
        <f t="shared" ref="X110:Z110" si="351">$W110*C110</f>
        <v>1913296</v>
      </c>
      <c r="Y110" s="43" t="str">
        <f t="shared" si="351"/>
        <v>0</v>
      </c>
      <c r="Z110" s="43" t="str">
        <f t="shared" si="351"/>
        <v>0</v>
      </c>
      <c r="AA110" s="79"/>
      <c r="AB110" s="72">
        <v>22528.0</v>
      </c>
      <c r="AC110" s="43" t="str">
        <f t="shared" ref="AC110:AE110" si="352">$AB110*C110</f>
        <v>1380966</v>
      </c>
      <c r="AD110" s="43" t="str">
        <f t="shared" si="352"/>
        <v>0</v>
      </c>
      <c r="AE110" s="43" t="str">
        <f t="shared" si="352"/>
        <v>0</v>
      </c>
      <c r="AF110" s="79"/>
      <c r="AG110" s="72">
        <v>49058.0</v>
      </c>
      <c r="AH110" s="43" t="str">
        <f t="shared" ref="AH110:AJ110" si="353">$AG110*C110</f>
        <v>3007255</v>
      </c>
      <c r="AI110" s="43" t="str">
        <f t="shared" si="353"/>
        <v>0</v>
      </c>
      <c r="AJ110" s="43" t="str">
        <f t="shared" si="353"/>
        <v>0</v>
      </c>
      <c r="AK110" s="79"/>
      <c r="AL110" s="72">
        <v>22091.0</v>
      </c>
      <c r="AM110" s="72" t="str">
        <f t="shared" ref="AM110:AO110" si="354">$AL110*C110</f>
        <v>1354178</v>
      </c>
      <c r="AN110" s="72" t="str">
        <f t="shared" si="354"/>
        <v>0</v>
      </c>
      <c r="AO110" s="72" t="str">
        <f t="shared" si="354"/>
        <v>0</v>
      </c>
      <c r="AP110" s="79"/>
      <c r="AQ110" s="72">
        <v>14084.0</v>
      </c>
      <c r="AR110" s="72" t="str">
        <f t="shared" ref="AR110:AT110" si="355">$AQ110*C110</f>
        <v>863349</v>
      </c>
      <c r="AS110" s="72" t="str">
        <f t="shared" si="355"/>
        <v>0</v>
      </c>
      <c r="AT110" s="72" t="str">
        <f t="shared" si="355"/>
        <v>0</v>
      </c>
      <c r="AU110" s="79"/>
      <c r="AV110" s="43" t="str">
        <f t="shared" ref="AV110:AX110" si="356">I110+N110+S110+X110+AC110+AH110+AM110+AR110</f>
        <v>13353040</v>
      </c>
      <c r="AW110" s="43" t="str">
        <f t="shared" si="356"/>
        <v>0</v>
      </c>
      <c r="AX110" s="43" t="str">
        <f t="shared" si="356"/>
        <v>0</v>
      </c>
    </row>
    <row r="111">
      <c r="A111" s="11" t="s">
        <v>511</v>
      </c>
      <c r="B111" s="16">
        <v>21.07</v>
      </c>
      <c r="C111" s="16" t="str">
        <f t="shared" si="338"/>
        <v>21.07</v>
      </c>
      <c r="D111" s="16">
        <v>0.0</v>
      </c>
      <c r="E111" s="16">
        <v>0.0</v>
      </c>
      <c r="F111" s="16"/>
      <c r="G111" s="43">
        <v>562634.0</v>
      </c>
      <c r="H111" s="113">
        <v>34232.0</v>
      </c>
      <c r="I111" s="43" t="str">
        <f t="shared" ref="I111:K111" si="357">C111*$H111</f>
        <v>721268</v>
      </c>
      <c r="J111" s="43" t="str">
        <f t="shared" si="357"/>
        <v>0</v>
      </c>
      <c r="K111" s="43" t="str">
        <f t="shared" si="357"/>
        <v>0</v>
      </c>
      <c r="L111" s="79"/>
      <c r="M111" s="113">
        <v>96731.0</v>
      </c>
      <c r="N111" s="43" t="str">
        <f t="shared" ref="N111:P111" si="358">$M111*C111</f>
        <v>2038122</v>
      </c>
      <c r="O111" s="43" t="str">
        <f t="shared" si="358"/>
        <v>0</v>
      </c>
      <c r="P111" s="43" t="str">
        <f t="shared" si="358"/>
        <v>0</v>
      </c>
      <c r="Q111" s="79"/>
      <c r="R111" s="113">
        <v>15205.0</v>
      </c>
      <c r="S111" s="43" t="str">
        <f t="shared" ref="S111:U111" si="359">$R111*C111</f>
        <v>320369</v>
      </c>
      <c r="T111" s="43" t="str">
        <f t="shared" si="359"/>
        <v>0</v>
      </c>
      <c r="U111" s="43" t="str">
        <f t="shared" si="359"/>
        <v>0</v>
      </c>
      <c r="V111" s="79"/>
      <c r="W111" s="113">
        <v>45558.0</v>
      </c>
      <c r="X111" s="43" t="str">
        <f t="shared" ref="X111:Z111" si="360">$W111*C111</f>
        <v>959907</v>
      </c>
      <c r="Y111" s="43" t="str">
        <f t="shared" si="360"/>
        <v>0</v>
      </c>
      <c r="Z111" s="43" t="str">
        <f t="shared" si="360"/>
        <v>0</v>
      </c>
      <c r="AA111" s="79"/>
      <c r="AB111" s="113">
        <v>71127.0</v>
      </c>
      <c r="AC111" s="43" t="str">
        <f t="shared" ref="AC111:AE111" si="361">$AB111*C111</f>
        <v>1498646</v>
      </c>
      <c r="AD111" s="43" t="str">
        <f t="shared" si="361"/>
        <v>0</v>
      </c>
      <c r="AE111" s="43" t="str">
        <f t="shared" si="361"/>
        <v>0</v>
      </c>
      <c r="AF111" s="79"/>
      <c r="AG111" s="113">
        <v>123196.0</v>
      </c>
      <c r="AH111" s="43" t="str">
        <f t="shared" ref="AH111:AJ111" si="362">$AG111*C111</f>
        <v>2595740</v>
      </c>
      <c r="AI111" s="43" t="str">
        <f t="shared" si="362"/>
        <v>0</v>
      </c>
      <c r="AJ111" s="43" t="str">
        <f t="shared" si="362"/>
        <v>0</v>
      </c>
      <c r="AK111" s="79"/>
      <c r="AL111" s="113">
        <v>113994.0</v>
      </c>
      <c r="AM111" s="72" t="str">
        <f t="shared" ref="AM111:AO111" si="363">$AL111*C111</f>
        <v>2401854</v>
      </c>
      <c r="AN111" s="72" t="str">
        <f t="shared" si="363"/>
        <v>0</v>
      </c>
      <c r="AO111" s="72" t="str">
        <f t="shared" si="363"/>
        <v>0</v>
      </c>
      <c r="AP111" s="79"/>
      <c r="AQ111" s="113">
        <v>62592.0</v>
      </c>
      <c r="AR111" s="72" t="str">
        <f t="shared" ref="AR111:AT111" si="364">$AQ111*C111</f>
        <v>1318813</v>
      </c>
      <c r="AS111" s="72" t="str">
        <f t="shared" si="364"/>
        <v>0</v>
      </c>
      <c r="AT111" s="72" t="str">
        <f t="shared" si="364"/>
        <v>0</v>
      </c>
      <c r="AU111" s="79"/>
      <c r="AV111" s="43" t="str">
        <f t="shared" ref="AV111:AX111" si="365">I111+N111+S111+X111+AC111+AH111+AM111+AR111</f>
        <v>11854719</v>
      </c>
      <c r="AW111" s="43" t="str">
        <f t="shared" si="365"/>
        <v>0</v>
      </c>
      <c r="AX111" s="43" t="str">
        <f t="shared" si="365"/>
        <v>0</v>
      </c>
    </row>
    <row r="112">
      <c r="A112" s="11" t="s">
        <v>515</v>
      </c>
      <c r="B112" s="16">
        <v>10.0</v>
      </c>
      <c r="C112" s="16" t="str">
        <f t="shared" si="338"/>
        <v>10</v>
      </c>
      <c r="D112" s="16">
        <v>0.0</v>
      </c>
      <c r="E112" s="16">
        <v>0.0</v>
      </c>
      <c r="F112" s="16"/>
      <c r="G112" s="43">
        <v>562634.0</v>
      </c>
      <c r="H112" s="72">
        <v>34232.0</v>
      </c>
      <c r="I112" s="43" t="str">
        <f t="shared" ref="I112:K112" si="366">C112*$H112</f>
        <v>342320</v>
      </c>
      <c r="J112" s="43" t="str">
        <f t="shared" si="366"/>
        <v>0</v>
      </c>
      <c r="K112" s="43" t="str">
        <f t="shared" si="366"/>
        <v>0</v>
      </c>
      <c r="L112" s="79"/>
      <c r="M112" s="72">
        <v>96731.0</v>
      </c>
      <c r="N112" s="43" t="str">
        <f t="shared" ref="N112:P112" si="367">$M112*C112</f>
        <v>967310</v>
      </c>
      <c r="O112" s="43" t="str">
        <f t="shared" si="367"/>
        <v>0</v>
      </c>
      <c r="P112" s="43" t="str">
        <f t="shared" si="367"/>
        <v>0</v>
      </c>
      <c r="Q112" s="79"/>
      <c r="R112" s="72">
        <v>15205.0</v>
      </c>
      <c r="S112" s="43" t="str">
        <f t="shared" ref="S112:U112" si="368">$R112*C112</f>
        <v>152050</v>
      </c>
      <c r="T112" s="43" t="str">
        <f t="shared" si="368"/>
        <v>0</v>
      </c>
      <c r="U112" s="43" t="str">
        <f t="shared" si="368"/>
        <v>0</v>
      </c>
      <c r="V112" s="79"/>
      <c r="W112" s="72">
        <v>45558.0</v>
      </c>
      <c r="X112" s="43" t="str">
        <f t="shared" ref="X112:Z112" si="369">$W112*C112</f>
        <v>455580</v>
      </c>
      <c r="Y112" s="43" t="str">
        <f t="shared" si="369"/>
        <v>0</v>
      </c>
      <c r="Z112" s="43" t="str">
        <f t="shared" si="369"/>
        <v>0</v>
      </c>
      <c r="AA112" s="79"/>
      <c r="AB112" s="72">
        <v>71127.0</v>
      </c>
      <c r="AC112" s="43" t="str">
        <f t="shared" ref="AC112:AE112" si="370">$AB112*C112</f>
        <v>711270</v>
      </c>
      <c r="AD112" s="43" t="str">
        <f t="shared" si="370"/>
        <v>0</v>
      </c>
      <c r="AE112" s="43" t="str">
        <f t="shared" si="370"/>
        <v>0</v>
      </c>
      <c r="AF112" s="79"/>
      <c r="AG112" s="72">
        <v>123196.0</v>
      </c>
      <c r="AH112" s="43" t="str">
        <f t="shared" ref="AH112:AJ112" si="371">$AG112*C112</f>
        <v>1231960</v>
      </c>
      <c r="AI112" s="43" t="str">
        <f t="shared" si="371"/>
        <v>0</v>
      </c>
      <c r="AJ112" s="43" t="str">
        <f t="shared" si="371"/>
        <v>0</v>
      </c>
      <c r="AK112" s="79"/>
      <c r="AL112" s="72">
        <v>113994.0</v>
      </c>
      <c r="AM112" s="72" t="str">
        <f t="shared" ref="AM112:AO112" si="372">$AL112*C112</f>
        <v>1139940</v>
      </c>
      <c r="AN112" s="72" t="str">
        <f t="shared" si="372"/>
        <v>0</v>
      </c>
      <c r="AO112" s="72" t="str">
        <f t="shared" si="372"/>
        <v>0</v>
      </c>
      <c r="AP112" s="79"/>
      <c r="AQ112" s="72">
        <v>62592.0</v>
      </c>
      <c r="AR112" s="72" t="str">
        <f t="shared" ref="AR112:AT112" si="373">$AQ112*C112</f>
        <v>625920</v>
      </c>
      <c r="AS112" s="72" t="str">
        <f t="shared" si="373"/>
        <v>0</v>
      </c>
      <c r="AT112" s="72" t="str">
        <f t="shared" si="373"/>
        <v>0</v>
      </c>
      <c r="AU112" s="79"/>
      <c r="AV112" s="43" t="str">
        <f t="shared" ref="AV112:AX112" si="374">I112+N112+S112+X112+AC112+AH112+AM112+AR112</f>
        <v>5626350</v>
      </c>
      <c r="AW112" s="43" t="str">
        <f t="shared" si="374"/>
        <v>0</v>
      </c>
      <c r="AX112" s="43" t="str">
        <f t="shared" si="374"/>
        <v>0</v>
      </c>
    </row>
    <row r="113">
      <c r="A113" s="11" t="s">
        <v>670</v>
      </c>
      <c r="B113" s="16">
        <v>2000.0</v>
      </c>
      <c r="C113" s="16" t="str">
        <f t="shared" si="338"/>
        <v>2000</v>
      </c>
      <c r="D113" s="16">
        <v>0.0</v>
      </c>
      <c r="E113" s="16">
        <v>0.0</v>
      </c>
      <c r="F113" s="16"/>
      <c r="G113" s="43">
        <v>2450.0</v>
      </c>
      <c r="H113" s="113">
        <v>120.0</v>
      </c>
      <c r="I113" s="43" t="str">
        <f t="shared" ref="I113:K113" si="375">C113*$H113</f>
        <v>240000</v>
      </c>
      <c r="J113" s="43" t="str">
        <f t="shared" si="375"/>
        <v>0</v>
      </c>
      <c r="K113" s="43" t="str">
        <f t="shared" si="375"/>
        <v>0</v>
      </c>
      <c r="L113" s="79"/>
      <c r="M113" s="113">
        <v>983.0</v>
      </c>
      <c r="N113" s="43" t="str">
        <f t="shared" ref="N113:P113" si="376">$M113*C113</f>
        <v>1966000</v>
      </c>
      <c r="O113" s="43" t="str">
        <f t="shared" si="376"/>
        <v>0</v>
      </c>
      <c r="P113" s="43" t="str">
        <f t="shared" si="376"/>
        <v>0</v>
      </c>
      <c r="Q113" s="79"/>
      <c r="R113" s="113">
        <v>7.0</v>
      </c>
      <c r="S113" s="43" t="str">
        <f t="shared" ref="S113:U113" si="377">$R113*C113</f>
        <v>14000</v>
      </c>
      <c r="T113" s="43" t="str">
        <f t="shared" si="377"/>
        <v>0</v>
      </c>
      <c r="U113" s="43" t="str">
        <f t="shared" si="377"/>
        <v>0</v>
      </c>
      <c r="V113" s="79"/>
      <c r="W113" s="113">
        <v>382.0</v>
      </c>
      <c r="X113" s="43" t="str">
        <f t="shared" ref="X113:Z113" si="378">$W113*C113</f>
        <v>764000</v>
      </c>
      <c r="Y113" s="43" t="str">
        <f t="shared" si="378"/>
        <v>0</v>
      </c>
      <c r="Z113" s="43" t="str">
        <f t="shared" si="378"/>
        <v>0</v>
      </c>
      <c r="AA113" s="79"/>
      <c r="AB113" s="113">
        <v>177.0</v>
      </c>
      <c r="AC113" s="43" t="str">
        <f t="shared" ref="AC113:AE113" si="379">$AB113*C113</f>
        <v>354000</v>
      </c>
      <c r="AD113" s="43" t="str">
        <f t="shared" si="379"/>
        <v>0</v>
      </c>
      <c r="AE113" s="43" t="str">
        <f t="shared" si="379"/>
        <v>0</v>
      </c>
      <c r="AF113" s="79"/>
      <c r="AG113" s="113">
        <v>455.0</v>
      </c>
      <c r="AH113" s="43" t="str">
        <f t="shared" ref="AH113:AJ113" si="380">$AG113*C113</f>
        <v>910000</v>
      </c>
      <c r="AI113" s="43" t="str">
        <f t="shared" si="380"/>
        <v>0</v>
      </c>
      <c r="AJ113" s="43" t="str">
        <f t="shared" si="380"/>
        <v>0</v>
      </c>
      <c r="AK113" s="79"/>
      <c r="AL113" s="113">
        <v>234.0</v>
      </c>
      <c r="AM113" s="72" t="str">
        <f t="shared" ref="AM113:AO113" si="381">$AL113*C113</f>
        <v>468000</v>
      </c>
      <c r="AN113" s="72" t="str">
        <f t="shared" si="381"/>
        <v>0</v>
      </c>
      <c r="AO113" s="72" t="str">
        <f t="shared" si="381"/>
        <v>0</v>
      </c>
      <c r="AP113" s="79"/>
      <c r="AQ113" s="113">
        <v>92.0</v>
      </c>
      <c r="AR113" s="72" t="str">
        <f t="shared" ref="AR113:AT113" si="382">$AQ113*C113</f>
        <v>184000</v>
      </c>
      <c r="AS113" s="72" t="str">
        <f t="shared" si="382"/>
        <v>0</v>
      </c>
      <c r="AT113" s="72" t="str">
        <f t="shared" si="382"/>
        <v>0</v>
      </c>
      <c r="AU113" s="79"/>
      <c r="AV113" s="43" t="str">
        <f t="shared" ref="AV113:AX113" si="383">I113+N113+S113+X113+AC113+AH113+AM113+AR113</f>
        <v>4900000</v>
      </c>
      <c r="AW113" s="43" t="str">
        <f t="shared" si="383"/>
        <v>0</v>
      </c>
      <c r="AX113" s="43" t="str">
        <f t="shared" si="383"/>
        <v>0</v>
      </c>
    </row>
    <row r="114">
      <c r="A114" s="11" t="s">
        <v>671</v>
      </c>
      <c r="B114" s="16">
        <v>453.5</v>
      </c>
      <c r="C114" s="16" t="str">
        <f>B114*85%</f>
        <v>385.475</v>
      </c>
      <c r="D114" s="16" t="str">
        <f>B114*5%</f>
        <v>22.675</v>
      </c>
      <c r="E114" s="16">
        <v>10.0</v>
      </c>
      <c r="F114" s="16"/>
      <c r="G114" s="43">
        <v>1692.0</v>
      </c>
      <c r="H114" s="72">
        <v>204.0</v>
      </c>
      <c r="I114" s="43" t="str">
        <f t="shared" ref="I114:K114" si="384">C114*$H114</f>
        <v>78637</v>
      </c>
      <c r="J114" s="43" t="str">
        <f t="shared" si="384"/>
        <v>4626</v>
      </c>
      <c r="K114" s="43" t="str">
        <f t="shared" si="384"/>
        <v>2040</v>
      </c>
      <c r="L114" s="79"/>
      <c r="M114" s="72">
        <v>154.0</v>
      </c>
      <c r="N114" s="43" t="str">
        <f t="shared" ref="N114:P114" si="385">$M114*C114</f>
        <v>59363</v>
      </c>
      <c r="O114" s="43" t="str">
        <f t="shared" si="385"/>
        <v>3492</v>
      </c>
      <c r="P114" s="43" t="str">
        <f t="shared" si="385"/>
        <v>1540</v>
      </c>
      <c r="Q114" s="79"/>
      <c r="R114" s="72">
        <v>27.0</v>
      </c>
      <c r="S114" s="43" t="str">
        <f t="shared" ref="S114:U114" si="386">$R114*C114</f>
        <v>10408</v>
      </c>
      <c r="T114" s="43" t="str">
        <f t="shared" si="386"/>
        <v>612</v>
      </c>
      <c r="U114" s="43" t="str">
        <f t="shared" si="386"/>
        <v>270</v>
      </c>
      <c r="V114" s="79"/>
      <c r="W114" s="72">
        <v>302.0</v>
      </c>
      <c r="X114" s="43" t="str">
        <f t="shared" ref="X114:Z114" si="387">$W114*C114</f>
        <v>116413</v>
      </c>
      <c r="Y114" s="43" t="str">
        <f t="shared" si="387"/>
        <v>6848</v>
      </c>
      <c r="Z114" s="43" t="str">
        <f t="shared" si="387"/>
        <v>3020</v>
      </c>
      <c r="AA114" s="79"/>
      <c r="AB114" s="72">
        <v>403.0</v>
      </c>
      <c r="AC114" s="43" t="str">
        <f t="shared" ref="AC114:AE114" si="388">$AB114*C114</f>
        <v>155346</v>
      </c>
      <c r="AD114" s="43" t="str">
        <f t="shared" si="388"/>
        <v>9138</v>
      </c>
      <c r="AE114" s="43" t="str">
        <f t="shared" si="388"/>
        <v>4030</v>
      </c>
      <c r="AF114" s="79"/>
      <c r="AG114" s="72">
        <v>230.0</v>
      </c>
      <c r="AH114" s="43" t="str">
        <f t="shared" ref="AH114:AJ114" si="389">$AG114*C114</f>
        <v>88659</v>
      </c>
      <c r="AI114" s="43" t="str">
        <f t="shared" si="389"/>
        <v>5215</v>
      </c>
      <c r="AJ114" s="43" t="str">
        <f t="shared" si="389"/>
        <v>2300</v>
      </c>
      <c r="AK114" s="79"/>
      <c r="AL114" s="72">
        <v>185.0</v>
      </c>
      <c r="AM114" s="72" t="str">
        <f t="shared" ref="AM114:AO114" si="390">$AL114*C114</f>
        <v>71313</v>
      </c>
      <c r="AN114" s="72" t="str">
        <f t="shared" si="390"/>
        <v>4195</v>
      </c>
      <c r="AO114" s="72" t="str">
        <f t="shared" si="390"/>
        <v>1850</v>
      </c>
      <c r="AP114" s="79"/>
      <c r="AQ114" s="72">
        <v>187.0</v>
      </c>
      <c r="AR114" s="72" t="str">
        <f t="shared" ref="AR114:AT114" si="391">$AQ114*C114</f>
        <v>72084</v>
      </c>
      <c r="AS114" s="72" t="str">
        <f t="shared" si="391"/>
        <v>4240</v>
      </c>
      <c r="AT114" s="72" t="str">
        <f t="shared" si="391"/>
        <v>1870</v>
      </c>
      <c r="AU114" s="79"/>
      <c r="AV114" s="43" t="str">
        <f t="shared" ref="AV114:AX114" si="392">I114+N114+S114+X114+AC114+AH114+AM114+AR114</f>
        <v>652224</v>
      </c>
      <c r="AW114" s="43" t="str">
        <f t="shared" si="392"/>
        <v>38366</v>
      </c>
      <c r="AX114" s="43" t="str">
        <f t="shared" si="392"/>
        <v>16920</v>
      </c>
    </row>
    <row r="115">
      <c r="A115" s="11" t="s">
        <v>672</v>
      </c>
      <c r="B115" s="16">
        <v>317.5</v>
      </c>
      <c r="C115" s="16" t="str">
        <f>B115*100%</f>
        <v>317.5</v>
      </c>
      <c r="D115" s="16">
        <v>0.0</v>
      </c>
      <c r="E115" s="16">
        <v>0.0</v>
      </c>
      <c r="F115" s="16"/>
      <c r="G115" s="43">
        <v>21116.0</v>
      </c>
      <c r="H115" s="72">
        <v>3052.0</v>
      </c>
      <c r="I115" s="43" t="str">
        <f t="shared" ref="I115:K115" si="393">C115*$H115</f>
        <v>969010</v>
      </c>
      <c r="J115" s="43" t="str">
        <f t="shared" si="393"/>
        <v>0</v>
      </c>
      <c r="K115" s="43" t="str">
        <f t="shared" si="393"/>
        <v>0</v>
      </c>
      <c r="L115" s="79"/>
      <c r="M115" s="72">
        <v>2629.0</v>
      </c>
      <c r="N115" s="43" t="str">
        <f t="shared" ref="N115:P115" si="394">$M115*C115</f>
        <v>834708</v>
      </c>
      <c r="O115" s="43" t="str">
        <f t="shared" si="394"/>
        <v>0</v>
      </c>
      <c r="P115" s="43" t="str">
        <f t="shared" si="394"/>
        <v>0</v>
      </c>
      <c r="Q115" s="79"/>
      <c r="R115" s="72">
        <v>551.0</v>
      </c>
      <c r="S115" s="43" t="str">
        <f t="shared" ref="S115:U115" si="395">$R115*C115</f>
        <v>174943</v>
      </c>
      <c r="T115" s="43" t="str">
        <f t="shared" si="395"/>
        <v>0</v>
      </c>
      <c r="U115" s="43" t="str">
        <f t="shared" si="395"/>
        <v>0</v>
      </c>
      <c r="V115" s="79"/>
      <c r="W115" s="72">
        <v>3653.0</v>
      </c>
      <c r="X115" s="43" t="str">
        <f t="shared" ref="X115:Z115" si="396">$W115*C115</f>
        <v>1159828</v>
      </c>
      <c r="Y115" s="43" t="str">
        <f t="shared" si="396"/>
        <v>0</v>
      </c>
      <c r="Z115" s="43" t="str">
        <f t="shared" si="396"/>
        <v>0</v>
      </c>
      <c r="AA115" s="79"/>
      <c r="AB115" s="72">
        <v>4528.0</v>
      </c>
      <c r="AC115" s="43" t="str">
        <f t="shared" ref="AC115:AE115" si="397">$AB115*C115</f>
        <v>1437640</v>
      </c>
      <c r="AD115" s="43" t="str">
        <f t="shared" si="397"/>
        <v>0</v>
      </c>
      <c r="AE115" s="43" t="str">
        <f t="shared" si="397"/>
        <v>0</v>
      </c>
      <c r="AF115" s="79"/>
      <c r="AG115" s="72">
        <v>2760.0</v>
      </c>
      <c r="AH115" s="43" t="str">
        <f t="shared" ref="AH115:AJ115" si="398">$AG115*C115</f>
        <v>876300</v>
      </c>
      <c r="AI115" s="43" t="str">
        <f t="shared" si="398"/>
        <v>0</v>
      </c>
      <c r="AJ115" s="43" t="str">
        <f t="shared" si="398"/>
        <v>0</v>
      </c>
      <c r="AK115" s="79"/>
      <c r="AL115" s="72">
        <v>2473.0</v>
      </c>
      <c r="AM115" s="72" t="str">
        <f t="shared" ref="AM115:AO115" si="399">$AL115*C115</f>
        <v>785178</v>
      </c>
      <c r="AN115" s="72" t="str">
        <f t="shared" si="399"/>
        <v>0</v>
      </c>
      <c r="AO115" s="72" t="str">
        <f t="shared" si="399"/>
        <v>0</v>
      </c>
      <c r="AP115" s="79"/>
      <c r="AQ115" s="72">
        <v>1470.0</v>
      </c>
      <c r="AR115" s="72" t="str">
        <f t="shared" ref="AR115:AT115" si="400">$AQ115*C115</f>
        <v>466725</v>
      </c>
      <c r="AS115" s="72" t="str">
        <f t="shared" si="400"/>
        <v>0</v>
      </c>
      <c r="AT115" s="72" t="str">
        <f t="shared" si="400"/>
        <v>0</v>
      </c>
      <c r="AU115" s="79"/>
      <c r="AV115" s="43" t="str">
        <f t="shared" ref="AV115:AX115" si="401">I115+N115+S115+X115+AC115+AH115+AM115+AR115</f>
        <v>6704330</v>
      </c>
      <c r="AW115" s="43" t="str">
        <f t="shared" si="401"/>
        <v>0</v>
      </c>
      <c r="AX115" s="43" t="str">
        <f t="shared" si="401"/>
        <v>0</v>
      </c>
    </row>
    <row r="116">
      <c r="A116" s="11" t="s">
        <v>673</v>
      </c>
      <c r="B116" s="16" t="s">
        <v>49</v>
      </c>
      <c r="C116" s="16">
        <v>4149166.0</v>
      </c>
      <c r="D116" s="16">
        <v>81356.0</v>
      </c>
      <c r="E116" s="16">
        <v>0.0</v>
      </c>
      <c r="F116" s="114"/>
      <c r="G116" s="114">
        <v>1.0</v>
      </c>
      <c r="H116" s="70">
        <v>0.09</v>
      </c>
      <c r="I116" s="43" t="str">
        <f t="shared" ref="I116:K116" si="402">C116*$H116</f>
        <v>373425</v>
      </c>
      <c r="J116" s="43" t="str">
        <f t="shared" si="402"/>
        <v>7322</v>
      </c>
      <c r="K116" s="43" t="str">
        <f t="shared" si="402"/>
        <v>0</v>
      </c>
      <c r="M116" s="70">
        <v>0.0</v>
      </c>
      <c r="N116" s="16" t="str">
        <f t="shared" ref="N116:P116" si="403">$M116*C116</f>
        <v>0</v>
      </c>
      <c r="O116" s="16" t="str">
        <f t="shared" si="403"/>
        <v>0</v>
      </c>
      <c r="P116" s="16" t="str">
        <f t="shared" si="403"/>
        <v>0</v>
      </c>
      <c r="R116" s="70">
        <v>0.0</v>
      </c>
      <c r="S116" s="16" t="str">
        <f t="shared" ref="S116:U116" si="404">$R116*C116</f>
        <v>0</v>
      </c>
      <c r="T116" s="16" t="str">
        <f t="shared" si="404"/>
        <v>0</v>
      </c>
      <c r="U116" s="16" t="str">
        <f t="shared" si="404"/>
        <v>0</v>
      </c>
      <c r="W116" s="70">
        <v>0.0</v>
      </c>
      <c r="X116" s="16" t="str">
        <f t="shared" ref="X116:Z116" si="405">$W116*C116</f>
        <v>0</v>
      </c>
      <c r="Y116" s="16" t="str">
        <f t="shared" si="405"/>
        <v>0</v>
      </c>
      <c r="Z116" s="16" t="str">
        <f t="shared" si="405"/>
        <v>0</v>
      </c>
      <c r="AB116" s="70">
        <v>0.28</v>
      </c>
      <c r="AC116" s="43" t="str">
        <f t="shared" ref="AC116:AE116" si="406">$AB116*C116</f>
        <v>1161766</v>
      </c>
      <c r="AD116" s="43" t="str">
        <f t="shared" si="406"/>
        <v>22780</v>
      </c>
      <c r="AE116" s="43" t="str">
        <f t="shared" si="406"/>
        <v>0</v>
      </c>
      <c r="AG116" s="70">
        <v>0.2</v>
      </c>
      <c r="AH116" s="43" t="str">
        <f t="shared" ref="AH116:AJ116" si="407">$AG116*C116</f>
        <v>829833</v>
      </c>
      <c r="AI116" s="43" t="str">
        <f t="shared" si="407"/>
        <v>16271</v>
      </c>
      <c r="AJ116" s="43" t="str">
        <f t="shared" si="407"/>
        <v>0</v>
      </c>
      <c r="AL116" s="70">
        <v>0.15</v>
      </c>
      <c r="AM116" s="72" t="str">
        <f t="shared" ref="AM116:AO116" si="408">$AL116*C116</f>
        <v>622375</v>
      </c>
      <c r="AN116" s="72" t="str">
        <f t="shared" si="408"/>
        <v>12203</v>
      </c>
      <c r="AO116" s="72" t="str">
        <f t="shared" si="408"/>
        <v>0</v>
      </c>
      <c r="AQ116" s="70">
        <v>0.28</v>
      </c>
      <c r="AR116" s="72" t="str">
        <f t="shared" ref="AR116:AT116" si="409">$AQ116*C116</f>
        <v>1161766</v>
      </c>
      <c r="AS116" s="72" t="str">
        <f t="shared" si="409"/>
        <v>22780</v>
      </c>
      <c r="AT116" s="72" t="str">
        <f t="shared" si="409"/>
        <v>0</v>
      </c>
      <c r="AV116" s="43" t="str">
        <f t="shared" ref="AV116:AX116" si="410">I116+N116+S116+X116+AC116+AH116+AM116+AR116</f>
        <v>4149166</v>
      </c>
      <c r="AW116" s="43" t="str">
        <f t="shared" si="410"/>
        <v>81356</v>
      </c>
      <c r="AX116" s="43" t="str">
        <f t="shared" si="410"/>
        <v>0</v>
      </c>
    </row>
    <row r="117">
      <c r="A117" s="138" t="s">
        <v>618</v>
      </c>
      <c r="B117" s="131"/>
      <c r="C117" s="131"/>
      <c r="D117" s="131"/>
      <c r="E117" s="131"/>
      <c r="F117" s="131"/>
      <c r="G117" s="131"/>
      <c r="H117" s="131"/>
      <c r="I117" s="139" t="str">
        <f t="shared" ref="I117:K117" si="411">sum(I96:I116)</f>
        <v>4120537</v>
      </c>
      <c r="J117" s="139" t="str">
        <f t="shared" si="411"/>
        <v>56818</v>
      </c>
      <c r="K117" s="139" t="str">
        <f t="shared" si="411"/>
        <v>25360</v>
      </c>
      <c r="L117" s="139"/>
      <c r="M117" s="139"/>
      <c r="N117" s="139" t="str">
        <f t="shared" ref="N117:P117" si="412">sum(N96:N116)</f>
        <v>12149671</v>
      </c>
      <c r="O117" s="139" t="str">
        <f t="shared" si="412"/>
        <v>171126</v>
      </c>
      <c r="P117" s="139" t="str">
        <f t="shared" si="412"/>
        <v>91246</v>
      </c>
      <c r="Q117" s="139"/>
      <c r="R117" s="139"/>
      <c r="S117" s="139" t="str">
        <f t="shared" ref="S117:U117" si="413">sum(S96:S116)</f>
        <v>883711</v>
      </c>
      <c r="T117" s="139" t="str">
        <f t="shared" si="413"/>
        <v>15669</v>
      </c>
      <c r="U117" s="139" t="str">
        <f t="shared" si="413"/>
        <v>10383</v>
      </c>
      <c r="V117" s="139"/>
      <c r="W117" s="139"/>
      <c r="X117" s="139" t="str">
        <f t="shared" ref="X117:Z117" si="414">sum(X96:X116)</f>
        <v>6394203</v>
      </c>
      <c r="Y117" s="139" t="str">
        <f t="shared" si="414"/>
        <v>90646</v>
      </c>
      <c r="Z117" s="139" t="str">
        <f t="shared" si="414"/>
        <v>44949</v>
      </c>
      <c r="AA117" s="139"/>
      <c r="AB117" s="139"/>
      <c r="AC117" s="139" t="str">
        <f t="shared" ref="AC117:AE117" si="415">sum(AC96:AC116)</f>
        <v>7875603</v>
      </c>
      <c r="AD117" s="139" t="str">
        <f t="shared" si="415"/>
        <v>118204</v>
      </c>
      <c r="AE117" s="139" t="str">
        <f t="shared" si="415"/>
        <v>53352</v>
      </c>
      <c r="AF117" s="139"/>
      <c r="AG117" s="139"/>
      <c r="AH117" s="139" t="str">
        <f t="shared" ref="AH117:AJ117" si="416">sum(AH96:AH116)</f>
        <v>11693554</v>
      </c>
      <c r="AI117" s="139" t="str">
        <f t="shared" si="416"/>
        <v>177604</v>
      </c>
      <c r="AJ117" s="139" t="str">
        <f t="shared" si="416"/>
        <v>87606</v>
      </c>
      <c r="AK117" s="139"/>
      <c r="AL117" s="139"/>
      <c r="AM117" s="139" t="str">
        <f t="shared" ref="AM117:AO117" si="417">sum(AM96:AM116)</f>
        <v>7933909</v>
      </c>
      <c r="AN117" s="139" t="str">
        <f t="shared" si="417"/>
        <v>116637</v>
      </c>
      <c r="AO117" s="139" t="str">
        <f t="shared" si="417"/>
        <v>59034</v>
      </c>
      <c r="AP117" s="139"/>
      <c r="AQ117" s="139"/>
      <c r="AR117" s="139" t="str">
        <f t="shared" ref="AR117:AT117" si="418">sum(AR96:AR116)</f>
        <v>5802673</v>
      </c>
      <c r="AS117" s="139" t="str">
        <f t="shared" si="418"/>
        <v>94613</v>
      </c>
      <c r="AT117" s="139" t="str">
        <f t="shared" si="418"/>
        <v>42013</v>
      </c>
      <c r="AU117" s="139"/>
      <c r="AV117" s="139" t="str">
        <f t="shared" ref="AV117:AX117" si="419">sum(AV96:AV116)</f>
        <v>56853860</v>
      </c>
      <c r="AW117" s="139" t="str">
        <f t="shared" si="419"/>
        <v>841317</v>
      </c>
      <c r="AX117" s="139" t="str">
        <f t="shared" si="419"/>
        <v>413944</v>
      </c>
      <c r="AY117" s="131"/>
      <c r="AZ117" s="131"/>
      <c r="BA117" s="131"/>
      <c r="BB117" s="131"/>
      <c r="BC117" s="131"/>
    </row>
    <row r="118">
      <c r="A118" s="11"/>
      <c r="I118" s="79"/>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row>
    <row r="119">
      <c r="A119" s="155" t="s">
        <v>2</v>
      </c>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c r="AA119" s="126"/>
      <c r="AB119" s="126"/>
      <c r="AC119" s="126"/>
      <c r="AD119" s="126"/>
      <c r="AE119" s="126"/>
      <c r="AF119" s="126"/>
      <c r="AG119" s="126"/>
      <c r="AH119" s="126"/>
      <c r="AI119" s="126"/>
      <c r="AJ119" s="126"/>
      <c r="AK119" s="126"/>
      <c r="AL119" s="126"/>
      <c r="AM119" s="126"/>
      <c r="AN119" s="126"/>
      <c r="AO119" s="126"/>
      <c r="AP119" s="126"/>
      <c r="AQ119" s="126"/>
      <c r="AR119" s="126"/>
      <c r="AS119" s="126"/>
      <c r="AT119" s="126"/>
      <c r="AU119" s="126"/>
      <c r="AV119" s="126"/>
      <c r="AW119" s="126"/>
      <c r="AX119" s="126"/>
      <c r="AY119" s="126"/>
      <c r="AZ119" s="126"/>
      <c r="BA119" s="126"/>
      <c r="BB119" s="126"/>
      <c r="BC119" s="126"/>
    </row>
    <row r="120">
      <c r="A120" s="66" t="s">
        <v>528</v>
      </c>
    </row>
    <row r="121">
      <c r="A121" s="11" t="s">
        <v>529</v>
      </c>
      <c r="B121" s="43">
        <v>7000.0</v>
      </c>
      <c r="C121" s="43" t="str">
        <f>B121*90%</f>
        <v>6300</v>
      </c>
      <c r="D121" s="43" t="str">
        <f>B121*0.5%</f>
        <v>35</v>
      </c>
      <c r="E121" s="43">
        <v>29.0</v>
      </c>
      <c r="F121" s="117"/>
      <c r="G121" s="43">
        <v>82.0</v>
      </c>
      <c r="H121" s="113">
        <v>38.0</v>
      </c>
      <c r="I121" s="72" t="str">
        <f t="shared" ref="I121:K121" si="420">$H121*C121</f>
        <v>239400</v>
      </c>
      <c r="J121" s="72" t="str">
        <f t="shared" si="420"/>
        <v>1330</v>
      </c>
      <c r="K121" s="72" t="str">
        <f t="shared" si="420"/>
        <v>1102</v>
      </c>
      <c r="L121" s="79"/>
      <c r="M121" s="113">
        <v>6.0</v>
      </c>
      <c r="N121" s="72" t="str">
        <f t="shared" ref="N121:P121" si="421">$M121*C121</f>
        <v>37800</v>
      </c>
      <c r="O121" s="72" t="str">
        <f t="shared" si="421"/>
        <v>210</v>
      </c>
      <c r="P121" s="72" t="str">
        <f t="shared" si="421"/>
        <v>174</v>
      </c>
      <c r="Q121" s="79"/>
      <c r="R121" s="113">
        <v>0.0</v>
      </c>
      <c r="S121" s="72" t="str">
        <f t="shared" ref="S121:U121" si="422">$R121*C121</f>
        <v>0</v>
      </c>
      <c r="T121" s="72" t="str">
        <f t="shared" si="422"/>
        <v>0</v>
      </c>
      <c r="U121" s="72" t="str">
        <f t="shared" si="422"/>
        <v>0</v>
      </c>
      <c r="V121" s="79"/>
      <c r="W121" s="113">
        <v>4.0</v>
      </c>
      <c r="X121" s="72" t="str">
        <f t="shared" ref="X121:Z121" si="423">$W121*C121</f>
        <v>25200</v>
      </c>
      <c r="Y121" s="72" t="str">
        <f t="shared" si="423"/>
        <v>140</v>
      </c>
      <c r="Z121" s="72" t="str">
        <f t="shared" si="423"/>
        <v>116</v>
      </c>
      <c r="AA121" s="79"/>
      <c r="AB121" s="113">
        <v>22.0</v>
      </c>
      <c r="AC121" s="72" t="str">
        <f t="shared" ref="AC121:AE121" si="424">$AB121*C121</f>
        <v>138600</v>
      </c>
      <c r="AD121" s="72" t="str">
        <f t="shared" si="424"/>
        <v>770</v>
      </c>
      <c r="AE121" s="72" t="str">
        <f t="shared" si="424"/>
        <v>638</v>
      </c>
      <c r="AF121" s="79"/>
      <c r="AG121" s="113">
        <v>3.0</v>
      </c>
      <c r="AH121" s="72" t="str">
        <f t="shared" ref="AH121:AJ121" si="425">$AG121*C121</f>
        <v>18900</v>
      </c>
      <c r="AI121" s="72" t="str">
        <f t="shared" si="425"/>
        <v>105</v>
      </c>
      <c r="AJ121" s="72" t="str">
        <f t="shared" si="425"/>
        <v>87</v>
      </c>
      <c r="AK121" s="79"/>
      <c r="AL121" s="113">
        <v>3.0</v>
      </c>
      <c r="AM121" s="72" t="str">
        <f t="shared" ref="AM121:AO121" si="426">$AL121*C121</f>
        <v>18900</v>
      </c>
      <c r="AN121" s="72" t="str">
        <f t="shared" si="426"/>
        <v>105</v>
      </c>
      <c r="AO121" s="72" t="str">
        <f t="shared" si="426"/>
        <v>87</v>
      </c>
      <c r="AP121" s="79"/>
      <c r="AQ121" s="113">
        <v>6.0</v>
      </c>
      <c r="AR121" s="72" t="str">
        <f t="shared" ref="AR121:AT121" si="427">$AQ121*C121</f>
        <v>37800</v>
      </c>
      <c r="AS121" s="72" t="str">
        <f t="shared" si="427"/>
        <v>210</v>
      </c>
      <c r="AT121" s="72" t="str">
        <f t="shared" si="427"/>
        <v>174</v>
      </c>
      <c r="AU121" s="79"/>
      <c r="AV121" s="72" t="str">
        <f t="shared" ref="AV121:AX121" si="428">I121+N121+S121+X121+AC121+AH121+AM121+AR121</f>
        <v>516600</v>
      </c>
      <c r="AW121" s="72" t="str">
        <f t="shared" si="428"/>
        <v>2870</v>
      </c>
      <c r="AX121" s="72" t="str">
        <f t="shared" si="428"/>
        <v>2378</v>
      </c>
    </row>
    <row r="122">
      <c r="A122" s="11" t="s">
        <v>531</v>
      </c>
      <c r="B122" s="43">
        <v>1250.0</v>
      </c>
      <c r="C122" s="96" t="str">
        <f>B122*85%</f>
        <v>1062.5</v>
      </c>
      <c r="D122" s="96" t="str">
        <f>B122*1%</f>
        <v>12.5</v>
      </c>
      <c r="E122" s="43">
        <v>29.0</v>
      </c>
      <c r="F122" s="117"/>
      <c r="G122" s="43">
        <v>246.0</v>
      </c>
      <c r="H122" s="72">
        <v>114.0</v>
      </c>
      <c r="I122" s="72" t="str">
        <f t="shared" ref="I122:K122" si="429">$H122*C122</f>
        <v>121125</v>
      </c>
      <c r="J122" s="72" t="str">
        <f t="shared" si="429"/>
        <v>1425</v>
      </c>
      <c r="K122" s="72" t="str">
        <f t="shared" si="429"/>
        <v>3306</v>
      </c>
      <c r="L122" s="79"/>
      <c r="M122" s="72">
        <v>18.0</v>
      </c>
      <c r="N122" s="72" t="str">
        <f t="shared" ref="N122:P122" si="430">$M122*C122</f>
        <v>19125</v>
      </c>
      <c r="O122" s="72" t="str">
        <f t="shared" si="430"/>
        <v>225</v>
      </c>
      <c r="P122" s="72" t="str">
        <f t="shared" si="430"/>
        <v>522</v>
      </c>
      <c r="Q122" s="79"/>
      <c r="R122" s="72">
        <v>0.0</v>
      </c>
      <c r="S122" s="72" t="str">
        <f t="shared" ref="S122:U122" si="431">$R122*C122</f>
        <v>0</v>
      </c>
      <c r="T122" s="72" t="str">
        <f t="shared" si="431"/>
        <v>0</v>
      </c>
      <c r="U122" s="72" t="str">
        <f t="shared" si="431"/>
        <v>0</v>
      </c>
      <c r="V122" s="79"/>
      <c r="W122" s="72">
        <v>12.0</v>
      </c>
      <c r="X122" s="72" t="str">
        <f t="shared" ref="X122:Z122" si="432">$W122*C122</f>
        <v>12750</v>
      </c>
      <c r="Y122" s="72" t="str">
        <f t="shared" si="432"/>
        <v>150</v>
      </c>
      <c r="Z122" s="72" t="str">
        <f t="shared" si="432"/>
        <v>348</v>
      </c>
      <c r="AA122" s="79"/>
      <c r="AB122" s="72">
        <v>66.0</v>
      </c>
      <c r="AC122" s="72" t="str">
        <f t="shared" ref="AC122:AE122" si="433">$AB122*C122</f>
        <v>70125</v>
      </c>
      <c r="AD122" s="72" t="str">
        <f t="shared" si="433"/>
        <v>825</v>
      </c>
      <c r="AE122" s="72" t="str">
        <f t="shared" si="433"/>
        <v>1914</v>
      </c>
      <c r="AF122" s="79"/>
      <c r="AG122" s="72">
        <v>9.0</v>
      </c>
      <c r="AH122" s="72" t="str">
        <f t="shared" ref="AH122:AJ122" si="434">$AG122*C122</f>
        <v>9563</v>
      </c>
      <c r="AI122" s="72" t="str">
        <f t="shared" si="434"/>
        <v>113</v>
      </c>
      <c r="AJ122" s="72" t="str">
        <f t="shared" si="434"/>
        <v>261</v>
      </c>
      <c r="AK122" s="79"/>
      <c r="AL122" s="72">
        <v>9.0</v>
      </c>
      <c r="AM122" s="72" t="str">
        <f t="shared" ref="AM122:AO122" si="435">$AL122*C122</f>
        <v>9563</v>
      </c>
      <c r="AN122" s="72" t="str">
        <f t="shared" si="435"/>
        <v>113</v>
      </c>
      <c r="AO122" s="72" t="str">
        <f t="shared" si="435"/>
        <v>261</v>
      </c>
      <c r="AP122" s="79"/>
      <c r="AQ122" s="72">
        <v>18.0</v>
      </c>
      <c r="AR122" s="72" t="str">
        <f t="shared" ref="AR122:AT122" si="436">$AQ122*C122</f>
        <v>19125</v>
      </c>
      <c r="AS122" s="72" t="str">
        <f t="shared" si="436"/>
        <v>225</v>
      </c>
      <c r="AT122" s="72" t="str">
        <f t="shared" si="436"/>
        <v>522</v>
      </c>
      <c r="AU122" s="79"/>
      <c r="AV122" s="72" t="str">
        <f t="shared" ref="AV122:AX122" si="437">I122+N122+S122+X122+AC122+AH122+AM122+AR122</f>
        <v>261375</v>
      </c>
      <c r="AW122" s="72" t="str">
        <f t="shared" si="437"/>
        <v>3075</v>
      </c>
      <c r="AX122" s="72" t="str">
        <f t="shared" si="437"/>
        <v>7134</v>
      </c>
    </row>
    <row r="123">
      <c r="A123" s="11" t="s">
        <v>532</v>
      </c>
      <c r="B123" s="43">
        <v>23000.0</v>
      </c>
      <c r="C123" s="43" t="str">
        <f>B123*90%</f>
        <v>20700</v>
      </c>
      <c r="D123" s="43" t="str">
        <f t="shared" ref="D123:D126" si="447">B123*0.5%</f>
        <v>115</v>
      </c>
      <c r="E123" s="43" t="str">
        <f>B123*0.5%</f>
        <v>115</v>
      </c>
      <c r="F123" s="117"/>
      <c r="G123" s="43">
        <v>105.0</v>
      </c>
      <c r="H123" s="72">
        <v>14.0</v>
      </c>
      <c r="I123" s="72" t="str">
        <f t="shared" ref="I123:K123" si="438">$H123*C123</f>
        <v>289800</v>
      </c>
      <c r="J123" s="72" t="str">
        <f t="shared" si="438"/>
        <v>1610</v>
      </c>
      <c r="K123" s="72" t="str">
        <f t="shared" si="438"/>
        <v>1610</v>
      </c>
      <c r="L123" s="79"/>
      <c r="M123" s="72">
        <v>1.0</v>
      </c>
      <c r="N123" s="72" t="str">
        <f t="shared" ref="N123:P123" si="439">$M123*C123</f>
        <v>20700</v>
      </c>
      <c r="O123" s="72" t="str">
        <f t="shared" si="439"/>
        <v>115</v>
      </c>
      <c r="P123" s="72" t="str">
        <f t="shared" si="439"/>
        <v>115</v>
      </c>
      <c r="Q123" s="79"/>
      <c r="R123" s="72">
        <v>50.0</v>
      </c>
      <c r="S123" s="72" t="str">
        <f t="shared" ref="S123:U123" si="440">$R123*C123</f>
        <v>1035000</v>
      </c>
      <c r="T123" s="72" t="str">
        <f t="shared" si="440"/>
        <v>5750</v>
      </c>
      <c r="U123" s="72" t="str">
        <f t="shared" si="440"/>
        <v>5750</v>
      </c>
      <c r="V123" s="79"/>
      <c r="W123" s="72">
        <v>2.0</v>
      </c>
      <c r="X123" s="72" t="str">
        <f t="shared" ref="X123:Z123" si="441">$W123*C123</f>
        <v>41400</v>
      </c>
      <c r="Y123" s="72" t="str">
        <f t="shared" si="441"/>
        <v>230</v>
      </c>
      <c r="Z123" s="72" t="str">
        <f t="shared" si="441"/>
        <v>230</v>
      </c>
      <c r="AA123" s="79"/>
      <c r="AB123" s="72">
        <v>15.0</v>
      </c>
      <c r="AC123" s="72" t="str">
        <f t="shared" ref="AC123:AE123" si="442">$AB123*C123</f>
        <v>310500</v>
      </c>
      <c r="AD123" s="72" t="str">
        <f t="shared" si="442"/>
        <v>1725</v>
      </c>
      <c r="AE123" s="72" t="str">
        <f t="shared" si="442"/>
        <v>1725</v>
      </c>
      <c r="AF123" s="79"/>
      <c r="AG123" s="72">
        <v>2.0</v>
      </c>
      <c r="AH123" s="72" t="str">
        <f t="shared" ref="AH123:AJ123" si="443">$AG123*C123</f>
        <v>41400</v>
      </c>
      <c r="AI123" s="72" t="str">
        <f t="shared" si="443"/>
        <v>230</v>
      </c>
      <c r="AJ123" s="72" t="str">
        <f t="shared" si="443"/>
        <v>230</v>
      </c>
      <c r="AK123" s="79"/>
      <c r="AL123" s="72">
        <v>16.0</v>
      </c>
      <c r="AM123" s="72" t="str">
        <f t="shared" ref="AM123:AO123" si="444">$AL123*C123</f>
        <v>331200</v>
      </c>
      <c r="AN123" s="72" t="str">
        <f t="shared" si="444"/>
        <v>1840</v>
      </c>
      <c r="AO123" s="72" t="str">
        <f t="shared" si="444"/>
        <v>1840</v>
      </c>
      <c r="AP123" s="79"/>
      <c r="AQ123" s="72">
        <v>5.0</v>
      </c>
      <c r="AR123" s="72" t="str">
        <f t="shared" ref="AR123:AT123" si="445">$AQ123*C123</f>
        <v>103500</v>
      </c>
      <c r="AS123" s="72" t="str">
        <f t="shared" si="445"/>
        <v>575</v>
      </c>
      <c r="AT123" s="72" t="str">
        <f t="shared" si="445"/>
        <v>575</v>
      </c>
      <c r="AU123" s="79"/>
      <c r="AV123" s="72" t="str">
        <f t="shared" ref="AV123:AX123" si="446">I123+N123+S123+X123+AC123+AH123+AM123+AR123</f>
        <v>2173500</v>
      </c>
      <c r="AW123" s="72" t="str">
        <f t="shared" si="446"/>
        <v>12075</v>
      </c>
      <c r="AX123" s="72" t="str">
        <f t="shared" si="446"/>
        <v>12075</v>
      </c>
    </row>
    <row r="124">
      <c r="A124" s="11" t="s">
        <v>533</v>
      </c>
      <c r="B124" s="43">
        <v>272155.0</v>
      </c>
      <c r="C124" s="43" t="str">
        <f t="shared" ref="C124:C125" si="457">B124*85%</f>
        <v>231332</v>
      </c>
      <c r="D124" s="43" t="str">
        <f t="shared" si="447"/>
        <v>1361</v>
      </c>
      <c r="E124" s="43">
        <v>10500.0</v>
      </c>
      <c r="F124" s="117"/>
      <c r="G124" s="43">
        <v>42.0</v>
      </c>
      <c r="H124" s="72">
        <v>6.0</v>
      </c>
      <c r="I124" s="72" t="str">
        <f t="shared" ref="I124:K124" si="448">$H124*C124</f>
        <v>1387991</v>
      </c>
      <c r="J124" s="72" t="str">
        <f t="shared" si="448"/>
        <v>8165</v>
      </c>
      <c r="K124" s="72" t="str">
        <f t="shared" si="448"/>
        <v>63000</v>
      </c>
      <c r="L124" s="79"/>
      <c r="M124" s="72">
        <v>0.0</v>
      </c>
      <c r="N124" s="72" t="str">
        <f t="shared" ref="N124:P124" si="449">$M124*C124</f>
        <v>0</v>
      </c>
      <c r="O124" s="72" t="str">
        <f t="shared" si="449"/>
        <v>0</v>
      </c>
      <c r="P124" s="72" t="str">
        <f t="shared" si="449"/>
        <v>0</v>
      </c>
      <c r="Q124" s="79"/>
      <c r="R124" s="72">
        <v>20.0</v>
      </c>
      <c r="S124" s="72" t="str">
        <f t="shared" ref="S124:U124" si="450">$R124*C124</f>
        <v>4626635</v>
      </c>
      <c r="T124" s="72" t="str">
        <f t="shared" si="450"/>
        <v>27216</v>
      </c>
      <c r="U124" s="72" t="str">
        <f t="shared" si="450"/>
        <v>210000</v>
      </c>
      <c r="V124" s="79"/>
      <c r="W124" s="72">
        <v>1.0</v>
      </c>
      <c r="X124" s="72" t="str">
        <f t="shared" ref="X124:Z124" si="451">$W124*C124</f>
        <v>231332</v>
      </c>
      <c r="Y124" s="72" t="str">
        <f t="shared" si="451"/>
        <v>1361</v>
      </c>
      <c r="Z124" s="72" t="str">
        <f t="shared" si="451"/>
        <v>10500</v>
      </c>
      <c r="AA124" s="79"/>
      <c r="AB124" s="72">
        <v>6.0</v>
      </c>
      <c r="AC124" s="72" t="str">
        <f t="shared" ref="AC124:AE124" si="452">$AB124*C124</f>
        <v>1387991</v>
      </c>
      <c r="AD124" s="72" t="str">
        <f t="shared" si="452"/>
        <v>8165</v>
      </c>
      <c r="AE124" s="72" t="str">
        <f t="shared" si="452"/>
        <v>63000</v>
      </c>
      <c r="AF124" s="79"/>
      <c r="AG124" s="72">
        <v>1.0</v>
      </c>
      <c r="AH124" s="72" t="str">
        <f t="shared" ref="AH124:AJ124" si="453">$AG124*C124</f>
        <v>231332</v>
      </c>
      <c r="AI124" s="72" t="str">
        <f t="shared" si="453"/>
        <v>1361</v>
      </c>
      <c r="AJ124" s="72" t="str">
        <f t="shared" si="453"/>
        <v>10500</v>
      </c>
      <c r="AK124" s="79"/>
      <c r="AL124" s="72">
        <v>6.0</v>
      </c>
      <c r="AM124" s="72" t="str">
        <f t="shared" ref="AM124:AO124" si="454">$AL124*C124</f>
        <v>1387991</v>
      </c>
      <c r="AN124" s="72" t="str">
        <f t="shared" si="454"/>
        <v>8165</v>
      </c>
      <c r="AO124" s="72" t="str">
        <f t="shared" si="454"/>
        <v>63000</v>
      </c>
      <c r="AP124" s="79"/>
      <c r="AQ124" s="72">
        <v>2.0</v>
      </c>
      <c r="AR124" s="72" t="str">
        <f t="shared" ref="AR124:AT124" si="455">$AQ124*C124</f>
        <v>462664</v>
      </c>
      <c r="AS124" s="72" t="str">
        <f t="shared" si="455"/>
        <v>2722</v>
      </c>
      <c r="AT124" s="72" t="str">
        <f t="shared" si="455"/>
        <v>21000</v>
      </c>
      <c r="AU124" s="79"/>
      <c r="AV124" s="72" t="str">
        <f t="shared" ref="AV124:AX124" si="456">I124+N124+S124+X124+AC124+AH124+AM124+AR124</f>
        <v>9715934</v>
      </c>
      <c r="AW124" s="72" t="str">
        <f t="shared" si="456"/>
        <v>57153</v>
      </c>
      <c r="AX124" s="72" t="str">
        <f t="shared" si="456"/>
        <v>441000</v>
      </c>
    </row>
    <row r="125">
      <c r="A125" s="11" t="s">
        <v>535</v>
      </c>
      <c r="B125" s="43">
        <v>90718.0</v>
      </c>
      <c r="C125" s="96" t="str">
        <f t="shared" si="457"/>
        <v>77110.3</v>
      </c>
      <c r="D125" s="121" t="str">
        <f t="shared" si="447"/>
        <v>453.59</v>
      </c>
      <c r="E125" s="43">
        <v>3500.0</v>
      </c>
      <c r="F125" s="117"/>
      <c r="G125" s="43">
        <v>31.0</v>
      </c>
      <c r="H125" s="72">
        <v>5.0</v>
      </c>
      <c r="I125" s="72" t="str">
        <f t="shared" ref="I125:K125" si="458">$H125*C125</f>
        <v>385552</v>
      </c>
      <c r="J125" s="72" t="str">
        <f t="shared" si="458"/>
        <v>2268</v>
      </c>
      <c r="K125" s="72" t="str">
        <f t="shared" si="458"/>
        <v>17500</v>
      </c>
      <c r="L125" s="79"/>
      <c r="M125" s="43">
        <v>0.0</v>
      </c>
      <c r="N125" s="72" t="str">
        <f t="shared" ref="N125:P125" si="459">$M125*C125</f>
        <v>0</v>
      </c>
      <c r="O125" s="72" t="str">
        <f t="shared" si="459"/>
        <v>0</v>
      </c>
      <c r="P125" s="72" t="str">
        <f t="shared" si="459"/>
        <v>0</v>
      </c>
      <c r="Q125" s="79"/>
      <c r="R125" s="72">
        <v>26.0</v>
      </c>
      <c r="S125" s="72" t="str">
        <f t="shared" ref="S125:U125" si="460">$R125*C125</f>
        <v>2004868</v>
      </c>
      <c r="T125" s="72" t="str">
        <f t="shared" si="460"/>
        <v>11793</v>
      </c>
      <c r="U125" s="72" t="str">
        <f t="shared" si="460"/>
        <v>91000</v>
      </c>
      <c r="V125" s="79"/>
      <c r="W125" s="43">
        <v>0.0</v>
      </c>
      <c r="X125" s="72" t="str">
        <f t="shared" ref="X125:Z125" si="461">$W125*C125</f>
        <v>0</v>
      </c>
      <c r="Y125" s="72" t="str">
        <f t="shared" si="461"/>
        <v>0</v>
      </c>
      <c r="Z125" s="72" t="str">
        <f t="shared" si="461"/>
        <v>0</v>
      </c>
      <c r="AA125" s="79"/>
      <c r="AB125" s="43">
        <v>0.0</v>
      </c>
      <c r="AC125" s="72" t="str">
        <f t="shared" ref="AC125:AE125" si="462">$AB125*C125</f>
        <v>0</v>
      </c>
      <c r="AD125" s="72" t="str">
        <f t="shared" si="462"/>
        <v>0</v>
      </c>
      <c r="AE125" s="72" t="str">
        <f t="shared" si="462"/>
        <v>0</v>
      </c>
      <c r="AF125" s="79"/>
      <c r="AG125" s="43">
        <v>0.0</v>
      </c>
      <c r="AH125" s="72" t="str">
        <f t="shared" ref="AH125:AJ125" si="463">$AG125*C125</f>
        <v>0</v>
      </c>
      <c r="AI125" s="72" t="str">
        <f t="shared" si="463"/>
        <v>0</v>
      </c>
      <c r="AJ125" s="72" t="str">
        <f t="shared" si="463"/>
        <v>0</v>
      </c>
      <c r="AK125" s="79"/>
      <c r="AL125" s="43">
        <v>0.0</v>
      </c>
      <c r="AM125" s="72" t="str">
        <f t="shared" ref="AM125:AO125" si="464">$AL125*C125</f>
        <v>0</v>
      </c>
      <c r="AN125" s="72" t="str">
        <f t="shared" si="464"/>
        <v>0</v>
      </c>
      <c r="AO125" s="72" t="str">
        <f t="shared" si="464"/>
        <v>0</v>
      </c>
      <c r="AP125" s="79"/>
      <c r="AQ125" s="43">
        <v>0.0</v>
      </c>
      <c r="AR125" s="72" t="str">
        <f t="shared" ref="AR125:AT125" si="465">$AQ125*C125</f>
        <v>0</v>
      </c>
      <c r="AS125" s="72" t="str">
        <f t="shared" si="465"/>
        <v>0</v>
      </c>
      <c r="AT125" s="72" t="str">
        <f t="shared" si="465"/>
        <v>0</v>
      </c>
      <c r="AU125" s="79"/>
      <c r="AV125" s="72" t="str">
        <f t="shared" ref="AV125:AX125" si="466">I125+N125+S125+X125+AC125+AH125+AM125+AR125</f>
        <v>2390419</v>
      </c>
      <c r="AW125" s="72" t="str">
        <f t="shared" si="466"/>
        <v>14061</v>
      </c>
      <c r="AX125" s="72" t="str">
        <f t="shared" si="466"/>
        <v>108500</v>
      </c>
    </row>
    <row r="126">
      <c r="A126" s="11" t="s">
        <v>675</v>
      </c>
      <c r="B126" s="96">
        <v>22.6</v>
      </c>
      <c r="C126" s="121" t="str">
        <f>B126*90%</f>
        <v>20.34</v>
      </c>
      <c r="D126" s="121" t="str">
        <f t="shared" si="447"/>
        <v>0.11</v>
      </c>
      <c r="E126" s="43">
        <v>0.0</v>
      </c>
      <c r="F126" s="117"/>
      <c r="G126" s="43">
        <v>21854.0</v>
      </c>
      <c r="H126" s="72">
        <v>1938.0</v>
      </c>
      <c r="I126" s="72" t="str">
        <f t="shared" ref="I126:K126" si="467">$H126*C126</f>
        <v>39419</v>
      </c>
      <c r="J126" s="72" t="str">
        <f t="shared" si="467"/>
        <v>219</v>
      </c>
      <c r="K126" s="72" t="str">
        <f t="shared" si="467"/>
        <v>0</v>
      </c>
      <c r="L126" s="79"/>
      <c r="M126" s="72">
        <v>720.0</v>
      </c>
      <c r="N126" s="72" t="str">
        <f t="shared" ref="N126:P126" si="468">$M126*C126</f>
        <v>14645</v>
      </c>
      <c r="O126" s="72" t="str">
        <f t="shared" si="468"/>
        <v>81</v>
      </c>
      <c r="P126" s="72" t="str">
        <f t="shared" si="468"/>
        <v>0</v>
      </c>
      <c r="Q126" s="79"/>
      <c r="R126" s="72">
        <v>1586.0</v>
      </c>
      <c r="S126" s="72" t="str">
        <f t="shared" ref="S126:U126" si="469">$R126*C126</f>
        <v>32259</v>
      </c>
      <c r="T126" s="72" t="str">
        <f t="shared" si="469"/>
        <v>179</v>
      </c>
      <c r="U126" s="72" t="str">
        <f t="shared" si="469"/>
        <v>0</v>
      </c>
      <c r="V126" s="79"/>
      <c r="W126" s="72">
        <v>1448.0</v>
      </c>
      <c r="X126" s="72" t="str">
        <f t="shared" ref="X126:Z126" si="470">$W126*C126</f>
        <v>29452</v>
      </c>
      <c r="Y126" s="72" t="str">
        <f t="shared" si="470"/>
        <v>164</v>
      </c>
      <c r="Z126" s="72" t="str">
        <f t="shared" si="470"/>
        <v>0</v>
      </c>
      <c r="AA126" s="79"/>
      <c r="AB126" s="72">
        <v>2557.0</v>
      </c>
      <c r="AC126" s="72" t="str">
        <f t="shared" ref="AC126:AE126" si="471">$AB126*C126</f>
        <v>52009</v>
      </c>
      <c r="AD126" s="72" t="str">
        <f t="shared" si="471"/>
        <v>289</v>
      </c>
      <c r="AE126" s="72" t="str">
        <f t="shared" si="471"/>
        <v>0</v>
      </c>
      <c r="AF126" s="79"/>
      <c r="AG126" s="72">
        <v>1070.0</v>
      </c>
      <c r="AH126" s="72" t="str">
        <f t="shared" ref="AH126:AJ126" si="472">$AG126*C126</f>
        <v>21764</v>
      </c>
      <c r="AI126" s="72" t="str">
        <f t="shared" si="472"/>
        <v>121</v>
      </c>
      <c r="AJ126" s="72" t="str">
        <f t="shared" si="472"/>
        <v>0</v>
      </c>
      <c r="AK126" s="79"/>
      <c r="AL126" s="72">
        <v>1662.0</v>
      </c>
      <c r="AM126" s="72" t="str">
        <f t="shared" ref="AM126:AO126" si="473">$AL126*C126</f>
        <v>33805</v>
      </c>
      <c r="AN126" s="72" t="str">
        <f t="shared" si="473"/>
        <v>188</v>
      </c>
      <c r="AO126" s="72" t="str">
        <f t="shared" si="473"/>
        <v>0</v>
      </c>
      <c r="AP126" s="79"/>
      <c r="AQ126" s="72">
        <v>1873.0</v>
      </c>
      <c r="AR126" s="72" t="str">
        <f t="shared" ref="AR126:AT126" si="474">$AQ126*C126</f>
        <v>38097</v>
      </c>
      <c r="AS126" s="72" t="str">
        <f t="shared" si="474"/>
        <v>212</v>
      </c>
      <c r="AT126" s="72" t="str">
        <f t="shared" si="474"/>
        <v>0</v>
      </c>
      <c r="AU126" s="79"/>
      <c r="AV126" s="72" t="str">
        <f t="shared" ref="AV126:AX126" si="475">I126+N126+S126+X126+AC126+AH126+AM126+AR126</f>
        <v>261450</v>
      </c>
      <c r="AW126" s="72" t="str">
        <f t="shared" si="475"/>
        <v>1453</v>
      </c>
      <c r="AX126" s="72" t="str">
        <f t="shared" si="475"/>
        <v>0</v>
      </c>
    </row>
    <row r="127">
      <c r="A127" s="11" t="s">
        <v>539</v>
      </c>
      <c r="B127" s="43">
        <v>4000.0</v>
      </c>
      <c r="C127" s="43" t="str">
        <f>B127*70%</f>
        <v>2800</v>
      </c>
      <c r="D127" s="43">
        <v>30.0</v>
      </c>
      <c r="E127" s="43">
        <v>63.0</v>
      </c>
      <c r="F127" s="117"/>
      <c r="G127" s="43">
        <v>203.0</v>
      </c>
      <c r="H127" s="72">
        <v>0.0</v>
      </c>
      <c r="I127" s="72" t="str">
        <f t="shared" ref="I127:K127" si="476">$H127*C127</f>
        <v>0</v>
      </c>
      <c r="J127" s="72" t="str">
        <f t="shared" si="476"/>
        <v>0</v>
      </c>
      <c r="K127" s="72" t="str">
        <f t="shared" si="476"/>
        <v>0</v>
      </c>
      <c r="L127" s="79"/>
      <c r="M127" s="72">
        <v>0.0</v>
      </c>
      <c r="N127" s="72" t="str">
        <f t="shared" ref="N127:P127" si="477">$M127*C127</f>
        <v>0</v>
      </c>
      <c r="O127" s="72" t="str">
        <f t="shared" si="477"/>
        <v>0</v>
      </c>
      <c r="P127" s="72" t="str">
        <f t="shared" si="477"/>
        <v>0</v>
      </c>
      <c r="Q127" s="79"/>
      <c r="R127" s="72">
        <v>203.0</v>
      </c>
      <c r="S127" s="72" t="str">
        <f t="shared" ref="S127:U127" si="478">$R127*C127</f>
        <v>568400</v>
      </c>
      <c r="T127" s="72" t="str">
        <f t="shared" si="478"/>
        <v>6090</v>
      </c>
      <c r="U127" s="72" t="str">
        <f t="shared" si="478"/>
        <v>12789</v>
      </c>
      <c r="V127" s="79"/>
      <c r="W127" s="72">
        <v>0.0</v>
      </c>
      <c r="X127" s="72" t="str">
        <f t="shared" ref="X127:Z127" si="479">$W127*C127</f>
        <v>0</v>
      </c>
      <c r="Y127" s="72" t="str">
        <f t="shared" si="479"/>
        <v>0</v>
      </c>
      <c r="Z127" s="72" t="str">
        <f t="shared" si="479"/>
        <v>0</v>
      </c>
      <c r="AA127" s="79"/>
      <c r="AB127" s="72">
        <v>0.0</v>
      </c>
      <c r="AC127" s="72" t="str">
        <f t="shared" ref="AC127:AE127" si="480">$AB127*C127</f>
        <v>0</v>
      </c>
      <c r="AD127" s="72" t="str">
        <f t="shared" si="480"/>
        <v>0</v>
      </c>
      <c r="AE127" s="72" t="str">
        <f t="shared" si="480"/>
        <v>0</v>
      </c>
      <c r="AF127" s="79"/>
      <c r="AG127" s="72">
        <v>0.0</v>
      </c>
      <c r="AH127" s="72" t="str">
        <f t="shared" ref="AH127:AJ127" si="481">$AG127*C127</f>
        <v>0</v>
      </c>
      <c r="AI127" s="72" t="str">
        <f t="shared" si="481"/>
        <v>0</v>
      </c>
      <c r="AJ127" s="72" t="str">
        <f t="shared" si="481"/>
        <v>0</v>
      </c>
      <c r="AK127" s="79"/>
      <c r="AL127" s="72">
        <v>0.0</v>
      </c>
      <c r="AM127" s="72" t="str">
        <f t="shared" ref="AM127:AO127" si="482">$AL127*C127</f>
        <v>0</v>
      </c>
      <c r="AN127" s="72" t="str">
        <f t="shared" si="482"/>
        <v>0</v>
      </c>
      <c r="AO127" s="72" t="str">
        <f t="shared" si="482"/>
        <v>0</v>
      </c>
      <c r="AP127" s="79"/>
      <c r="AQ127" s="72">
        <v>0.0</v>
      </c>
      <c r="AR127" s="72" t="str">
        <f t="shared" ref="AR127:AT127" si="483">$AQ127*C127</f>
        <v>0</v>
      </c>
      <c r="AS127" s="72" t="str">
        <f t="shared" si="483"/>
        <v>0</v>
      </c>
      <c r="AT127" s="72" t="str">
        <f t="shared" si="483"/>
        <v>0</v>
      </c>
      <c r="AU127" s="79"/>
      <c r="AV127" s="72" t="str">
        <f t="shared" ref="AV127:AX127" si="484">I127+N127+S127+X127+AC127+AH127+AM127+AR127</f>
        <v>568400</v>
      </c>
      <c r="AW127" s="72" t="str">
        <f t="shared" si="484"/>
        <v>6090</v>
      </c>
      <c r="AX127" s="72" t="str">
        <f t="shared" si="484"/>
        <v>12789</v>
      </c>
    </row>
    <row r="128">
      <c r="A128" s="11" t="s">
        <v>506</v>
      </c>
      <c r="B128" s="96">
        <v>61.3</v>
      </c>
      <c r="C128" s="96" t="str">
        <f t="shared" ref="C128:C129" si="494">B128*100%</f>
        <v>61.3</v>
      </c>
      <c r="D128" s="43">
        <v>0.0</v>
      </c>
      <c r="E128" s="43">
        <v>0.0</v>
      </c>
      <c r="F128" s="117"/>
      <c r="G128" s="43">
        <v>67713.0</v>
      </c>
      <c r="H128" s="72">
        <v>0.0</v>
      </c>
      <c r="I128" s="72" t="str">
        <f t="shared" ref="I128:K128" si="485">$H128*C128</f>
        <v>0</v>
      </c>
      <c r="J128" s="72" t="str">
        <f t="shared" si="485"/>
        <v>0</v>
      </c>
      <c r="K128" s="72" t="str">
        <f t="shared" si="485"/>
        <v>0</v>
      </c>
      <c r="L128" s="79"/>
      <c r="M128" s="72">
        <v>0.0</v>
      </c>
      <c r="N128" s="72" t="str">
        <f t="shared" ref="N128:P128" si="486">$M128*C128</f>
        <v>0</v>
      </c>
      <c r="O128" s="72" t="str">
        <f t="shared" si="486"/>
        <v>0</v>
      </c>
      <c r="P128" s="72" t="str">
        <f t="shared" si="486"/>
        <v>0</v>
      </c>
      <c r="Q128" s="79"/>
      <c r="R128" s="72">
        <v>67713.0</v>
      </c>
      <c r="S128" s="72" t="str">
        <f t="shared" ref="S128:U128" si="487">$R128*C128</f>
        <v>4150807</v>
      </c>
      <c r="T128" s="72" t="str">
        <f t="shared" si="487"/>
        <v>0</v>
      </c>
      <c r="U128" s="72" t="str">
        <f t="shared" si="487"/>
        <v>0</v>
      </c>
      <c r="V128" s="79"/>
      <c r="W128" s="72">
        <v>0.0</v>
      </c>
      <c r="X128" s="72" t="str">
        <f t="shared" ref="X128:Z128" si="488">$W128*C128</f>
        <v>0</v>
      </c>
      <c r="Y128" s="72" t="str">
        <f t="shared" si="488"/>
        <v>0</v>
      </c>
      <c r="Z128" s="72" t="str">
        <f t="shared" si="488"/>
        <v>0</v>
      </c>
      <c r="AA128" s="79"/>
      <c r="AB128" s="72">
        <v>0.0</v>
      </c>
      <c r="AC128" s="72" t="str">
        <f t="shared" ref="AC128:AE128" si="489">$AB128*C128</f>
        <v>0</v>
      </c>
      <c r="AD128" s="72" t="str">
        <f t="shared" si="489"/>
        <v>0</v>
      </c>
      <c r="AE128" s="72" t="str">
        <f t="shared" si="489"/>
        <v>0</v>
      </c>
      <c r="AF128" s="79"/>
      <c r="AG128" s="72">
        <v>0.0</v>
      </c>
      <c r="AH128" s="72" t="str">
        <f t="shared" ref="AH128:AJ128" si="490">$AG128*C128</f>
        <v>0</v>
      </c>
      <c r="AI128" s="72" t="str">
        <f t="shared" si="490"/>
        <v>0</v>
      </c>
      <c r="AJ128" s="72" t="str">
        <f t="shared" si="490"/>
        <v>0</v>
      </c>
      <c r="AK128" s="79"/>
      <c r="AL128" s="72">
        <v>0.0</v>
      </c>
      <c r="AM128" s="72" t="str">
        <f t="shared" ref="AM128:AO128" si="491">$AL128*C128</f>
        <v>0</v>
      </c>
      <c r="AN128" s="72" t="str">
        <f t="shared" si="491"/>
        <v>0</v>
      </c>
      <c r="AO128" s="72" t="str">
        <f t="shared" si="491"/>
        <v>0</v>
      </c>
      <c r="AP128" s="79"/>
      <c r="AQ128" s="72">
        <v>0.0</v>
      </c>
      <c r="AR128" s="72" t="str">
        <f t="shared" ref="AR128:AT128" si="492">$AQ128*C128</f>
        <v>0</v>
      </c>
      <c r="AS128" s="72" t="str">
        <f t="shared" si="492"/>
        <v>0</v>
      </c>
      <c r="AT128" s="72" t="str">
        <f t="shared" si="492"/>
        <v>0</v>
      </c>
      <c r="AU128" s="79"/>
      <c r="AV128" s="72" t="str">
        <f t="shared" ref="AV128:AX128" si="493">I128+N128+S128+X128+AC128+AH128+AM128+AR128</f>
        <v>4150807</v>
      </c>
      <c r="AW128" s="72" t="str">
        <f t="shared" si="493"/>
        <v>0</v>
      </c>
      <c r="AX128" s="72" t="str">
        <f t="shared" si="493"/>
        <v>0</v>
      </c>
    </row>
    <row r="129">
      <c r="A129" s="11" t="s">
        <v>545</v>
      </c>
      <c r="B129" s="43">
        <v>537059.0</v>
      </c>
      <c r="C129" s="43" t="str">
        <f t="shared" si="494"/>
        <v>537059</v>
      </c>
      <c r="D129" s="43">
        <v>0.0</v>
      </c>
      <c r="E129" s="43">
        <v>0.0</v>
      </c>
      <c r="F129" s="117"/>
      <c r="G129" s="43">
        <v>640.0</v>
      </c>
      <c r="H129" s="72">
        <v>0.0</v>
      </c>
      <c r="I129" s="72" t="str">
        <f t="shared" ref="I129:K129" si="495">$H129*C129</f>
        <v>0</v>
      </c>
      <c r="J129" s="72" t="str">
        <f t="shared" si="495"/>
        <v>0</v>
      </c>
      <c r="K129" s="72" t="str">
        <f t="shared" si="495"/>
        <v>0</v>
      </c>
      <c r="L129" s="79"/>
      <c r="M129" s="72">
        <v>0.0</v>
      </c>
      <c r="N129" s="72" t="str">
        <f t="shared" ref="N129:P129" si="496">$M129*C129</f>
        <v>0</v>
      </c>
      <c r="O129" s="72" t="str">
        <f t="shared" si="496"/>
        <v>0</v>
      </c>
      <c r="P129" s="72" t="str">
        <f t="shared" si="496"/>
        <v>0</v>
      </c>
      <c r="Q129" s="79"/>
      <c r="R129" s="43">
        <v>640.0</v>
      </c>
      <c r="S129" s="72" t="str">
        <f t="shared" ref="S129:U129" si="497">$R129*C129</f>
        <v>343717760</v>
      </c>
      <c r="T129" s="72" t="str">
        <f t="shared" si="497"/>
        <v>0</v>
      </c>
      <c r="U129" s="72" t="str">
        <f t="shared" si="497"/>
        <v>0</v>
      </c>
      <c r="V129" s="79"/>
      <c r="W129" s="72">
        <v>0.0</v>
      </c>
      <c r="X129" s="72" t="str">
        <f t="shared" ref="X129:Z129" si="498">$W129*C129</f>
        <v>0</v>
      </c>
      <c r="Y129" s="72" t="str">
        <f t="shared" si="498"/>
        <v>0</v>
      </c>
      <c r="Z129" s="72" t="str">
        <f t="shared" si="498"/>
        <v>0</v>
      </c>
      <c r="AA129" s="79"/>
      <c r="AB129" s="72">
        <v>0.0</v>
      </c>
      <c r="AC129" s="72" t="str">
        <f t="shared" ref="AC129:AE129" si="499">$AB129*C129</f>
        <v>0</v>
      </c>
      <c r="AD129" s="72" t="str">
        <f t="shared" si="499"/>
        <v>0</v>
      </c>
      <c r="AE129" s="72" t="str">
        <f t="shared" si="499"/>
        <v>0</v>
      </c>
      <c r="AF129" s="79"/>
      <c r="AG129" s="72">
        <v>0.0</v>
      </c>
      <c r="AH129" s="72" t="str">
        <f t="shared" ref="AH129:AJ129" si="500">$AG129*C129</f>
        <v>0</v>
      </c>
      <c r="AI129" s="72" t="str">
        <f t="shared" si="500"/>
        <v>0</v>
      </c>
      <c r="AJ129" s="72" t="str">
        <f t="shared" si="500"/>
        <v>0</v>
      </c>
      <c r="AK129" s="79"/>
      <c r="AL129" s="72">
        <v>0.0</v>
      </c>
      <c r="AM129" s="72" t="str">
        <f t="shared" ref="AM129:AO129" si="501">$AL129*C129</f>
        <v>0</v>
      </c>
      <c r="AN129" s="72" t="str">
        <f t="shared" si="501"/>
        <v>0</v>
      </c>
      <c r="AO129" s="72" t="str">
        <f t="shared" si="501"/>
        <v>0</v>
      </c>
      <c r="AP129" s="79"/>
      <c r="AQ129" s="72">
        <v>0.0</v>
      </c>
      <c r="AR129" s="72" t="str">
        <f t="shared" ref="AR129:AT129" si="502">$AQ129*C129</f>
        <v>0</v>
      </c>
      <c r="AS129" s="72" t="str">
        <f t="shared" si="502"/>
        <v>0</v>
      </c>
      <c r="AT129" s="72" t="str">
        <f t="shared" si="502"/>
        <v>0</v>
      </c>
      <c r="AU129" s="79"/>
      <c r="AV129" s="72" t="str">
        <f t="shared" ref="AV129:AX129" si="503">I129+N129+S129+X129+AC129+AH129+AM129+AR129</f>
        <v>343717760</v>
      </c>
      <c r="AW129" s="72" t="str">
        <f t="shared" si="503"/>
        <v>0</v>
      </c>
      <c r="AX129" s="72" t="str">
        <f t="shared" si="503"/>
        <v>0</v>
      </c>
    </row>
    <row r="130">
      <c r="A130" s="11" t="s">
        <v>558</v>
      </c>
      <c r="B130" s="121">
        <v>907.185</v>
      </c>
      <c r="C130" s="43">
        <v>234961.0</v>
      </c>
      <c r="D130" s="43">
        <v>490.0</v>
      </c>
      <c r="E130" s="43">
        <v>2123.0</v>
      </c>
      <c r="F130" s="117"/>
      <c r="G130" s="43">
        <v>39.0</v>
      </c>
      <c r="H130" s="72">
        <v>2.0</v>
      </c>
      <c r="I130" s="72" t="str">
        <f t="shared" ref="I130:K130" si="504">$H130*C130</f>
        <v>469922</v>
      </c>
      <c r="J130" s="72" t="str">
        <f t="shared" si="504"/>
        <v>980</v>
      </c>
      <c r="K130" s="72" t="str">
        <f t="shared" si="504"/>
        <v>4246</v>
      </c>
      <c r="L130" s="79"/>
      <c r="M130" s="43">
        <v>0.0</v>
      </c>
      <c r="N130" s="72" t="str">
        <f t="shared" ref="N130:P130" si="505">$M130*C130</f>
        <v>0</v>
      </c>
      <c r="O130" s="72" t="str">
        <f t="shared" si="505"/>
        <v>0</v>
      </c>
      <c r="P130" s="72" t="str">
        <f t="shared" si="505"/>
        <v>0</v>
      </c>
      <c r="Q130" s="79"/>
      <c r="R130" s="72">
        <v>28.0</v>
      </c>
      <c r="S130" s="72" t="str">
        <f t="shared" ref="S130:U130" si="506">$R130*C130</f>
        <v>6578908</v>
      </c>
      <c r="T130" s="72" t="str">
        <f t="shared" si="506"/>
        <v>13720</v>
      </c>
      <c r="U130" s="72" t="str">
        <f t="shared" si="506"/>
        <v>59444</v>
      </c>
      <c r="V130" s="79"/>
      <c r="W130" s="43">
        <v>0.0</v>
      </c>
      <c r="X130" s="72" t="str">
        <f t="shared" ref="X130:Z130" si="507">$W130*C130</f>
        <v>0</v>
      </c>
      <c r="Y130" s="72" t="str">
        <f t="shared" si="507"/>
        <v>0</v>
      </c>
      <c r="Z130" s="72" t="str">
        <f t="shared" si="507"/>
        <v>0</v>
      </c>
      <c r="AA130" s="79"/>
      <c r="AB130" s="72">
        <v>9.0</v>
      </c>
      <c r="AC130" s="72" t="str">
        <f t="shared" ref="AC130:AE130" si="508">$AB130*C130</f>
        <v>2114649</v>
      </c>
      <c r="AD130" s="72" t="str">
        <f t="shared" si="508"/>
        <v>4410</v>
      </c>
      <c r="AE130" s="72" t="str">
        <f t="shared" si="508"/>
        <v>19107</v>
      </c>
      <c r="AF130" s="79"/>
      <c r="AG130" s="43">
        <v>0.0</v>
      </c>
      <c r="AH130" s="72" t="str">
        <f t="shared" ref="AH130:AJ130" si="509">$AG130*C130</f>
        <v>0</v>
      </c>
      <c r="AI130" s="72" t="str">
        <f t="shared" si="509"/>
        <v>0</v>
      </c>
      <c r="AJ130" s="72" t="str">
        <f t="shared" si="509"/>
        <v>0</v>
      </c>
      <c r="AK130" s="79"/>
      <c r="AL130" s="43">
        <v>0.0</v>
      </c>
      <c r="AM130" s="72" t="str">
        <f t="shared" ref="AM130:AO130" si="510">$AL130*C130</f>
        <v>0</v>
      </c>
      <c r="AN130" s="72" t="str">
        <f t="shared" si="510"/>
        <v>0</v>
      </c>
      <c r="AO130" s="72" t="str">
        <f t="shared" si="510"/>
        <v>0</v>
      </c>
      <c r="AP130" s="79"/>
      <c r="AQ130" s="43">
        <v>0.0</v>
      </c>
      <c r="AR130" s="72" t="str">
        <f t="shared" ref="AR130:AT130" si="511">$AQ130*C130</f>
        <v>0</v>
      </c>
      <c r="AS130" s="72" t="str">
        <f t="shared" si="511"/>
        <v>0</v>
      </c>
      <c r="AT130" s="72" t="str">
        <f t="shared" si="511"/>
        <v>0</v>
      </c>
      <c r="AU130" s="79"/>
      <c r="AV130" s="72" t="str">
        <f t="shared" ref="AV130:AX130" si="512">I130+N130+S130+X130+AC130+AH130+AM130+AR130</f>
        <v>9163479</v>
      </c>
      <c r="AW130" s="72" t="str">
        <f t="shared" si="512"/>
        <v>19110</v>
      </c>
      <c r="AX130" s="72" t="str">
        <f t="shared" si="512"/>
        <v>82797</v>
      </c>
    </row>
    <row r="131">
      <c r="A131" s="11" t="s">
        <v>564</v>
      </c>
      <c r="B131" s="43">
        <v>900.0</v>
      </c>
      <c r="C131" s="96">
        <v>244.4</v>
      </c>
      <c r="D131" s="96">
        <v>144.7</v>
      </c>
      <c r="E131" s="96">
        <v>124.6</v>
      </c>
      <c r="F131" s="117"/>
      <c r="G131" s="43">
        <v>21346.0</v>
      </c>
      <c r="H131" s="43">
        <v>0.0</v>
      </c>
      <c r="I131" s="72" t="str">
        <f t="shared" ref="I131:K131" si="513">$H131*C131</f>
        <v>0</v>
      </c>
      <c r="J131" s="72" t="str">
        <f t="shared" si="513"/>
        <v>0</v>
      </c>
      <c r="K131" s="72" t="str">
        <f t="shared" si="513"/>
        <v>0</v>
      </c>
      <c r="L131" s="79"/>
      <c r="M131" s="72">
        <v>286.0</v>
      </c>
      <c r="N131" s="72" t="str">
        <f t="shared" ref="N131:P131" si="514">$M131*C131</f>
        <v>69898</v>
      </c>
      <c r="O131" s="72" t="str">
        <f t="shared" si="514"/>
        <v>41384</v>
      </c>
      <c r="P131" s="72" t="str">
        <f t="shared" si="514"/>
        <v>35636</v>
      </c>
      <c r="Q131" s="79"/>
      <c r="R131" s="72">
        <v>2913.0</v>
      </c>
      <c r="S131" s="72" t="str">
        <f t="shared" ref="S131:U131" si="515">$R131*C131</f>
        <v>711937</v>
      </c>
      <c r="T131" s="72" t="str">
        <f t="shared" si="515"/>
        <v>421511</v>
      </c>
      <c r="U131" s="72" t="str">
        <f t="shared" si="515"/>
        <v>362960</v>
      </c>
      <c r="V131" s="79"/>
      <c r="W131" s="72">
        <v>893.0</v>
      </c>
      <c r="X131" s="72" t="str">
        <f t="shared" ref="X131:Z131" si="516">$W131*C131</f>
        <v>218249</v>
      </c>
      <c r="Y131" s="72" t="str">
        <f t="shared" si="516"/>
        <v>129217</v>
      </c>
      <c r="Z131" s="72" t="str">
        <f t="shared" si="516"/>
        <v>111268</v>
      </c>
      <c r="AA131" s="79"/>
      <c r="AB131" s="72">
        <v>9000.0</v>
      </c>
      <c r="AC131" s="72" t="str">
        <f t="shared" ref="AC131:AE131" si="517">$AB131*C131</f>
        <v>2199600</v>
      </c>
      <c r="AD131" s="72" t="str">
        <f t="shared" si="517"/>
        <v>1302300</v>
      </c>
      <c r="AE131" s="72" t="str">
        <f t="shared" si="517"/>
        <v>1121400</v>
      </c>
      <c r="AF131" s="79"/>
      <c r="AG131" s="72">
        <v>71.0</v>
      </c>
      <c r="AH131" s="72" t="str">
        <f t="shared" ref="AH131:AJ131" si="518">$AG131*C131</f>
        <v>17352</v>
      </c>
      <c r="AI131" s="72" t="str">
        <f t="shared" si="518"/>
        <v>10274</v>
      </c>
      <c r="AJ131" s="72" t="str">
        <f t="shared" si="518"/>
        <v>8847</v>
      </c>
      <c r="AK131" s="79"/>
      <c r="AL131" s="72">
        <v>3754.0</v>
      </c>
      <c r="AM131" s="72" t="str">
        <f t="shared" ref="AM131:AO131" si="519">$AL131*C131</f>
        <v>917478</v>
      </c>
      <c r="AN131" s="72" t="str">
        <f t="shared" si="519"/>
        <v>543204</v>
      </c>
      <c r="AO131" s="72" t="str">
        <f t="shared" si="519"/>
        <v>467748</v>
      </c>
      <c r="AP131" s="79"/>
      <c r="AQ131" s="72">
        <v>4429.0</v>
      </c>
      <c r="AR131" s="72" t="str">
        <f t="shared" ref="AR131:AT131" si="520">$AQ131*C131</f>
        <v>1082448</v>
      </c>
      <c r="AS131" s="72" t="str">
        <f t="shared" si="520"/>
        <v>640876</v>
      </c>
      <c r="AT131" s="72" t="str">
        <f t="shared" si="520"/>
        <v>551853</v>
      </c>
      <c r="AU131" s="79"/>
      <c r="AV131" s="72" t="str">
        <f t="shared" ref="AV131:AX131" si="521">I131+N131+S131+X131+AC131+AH131+AM131+AR131</f>
        <v>5216962</v>
      </c>
      <c r="AW131" s="72" t="str">
        <f t="shared" si="521"/>
        <v>3088766</v>
      </c>
      <c r="AX131" s="72" t="str">
        <f t="shared" si="521"/>
        <v>2659712</v>
      </c>
    </row>
    <row r="132">
      <c r="A132" s="11" t="s">
        <v>696</v>
      </c>
      <c r="B132" s="16" t="s">
        <v>49</v>
      </c>
      <c r="C132" s="71">
        <v>5.6591678E7</v>
      </c>
      <c r="D132" s="71">
        <v>1423164.0</v>
      </c>
      <c r="E132" s="71">
        <v>3864667.0</v>
      </c>
      <c r="F132" s="16"/>
      <c r="G132" s="114">
        <v>1.0</v>
      </c>
      <c r="H132" s="122">
        <v>0.102</v>
      </c>
      <c r="I132" s="72" t="str">
        <f t="shared" ref="I132:K132" si="522">$H132*C132</f>
        <v>5772351</v>
      </c>
      <c r="J132" s="72" t="str">
        <f t="shared" si="522"/>
        <v>145163</v>
      </c>
      <c r="K132" s="72" t="str">
        <f t="shared" si="522"/>
        <v>394196</v>
      </c>
      <c r="M132" s="123">
        <v>0.005</v>
      </c>
      <c r="N132" s="72" t="str">
        <f t="shared" ref="N132:P132" si="523">$M132*C132</f>
        <v>282958</v>
      </c>
      <c r="O132" s="72" t="str">
        <f t="shared" si="523"/>
        <v>7116</v>
      </c>
      <c r="P132" s="72" t="str">
        <f t="shared" si="523"/>
        <v>19323</v>
      </c>
      <c r="R132" s="123">
        <v>0.607</v>
      </c>
      <c r="S132" s="72" t="str">
        <f t="shared" ref="S132:U132" si="524">$R132*C132</f>
        <v>34351149</v>
      </c>
      <c r="T132" s="72" t="str">
        <f t="shared" si="524"/>
        <v>863861</v>
      </c>
      <c r="U132" s="72" t="str">
        <f t="shared" si="524"/>
        <v>2345853</v>
      </c>
      <c r="W132" s="123">
        <v>0.065</v>
      </c>
      <c r="X132" s="72" t="str">
        <f t="shared" ref="X132:Z132" si="525">$W132*C132</f>
        <v>3678459</v>
      </c>
      <c r="Y132" s="72" t="str">
        <f t="shared" si="525"/>
        <v>92506</v>
      </c>
      <c r="Z132" s="72" t="str">
        <f t="shared" si="525"/>
        <v>251203</v>
      </c>
      <c r="AB132" s="123">
        <v>0.106</v>
      </c>
      <c r="AC132" s="72" t="str">
        <f t="shared" ref="AC132:AE132" si="526">$AB132*C132</f>
        <v>5998718</v>
      </c>
      <c r="AD132" s="72" t="str">
        <f t="shared" si="526"/>
        <v>150855</v>
      </c>
      <c r="AE132" s="72" t="str">
        <f t="shared" si="526"/>
        <v>409655</v>
      </c>
      <c r="AG132" s="123">
        <v>0.025</v>
      </c>
      <c r="AH132" s="72" t="str">
        <f t="shared" ref="AH132:AJ132" si="527">$AG132*C132</f>
        <v>1414792</v>
      </c>
      <c r="AI132" s="72" t="str">
        <f t="shared" si="527"/>
        <v>35579</v>
      </c>
      <c r="AJ132" s="72" t="str">
        <f t="shared" si="527"/>
        <v>96617</v>
      </c>
      <c r="AL132" s="123">
        <v>0.039</v>
      </c>
      <c r="AM132" s="72" t="str">
        <f t="shared" ref="AM132:AO132" si="528">$AL132*C132</f>
        <v>2207075</v>
      </c>
      <c r="AN132" s="72" t="str">
        <f t="shared" si="528"/>
        <v>55503</v>
      </c>
      <c r="AO132" s="72" t="str">
        <f t="shared" si="528"/>
        <v>150722</v>
      </c>
      <c r="AQ132" s="123">
        <v>0.051</v>
      </c>
      <c r="AR132" s="72" t="str">
        <f t="shared" ref="AR132:AT132" si="529">$AQ132*C132</f>
        <v>2886176</v>
      </c>
      <c r="AS132" s="72" t="str">
        <f t="shared" si="529"/>
        <v>72581</v>
      </c>
      <c r="AT132" s="72" t="str">
        <f t="shared" si="529"/>
        <v>197098</v>
      </c>
      <c r="AV132" s="72" t="str">
        <f t="shared" ref="AV132:AX132" si="530">I132+N132+S132+X132+AC132+AH132+AM132+AR132</f>
        <v>56591678</v>
      </c>
      <c r="AW132" s="72" t="str">
        <f t="shared" si="530"/>
        <v>1423164</v>
      </c>
      <c r="AX132" s="72" t="str">
        <f t="shared" si="530"/>
        <v>3864667</v>
      </c>
    </row>
    <row r="133">
      <c r="A133" s="11" t="s">
        <v>697</v>
      </c>
      <c r="B133" s="16" t="s">
        <v>49</v>
      </c>
      <c r="C133" s="16">
        <v>5.0396731E7</v>
      </c>
      <c r="D133" s="16">
        <v>1088302.0</v>
      </c>
      <c r="E133" s="16">
        <v>2915451.0</v>
      </c>
      <c r="F133" s="16"/>
      <c r="G133" s="114">
        <v>1.0</v>
      </c>
      <c r="H133" s="122">
        <v>0.102</v>
      </c>
      <c r="I133" s="72" t="str">
        <f t="shared" ref="I133:K133" si="531">$H133*C133</f>
        <v>5140467</v>
      </c>
      <c r="J133" s="72" t="str">
        <f t="shared" si="531"/>
        <v>111007</v>
      </c>
      <c r="K133" s="72" t="str">
        <f t="shared" si="531"/>
        <v>297376</v>
      </c>
      <c r="M133" s="123">
        <v>0.005</v>
      </c>
      <c r="N133" s="72" t="str">
        <f t="shared" ref="N133:P133" si="532">$M133*C133</f>
        <v>251984</v>
      </c>
      <c r="O133" s="72" t="str">
        <f t="shared" si="532"/>
        <v>5442</v>
      </c>
      <c r="P133" s="72" t="str">
        <f t="shared" si="532"/>
        <v>14577</v>
      </c>
      <c r="R133" s="123">
        <v>0.607</v>
      </c>
      <c r="S133" s="72" t="str">
        <f t="shared" ref="S133:U133" si="533">$R133*C133</f>
        <v>30590816</v>
      </c>
      <c r="T133" s="72" t="str">
        <f t="shared" si="533"/>
        <v>660599</v>
      </c>
      <c r="U133" s="72" t="str">
        <f t="shared" si="533"/>
        <v>1769679</v>
      </c>
      <c r="W133" s="123">
        <v>0.065</v>
      </c>
      <c r="X133" s="72" t="str">
        <f t="shared" ref="X133:Z133" si="534">$W133*C133</f>
        <v>3275788</v>
      </c>
      <c r="Y133" s="72" t="str">
        <f t="shared" si="534"/>
        <v>70740</v>
      </c>
      <c r="Z133" s="72" t="str">
        <f t="shared" si="534"/>
        <v>189504</v>
      </c>
      <c r="AB133" s="123">
        <v>0.106</v>
      </c>
      <c r="AC133" s="72" t="str">
        <f t="shared" ref="AC133:AE133" si="535">$AB133*C133</f>
        <v>5342053</v>
      </c>
      <c r="AD133" s="72" t="str">
        <f t="shared" si="535"/>
        <v>115360</v>
      </c>
      <c r="AE133" s="72" t="str">
        <f t="shared" si="535"/>
        <v>309038</v>
      </c>
      <c r="AG133" s="123">
        <v>0.025</v>
      </c>
      <c r="AH133" s="72" t="str">
        <f t="shared" ref="AH133:AJ133" si="536">$AG133*C133</f>
        <v>1259918</v>
      </c>
      <c r="AI133" s="72" t="str">
        <f t="shared" si="536"/>
        <v>27208</v>
      </c>
      <c r="AJ133" s="72" t="str">
        <f t="shared" si="536"/>
        <v>72886</v>
      </c>
      <c r="AL133" s="123">
        <v>0.039</v>
      </c>
      <c r="AM133" s="72" t="str">
        <f t="shared" ref="AM133:AO133" si="537">$AL133*C133</f>
        <v>1965473</v>
      </c>
      <c r="AN133" s="72" t="str">
        <f t="shared" si="537"/>
        <v>42444</v>
      </c>
      <c r="AO133" s="72" t="str">
        <f t="shared" si="537"/>
        <v>113703</v>
      </c>
      <c r="AQ133" s="123">
        <v>0.051</v>
      </c>
      <c r="AR133" s="72" t="str">
        <f t="shared" ref="AR133:AT133" si="538">$AQ133*C133</f>
        <v>2570233</v>
      </c>
      <c r="AS133" s="72" t="str">
        <f t="shared" si="538"/>
        <v>55503</v>
      </c>
      <c r="AT133" s="72" t="str">
        <f t="shared" si="538"/>
        <v>148688</v>
      </c>
      <c r="AV133" s="72" t="str">
        <f t="shared" ref="AV133:AX133" si="539">I133+N133+S133+X133+AC133+AH133+AM133+AR133</f>
        <v>50396731</v>
      </c>
      <c r="AW133" s="72" t="str">
        <f t="shared" si="539"/>
        <v>1088302</v>
      </c>
      <c r="AX133" s="72" t="str">
        <f t="shared" si="539"/>
        <v>2915451</v>
      </c>
    </row>
    <row r="134">
      <c r="A134" s="138" t="s">
        <v>618</v>
      </c>
      <c r="B134" s="131"/>
      <c r="C134" s="131"/>
      <c r="D134" s="131"/>
      <c r="E134" s="131"/>
      <c r="F134" s="131"/>
      <c r="G134" s="131"/>
      <c r="H134" s="131"/>
      <c r="I134" s="139" t="str">
        <f t="shared" ref="I134:K134" si="540">sum(I121:I133)</f>
        <v>13846026</v>
      </c>
      <c r="J134" s="139" t="str">
        <f t="shared" si="540"/>
        <v>272166</v>
      </c>
      <c r="K134" s="139" t="str">
        <f t="shared" si="540"/>
        <v>782336</v>
      </c>
      <c r="L134" s="131"/>
      <c r="M134" s="131"/>
      <c r="N134" s="139" t="str">
        <f t="shared" ref="N134:P134" si="541">sum(N121:N133)</f>
        <v>697110</v>
      </c>
      <c r="O134" s="139" t="str">
        <f t="shared" si="541"/>
        <v>54573</v>
      </c>
      <c r="P134" s="139" t="str">
        <f t="shared" si="541"/>
        <v>70347</v>
      </c>
      <c r="Q134" s="131"/>
      <c r="R134" s="131"/>
      <c r="S134" s="139" t="str">
        <f t="shared" ref="S134:U134" si="542">sum(S121:S133)</f>
        <v>428368538</v>
      </c>
      <c r="T134" s="139" t="str">
        <f t="shared" si="542"/>
        <v>2010719</v>
      </c>
      <c r="U134" s="139" t="str">
        <f t="shared" si="542"/>
        <v>4857474</v>
      </c>
      <c r="V134" s="131"/>
      <c r="W134" s="131"/>
      <c r="X134" s="139" t="str">
        <f t="shared" ref="X134:Z134" si="543">sum(X121:X133)</f>
        <v>7512630</v>
      </c>
      <c r="Y134" s="139" t="str">
        <f t="shared" si="543"/>
        <v>294507</v>
      </c>
      <c r="Z134" s="139" t="str">
        <f t="shared" si="543"/>
        <v>563169</v>
      </c>
      <c r="AA134" s="131"/>
      <c r="AB134" s="131"/>
      <c r="AC134" s="139" t="str">
        <f t="shared" ref="AC134:AE134" si="544">sum(AC121:AC133)</f>
        <v>17614245</v>
      </c>
      <c r="AD134" s="139" t="str">
        <f t="shared" si="544"/>
        <v>1584699</v>
      </c>
      <c r="AE134" s="139" t="str">
        <f t="shared" si="544"/>
        <v>1926477</v>
      </c>
      <c r="AF134" s="131"/>
      <c r="AG134" s="131"/>
      <c r="AH134" s="139" t="str">
        <f t="shared" ref="AH134:AJ134" si="545">sum(AH121:AH133)</f>
        <v>3015021</v>
      </c>
      <c r="AI134" s="139" t="str">
        <f t="shared" si="545"/>
        <v>74990</v>
      </c>
      <c r="AJ134" s="139" t="str">
        <f t="shared" si="545"/>
        <v>189428</v>
      </c>
      <c r="AK134" s="131"/>
      <c r="AL134" s="131"/>
      <c r="AM134" s="139" t="str">
        <f t="shared" ref="AM134:AO134" si="546">sum(AM121:AM133)</f>
        <v>6871484</v>
      </c>
      <c r="AN134" s="139" t="str">
        <f t="shared" si="546"/>
        <v>651561</v>
      </c>
      <c r="AO134" s="139" t="str">
        <f t="shared" si="546"/>
        <v>797361</v>
      </c>
      <c r="AP134" s="131"/>
      <c r="AQ134" s="131"/>
      <c r="AR134" s="139" t="str">
        <f t="shared" ref="AR134:AT134" si="547">sum(AR121:AR133)</f>
        <v>7200042</v>
      </c>
      <c r="AS134" s="139" t="str">
        <f t="shared" si="547"/>
        <v>772904</v>
      </c>
      <c r="AT134" s="139" t="str">
        <f t="shared" si="547"/>
        <v>919910</v>
      </c>
      <c r="AU134" s="131"/>
      <c r="AV134" s="139" t="str">
        <f t="shared" ref="AV134:AX134" si="548">sum(AV121:AV133)</f>
        <v>485125095</v>
      </c>
      <c r="AW134" s="139" t="str">
        <f t="shared" si="548"/>
        <v>5716119</v>
      </c>
      <c r="AX134" s="139" t="str">
        <f t="shared" si="548"/>
        <v>10106503</v>
      </c>
      <c r="AY134" s="131"/>
      <c r="AZ134" s="131"/>
      <c r="BA134" s="131"/>
      <c r="BB134" s="131"/>
      <c r="BC134" s="131"/>
    </row>
  </sheetData>
  <mergeCells count="1">
    <mergeCell ref="B1:G1"/>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6.13"/>
    <col customWidth="1" min="5" max="5" width="13.38"/>
    <col customWidth="1" min="6" max="6" width="15.38"/>
  </cols>
  <sheetData>
    <row r="1" ht="39.75" customHeight="1">
      <c r="A1" s="156"/>
      <c r="B1" s="157" t="s">
        <v>698</v>
      </c>
      <c r="D1" s="156"/>
      <c r="E1" s="156"/>
      <c r="F1" s="156"/>
      <c r="G1" s="156"/>
      <c r="H1" s="156"/>
      <c r="I1" s="156"/>
      <c r="J1" s="156"/>
      <c r="K1" s="156"/>
      <c r="L1" s="156"/>
      <c r="M1" s="156"/>
      <c r="N1" s="156"/>
      <c r="O1" s="156"/>
      <c r="P1" s="156"/>
      <c r="Q1" s="156"/>
      <c r="R1" s="156"/>
      <c r="S1" s="156"/>
      <c r="T1" s="156"/>
      <c r="U1" s="156"/>
      <c r="V1" s="156"/>
      <c r="W1" s="156"/>
      <c r="X1" s="156"/>
      <c r="Y1" s="156"/>
      <c r="Z1" s="156"/>
      <c r="AA1" s="156"/>
      <c r="AB1" s="156"/>
      <c r="AC1" s="156"/>
    </row>
    <row r="2">
      <c r="A2" s="158" t="s">
        <v>699</v>
      </c>
      <c r="B2" s="159" t="s">
        <v>700</v>
      </c>
      <c r="C2" s="156"/>
      <c r="D2" s="156"/>
      <c r="E2" s="156"/>
      <c r="F2" s="156"/>
      <c r="G2" s="156"/>
      <c r="H2" s="156"/>
      <c r="I2" s="156"/>
      <c r="J2" s="156"/>
      <c r="K2" s="156"/>
      <c r="L2" s="156"/>
      <c r="M2" s="156"/>
      <c r="N2" s="156"/>
      <c r="O2" s="156"/>
      <c r="P2" s="156"/>
      <c r="Q2" s="156"/>
      <c r="R2" s="156"/>
      <c r="S2" s="156"/>
      <c r="T2" s="156"/>
      <c r="U2" s="156"/>
      <c r="V2" s="156"/>
      <c r="W2" s="156"/>
      <c r="X2" s="156"/>
      <c r="Y2" s="156"/>
      <c r="Z2" s="156"/>
      <c r="AA2" s="156"/>
      <c r="AB2" s="156"/>
      <c r="AC2" s="156"/>
    </row>
    <row r="3">
      <c r="A3" s="160" t="s">
        <v>701</v>
      </c>
      <c r="B3" s="160" t="s">
        <v>636</v>
      </c>
      <c r="C3" s="160" t="s">
        <v>637</v>
      </c>
      <c r="D3" s="160" t="s">
        <v>638</v>
      </c>
      <c r="E3" s="161"/>
      <c r="F3" s="160"/>
      <c r="G3" s="162"/>
      <c r="H3" s="35"/>
      <c r="I3" s="35"/>
      <c r="J3" s="35"/>
      <c r="K3" s="35"/>
      <c r="L3" s="35"/>
      <c r="M3" s="35"/>
      <c r="N3" s="35"/>
      <c r="O3" s="35"/>
      <c r="P3" s="35"/>
      <c r="Q3" s="35"/>
      <c r="R3" s="35"/>
      <c r="S3" s="35"/>
      <c r="T3" s="35"/>
      <c r="U3" s="35"/>
      <c r="V3" s="35"/>
      <c r="W3" s="35"/>
      <c r="X3" s="35"/>
      <c r="Y3" s="35"/>
      <c r="Z3" s="35"/>
      <c r="AA3" s="35"/>
      <c r="AB3" s="35"/>
      <c r="AC3" s="35"/>
    </row>
    <row r="4">
      <c r="A4" s="16" t="s">
        <v>702</v>
      </c>
      <c r="B4" s="79" t="str">
        <f t="shared" ref="B4:D4" si="1">SUM(B107,B124,B149,B183,B210,B252)</f>
        <v>222779</v>
      </c>
      <c r="C4" s="79" t="str">
        <f t="shared" si="1"/>
        <v>27997</v>
      </c>
      <c r="D4" s="79" t="str">
        <f t="shared" si="1"/>
        <v>11945</v>
      </c>
      <c r="E4" s="163"/>
      <c r="F4" s="16"/>
      <c r="G4" s="35"/>
      <c r="H4" s="35"/>
      <c r="I4" s="35"/>
      <c r="J4" s="35"/>
      <c r="K4" s="35"/>
      <c r="L4" s="35"/>
      <c r="M4" s="35"/>
      <c r="N4" s="35"/>
      <c r="O4" s="35"/>
      <c r="P4" s="35"/>
      <c r="Q4" s="35"/>
      <c r="R4" s="35"/>
      <c r="S4" s="35"/>
      <c r="T4" s="35"/>
      <c r="U4" s="35"/>
      <c r="V4" s="35"/>
      <c r="W4" s="35"/>
      <c r="X4" s="35"/>
      <c r="Y4" s="35"/>
      <c r="Z4" s="35"/>
      <c r="AA4" s="35"/>
      <c r="AB4" s="35"/>
      <c r="AC4" s="35"/>
    </row>
    <row r="5">
      <c r="A5" s="16" t="s">
        <v>703</v>
      </c>
      <c r="B5" s="79" t="str">
        <f t="shared" ref="B5:D5" si="2">SUM(B108,B125,B150,B184,B211,B253)</f>
        <v>35516</v>
      </c>
      <c r="C5" s="79" t="str">
        <f t="shared" si="2"/>
        <v>949</v>
      </c>
      <c r="D5" s="79" t="str">
        <f t="shared" si="2"/>
        <v>6172</v>
      </c>
      <c r="E5" s="161"/>
      <c r="F5" s="16"/>
      <c r="G5" s="35"/>
      <c r="H5" s="35"/>
      <c r="I5" s="35"/>
      <c r="J5" s="35"/>
      <c r="K5" s="35"/>
      <c r="L5" s="35"/>
      <c r="M5" s="35"/>
      <c r="N5" s="35"/>
      <c r="O5" s="35"/>
      <c r="P5" s="35"/>
      <c r="Q5" s="35"/>
      <c r="R5" s="35"/>
      <c r="S5" s="35"/>
      <c r="T5" s="35"/>
      <c r="U5" s="35"/>
      <c r="V5" s="35"/>
      <c r="W5" s="35"/>
      <c r="X5" s="35"/>
      <c r="Y5" s="35"/>
      <c r="Z5" s="35"/>
      <c r="AA5" s="35"/>
      <c r="AB5" s="35"/>
      <c r="AC5" s="35"/>
    </row>
    <row r="6">
      <c r="A6" s="16" t="s">
        <v>704</v>
      </c>
      <c r="B6" s="79" t="str">
        <f t="shared" ref="B6:D6" si="3">SUM(B109,B126,B151,B185,B212,B254)</f>
        <v>450117</v>
      </c>
      <c r="C6" s="79" t="str">
        <f t="shared" si="3"/>
        <v>4510</v>
      </c>
      <c r="D6" s="79" t="str">
        <f t="shared" si="3"/>
        <v>5362</v>
      </c>
      <c r="E6" s="161"/>
      <c r="F6" s="16"/>
      <c r="G6" s="35"/>
      <c r="H6" s="35"/>
      <c r="I6" s="35"/>
      <c r="J6" s="35"/>
      <c r="K6" s="35"/>
      <c r="L6" s="35"/>
      <c r="M6" s="35"/>
      <c r="N6" s="35"/>
      <c r="O6" s="35"/>
      <c r="P6" s="35"/>
      <c r="Q6" s="35"/>
      <c r="R6" s="35"/>
      <c r="S6" s="35"/>
      <c r="T6" s="35"/>
      <c r="U6" s="35"/>
      <c r="V6" s="35"/>
      <c r="W6" s="35"/>
      <c r="X6" s="35"/>
      <c r="Y6" s="35"/>
      <c r="Z6" s="35"/>
      <c r="AA6" s="35"/>
      <c r="AB6" s="35"/>
      <c r="AC6" s="35"/>
    </row>
    <row r="7">
      <c r="A7" s="16" t="s">
        <v>705</v>
      </c>
      <c r="B7" s="79" t="str">
        <f t="shared" ref="B7:D7" si="4">SUM(B110,B127,B152,B186,B213,B255)</f>
        <v>47593</v>
      </c>
      <c r="C7" s="79" t="str">
        <f t="shared" si="4"/>
        <v>1374</v>
      </c>
      <c r="D7" s="79" t="str">
        <f t="shared" si="4"/>
        <v>10100</v>
      </c>
      <c r="E7" s="161"/>
      <c r="F7" s="16"/>
      <c r="G7" s="35"/>
      <c r="H7" s="35"/>
      <c r="I7" s="35"/>
      <c r="J7" s="35"/>
      <c r="K7" s="35"/>
      <c r="L7" s="35"/>
      <c r="M7" s="35"/>
      <c r="N7" s="35"/>
      <c r="O7" s="35"/>
      <c r="P7" s="35"/>
      <c r="Q7" s="35"/>
      <c r="R7" s="35"/>
      <c r="S7" s="35"/>
      <c r="T7" s="35"/>
      <c r="U7" s="35"/>
      <c r="V7" s="35"/>
      <c r="W7" s="35"/>
      <c r="X7" s="35"/>
      <c r="Y7" s="35"/>
      <c r="Z7" s="35"/>
      <c r="AA7" s="35"/>
      <c r="AB7" s="35"/>
      <c r="AC7" s="35"/>
    </row>
    <row r="8">
      <c r="A8" s="16" t="s">
        <v>706</v>
      </c>
      <c r="B8" s="79" t="str">
        <f t="shared" ref="B8:D8" si="5">SUM(B111,B128,B153,B187,B214,B256)</f>
        <v>77968</v>
      </c>
      <c r="C8" s="79" t="str">
        <f t="shared" si="5"/>
        <v>3240</v>
      </c>
      <c r="D8" s="79" t="str">
        <f t="shared" si="5"/>
        <v>11968</v>
      </c>
      <c r="E8" s="161"/>
      <c r="F8" s="16"/>
      <c r="G8" s="35"/>
      <c r="H8" s="35"/>
      <c r="I8" s="35"/>
      <c r="J8" s="35"/>
      <c r="K8" s="35"/>
      <c r="L8" s="35"/>
      <c r="M8" s="35"/>
      <c r="N8" s="35"/>
      <c r="O8" s="35"/>
      <c r="P8" s="35"/>
      <c r="Q8" s="35"/>
      <c r="R8" s="35"/>
      <c r="S8" s="35"/>
      <c r="T8" s="35"/>
      <c r="U8" s="35"/>
      <c r="V8" s="35"/>
      <c r="W8" s="35"/>
      <c r="X8" s="35"/>
      <c r="Y8" s="35"/>
      <c r="Z8" s="35"/>
      <c r="AA8" s="35"/>
      <c r="AB8" s="35"/>
      <c r="AC8" s="35"/>
    </row>
    <row r="9">
      <c r="A9" s="16" t="s">
        <v>707</v>
      </c>
      <c r="B9" s="79" t="str">
        <f t="shared" ref="B9:D9" si="6">SUM(B112,B129,B154,B188,B215,B257)</f>
        <v>50291</v>
      </c>
      <c r="C9" s="79" t="str">
        <f t="shared" si="6"/>
        <v>4303</v>
      </c>
      <c r="D9" s="79" t="str">
        <f t="shared" si="6"/>
        <v>10134</v>
      </c>
      <c r="E9" s="161"/>
      <c r="F9" s="16"/>
      <c r="G9" s="35"/>
      <c r="H9" s="35"/>
      <c r="I9" s="35"/>
      <c r="J9" s="35"/>
      <c r="K9" s="35"/>
      <c r="L9" s="35"/>
      <c r="M9" s="35"/>
      <c r="N9" s="35"/>
      <c r="O9" s="35"/>
      <c r="P9" s="35"/>
      <c r="Q9" s="35"/>
      <c r="R9" s="35"/>
      <c r="S9" s="35"/>
      <c r="T9" s="35"/>
      <c r="U9" s="35"/>
      <c r="V9" s="35"/>
      <c r="W9" s="35"/>
      <c r="X9" s="35"/>
      <c r="Y9" s="35"/>
      <c r="Z9" s="35"/>
      <c r="AA9" s="35"/>
      <c r="AB9" s="35"/>
      <c r="AC9" s="35"/>
    </row>
    <row r="10">
      <c r="A10" s="16" t="s">
        <v>708</v>
      </c>
      <c r="B10" s="79" t="str">
        <f t="shared" ref="B10:D10" si="7">SUM(B113,B130,B155,B189,B216,B258)</f>
        <v>58979</v>
      </c>
      <c r="C10" s="79" t="str">
        <f t="shared" si="7"/>
        <v>5779</v>
      </c>
      <c r="D10" s="79" t="str">
        <f t="shared" si="7"/>
        <v>9503</v>
      </c>
      <c r="E10" s="161"/>
      <c r="F10" s="16"/>
      <c r="G10" s="35"/>
      <c r="H10" s="35"/>
      <c r="I10" s="35"/>
      <c r="J10" s="35"/>
      <c r="K10" s="35"/>
      <c r="L10" s="35"/>
      <c r="M10" s="35"/>
      <c r="N10" s="35"/>
      <c r="O10" s="35"/>
      <c r="P10" s="35"/>
      <c r="Q10" s="35"/>
      <c r="R10" s="35"/>
      <c r="S10" s="35"/>
      <c r="T10" s="35"/>
      <c r="U10" s="35"/>
      <c r="V10" s="35"/>
      <c r="W10" s="35"/>
      <c r="X10" s="35"/>
      <c r="Y10" s="35"/>
      <c r="Z10" s="35"/>
      <c r="AA10" s="35"/>
      <c r="AB10" s="35"/>
      <c r="AC10" s="35"/>
    </row>
    <row r="11">
      <c r="A11" s="16" t="s">
        <v>709</v>
      </c>
      <c r="B11" s="79" t="str">
        <f t="shared" ref="B11:D11" si="8">SUM(B88,B131,B156,B190,B217,B259)</f>
        <v>57979</v>
      </c>
      <c r="C11" s="79" t="str">
        <f t="shared" si="8"/>
        <v>5046</v>
      </c>
      <c r="D11" s="79" t="str">
        <f t="shared" si="8"/>
        <v>7465</v>
      </c>
      <c r="E11" s="161"/>
      <c r="F11" s="16"/>
      <c r="G11" s="35"/>
      <c r="H11" s="35"/>
      <c r="I11" s="35"/>
      <c r="J11" s="35"/>
      <c r="K11" s="35"/>
      <c r="L11" s="35"/>
      <c r="M11" s="35"/>
      <c r="N11" s="35"/>
      <c r="O11" s="35"/>
      <c r="P11" s="35"/>
      <c r="Q11" s="35"/>
      <c r="R11" s="35"/>
      <c r="S11" s="35"/>
      <c r="T11" s="35"/>
      <c r="U11" s="35"/>
      <c r="V11" s="35"/>
      <c r="W11" s="35"/>
      <c r="X11" s="35"/>
      <c r="Y11" s="35"/>
      <c r="Z11" s="35"/>
      <c r="AA11" s="35"/>
      <c r="AB11" s="35"/>
      <c r="AC11" s="35"/>
    </row>
    <row r="12">
      <c r="A12" s="16"/>
      <c r="E12" s="161"/>
      <c r="F12" s="35"/>
      <c r="G12" s="35"/>
      <c r="H12" s="35"/>
      <c r="I12" s="35"/>
      <c r="J12" s="35"/>
      <c r="K12" s="35"/>
      <c r="L12" s="35"/>
      <c r="M12" s="35"/>
      <c r="N12" s="35"/>
      <c r="O12" s="35"/>
      <c r="P12" s="35"/>
      <c r="Q12" s="35"/>
      <c r="R12" s="35"/>
      <c r="S12" s="35"/>
      <c r="T12" s="35"/>
      <c r="U12" s="35"/>
      <c r="V12" s="35"/>
      <c r="W12" s="35"/>
      <c r="X12" s="35"/>
      <c r="Y12" s="35"/>
      <c r="Z12" s="35"/>
      <c r="AA12" s="35"/>
      <c r="AB12" s="35"/>
      <c r="AC12" s="35"/>
    </row>
    <row r="13">
      <c r="A13" s="160" t="s">
        <v>710</v>
      </c>
      <c r="B13" s="160" t="s">
        <v>636</v>
      </c>
      <c r="C13" s="160" t="s">
        <v>637</v>
      </c>
      <c r="D13" s="160" t="s">
        <v>638</v>
      </c>
      <c r="E13" s="160"/>
      <c r="F13" s="162"/>
      <c r="G13" s="35"/>
      <c r="H13" s="35"/>
      <c r="I13" s="35"/>
      <c r="J13" s="35"/>
      <c r="K13" s="35"/>
      <c r="L13" s="35"/>
      <c r="M13" s="35"/>
      <c r="N13" s="35"/>
      <c r="O13" s="35"/>
      <c r="P13" s="35"/>
      <c r="Q13" s="35"/>
      <c r="R13" s="35"/>
      <c r="S13" s="35"/>
      <c r="T13" s="35"/>
      <c r="U13" s="35"/>
      <c r="V13" s="35"/>
      <c r="W13" s="35"/>
      <c r="X13" s="35"/>
      <c r="Y13" s="35"/>
      <c r="Z13" s="35"/>
      <c r="AA13" s="35"/>
      <c r="AB13" s="35"/>
      <c r="AC13" s="35"/>
    </row>
    <row r="14">
      <c r="A14" s="16" t="s">
        <v>711</v>
      </c>
      <c r="B14" s="43" t="str">
        <f t="shared" ref="B14:D14" si="9">SUM(B210:B217)</f>
        <v>121233</v>
      </c>
      <c r="C14" s="43" t="str">
        <f t="shared" si="9"/>
        <v>0</v>
      </c>
      <c r="D14" s="43" t="str">
        <f t="shared" si="9"/>
        <v>51667</v>
      </c>
      <c r="E14" s="16"/>
      <c r="F14" s="162"/>
      <c r="G14" s="35"/>
      <c r="H14" s="35"/>
      <c r="I14" s="35"/>
      <c r="J14" s="35"/>
      <c r="K14" s="35"/>
      <c r="L14" s="35"/>
      <c r="M14" s="35"/>
      <c r="N14" s="35"/>
      <c r="O14" s="35"/>
      <c r="P14" s="35"/>
      <c r="Q14" s="35"/>
      <c r="R14" s="35"/>
      <c r="S14" s="35"/>
      <c r="T14" s="35"/>
      <c r="U14" s="35"/>
      <c r="V14" s="35"/>
      <c r="W14" s="35"/>
      <c r="X14" s="35"/>
      <c r="Y14" s="35"/>
      <c r="Z14" s="35"/>
      <c r="AA14" s="35"/>
      <c r="AB14" s="35"/>
      <c r="AC14" s="35"/>
    </row>
    <row r="15">
      <c r="A15" s="16" t="s">
        <v>247</v>
      </c>
      <c r="B15" s="43" t="str">
        <f t="shared" ref="B15:D15" si="10">SUM(B107:B116)</f>
        <v>239231</v>
      </c>
      <c r="C15" s="43" t="str">
        <f t="shared" si="10"/>
        <v>40121</v>
      </c>
      <c r="D15" s="43" t="str">
        <f t="shared" si="10"/>
        <v>8480</v>
      </c>
      <c r="E15" s="16"/>
      <c r="F15" s="162"/>
      <c r="G15" s="35"/>
      <c r="H15" s="35"/>
      <c r="I15" s="35"/>
      <c r="J15" s="35"/>
      <c r="K15" s="35"/>
      <c r="L15" s="35"/>
      <c r="M15" s="35"/>
      <c r="N15" s="35"/>
      <c r="O15" s="35"/>
      <c r="P15" s="35"/>
      <c r="Q15" s="35"/>
      <c r="R15" s="35"/>
      <c r="S15" s="35"/>
      <c r="T15" s="35"/>
      <c r="U15" s="35"/>
      <c r="V15" s="35"/>
      <c r="W15" s="35"/>
      <c r="X15" s="35"/>
      <c r="Y15" s="35"/>
      <c r="Z15" s="35"/>
      <c r="AA15" s="35"/>
      <c r="AB15" s="35"/>
      <c r="AC15" s="35"/>
    </row>
    <row r="16">
      <c r="A16" s="16" t="s">
        <v>712</v>
      </c>
      <c r="B16" s="78" t="str">
        <f>'Data - districts in tons'!AV61</f>
        <v>261.3</v>
      </c>
      <c r="C16" s="78" t="str">
        <f>'Data - districts in tons'!AW61</f>
        <v>0.0</v>
      </c>
      <c r="D16" s="78" t="str">
        <f>'Data - districts in tons'!AX61</f>
        <v>0.7</v>
      </c>
      <c r="E16" s="16"/>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c r="A17" s="16" t="s">
        <v>713</v>
      </c>
      <c r="B17" s="43" t="str">
        <f t="shared" ref="B17:D17" si="11">SUM(B124:B131)</f>
        <v>79575</v>
      </c>
      <c r="C17" s="43" t="str">
        <f t="shared" si="11"/>
        <v>4102</v>
      </c>
      <c r="D17" s="43" t="str">
        <f t="shared" si="11"/>
        <v>3969</v>
      </c>
      <c r="E17" s="16"/>
      <c r="F17" s="162"/>
      <c r="G17" s="35"/>
      <c r="H17" s="35"/>
      <c r="I17" s="35"/>
      <c r="J17" s="35"/>
      <c r="K17" s="35"/>
      <c r="L17" s="35"/>
      <c r="M17" s="35"/>
      <c r="N17" s="35"/>
      <c r="O17" s="35"/>
      <c r="P17" s="35"/>
      <c r="Q17" s="35"/>
      <c r="R17" s="35"/>
      <c r="S17" s="35"/>
      <c r="T17" s="35"/>
      <c r="U17" s="35"/>
      <c r="V17" s="35"/>
      <c r="W17" s="35"/>
      <c r="X17" s="35"/>
      <c r="Y17" s="35"/>
      <c r="Z17" s="35"/>
      <c r="AA17" s="35"/>
      <c r="AB17" s="35"/>
      <c r="AC17" s="35"/>
    </row>
    <row r="18">
      <c r="A18" s="16" t="s">
        <v>714</v>
      </c>
      <c r="B18" s="43" t="str">
        <f t="shared" ref="B18:D18" si="12">SUM(B149:B156)</f>
        <v>56854</v>
      </c>
      <c r="C18" s="43" t="str">
        <f t="shared" si="12"/>
        <v>841</v>
      </c>
      <c r="D18" s="43" t="str">
        <f t="shared" si="12"/>
        <v>414</v>
      </c>
      <c r="E18" s="16"/>
      <c r="F18" s="162"/>
      <c r="G18" s="35"/>
      <c r="H18" s="35"/>
      <c r="I18" s="35"/>
      <c r="J18" s="35"/>
      <c r="K18" s="35"/>
      <c r="L18" s="35"/>
      <c r="M18" s="35"/>
      <c r="N18" s="35"/>
      <c r="O18" s="35"/>
      <c r="P18" s="35"/>
      <c r="Q18" s="35"/>
      <c r="R18" s="35"/>
      <c r="S18" s="35"/>
      <c r="T18" s="35"/>
      <c r="U18" s="35"/>
      <c r="V18" s="35"/>
      <c r="W18" s="35"/>
      <c r="X18" s="35"/>
      <c r="Y18" s="35"/>
      <c r="Z18" s="35"/>
      <c r="AA18" s="35"/>
      <c r="AB18" s="35"/>
      <c r="AC18" s="35"/>
    </row>
    <row r="19">
      <c r="A19" s="16" t="s">
        <v>715</v>
      </c>
      <c r="B19" s="43" t="str">
        <f t="shared" ref="B19:D19" si="13">SUM(B183:B190)</f>
        <v>485126</v>
      </c>
      <c r="C19" s="43" t="str">
        <f t="shared" si="13"/>
        <v>5716</v>
      </c>
      <c r="D19" s="43" t="str">
        <f t="shared" si="13"/>
        <v>10107</v>
      </c>
      <c r="E19" s="16"/>
      <c r="F19" s="162"/>
      <c r="G19" s="35"/>
      <c r="H19" s="35"/>
      <c r="I19" s="35"/>
      <c r="J19" s="35"/>
      <c r="K19" s="35"/>
      <c r="L19" s="35"/>
      <c r="M19" s="35"/>
      <c r="N19" s="35"/>
      <c r="O19" s="35"/>
      <c r="P19" s="35"/>
      <c r="Q19" s="35"/>
      <c r="R19" s="35"/>
      <c r="S19" s="35"/>
      <c r="T19" s="35"/>
      <c r="U19" s="35"/>
      <c r="V19" s="35"/>
      <c r="W19" s="35"/>
      <c r="X19" s="35"/>
      <c r="Y19" s="35"/>
      <c r="Z19" s="35"/>
      <c r="AA19" s="35"/>
      <c r="AB19" s="35"/>
      <c r="AC19" s="35"/>
    </row>
    <row r="20">
      <c r="A20" s="40"/>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row>
    <row r="21">
      <c r="A21" s="158" t="s">
        <v>716</v>
      </c>
      <c r="B21" s="126"/>
      <c r="C21" s="126"/>
      <c r="D21" s="126"/>
      <c r="E21" s="156"/>
      <c r="F21" s="156"/>
      <c r="G21" s="156"/>
      <c r="H21" s="156"/>
      <c r="I21" s="156"/>
      <c r="J21" s="156"/>
      <c r="K21" s="156"/>
      <c r="L21" s="156"/>
      <c r="M21" s="156"/>
      <c r="N21" s="156"/>
      <c r="O21" s="156"/>
      <c r="P21" s="156"/>
      <c r="Q21" s="156"/>
      <c r="R21" s="156"/>
      <c r="S21" s="156"/>
      <c r="T21" s="156"/>
      <c r="U21" s="156"/>
      <c r="V21" s="156"/>
      <c r="W21" s="156"/>
      <c r="X21" s="156"/>
      <c r="Y21" s="156"/>
      <c r="Z21" s="156"/>
      <c r="AA21" s="156"/>
      <c r="AB21" s="156"/>
      <c r="AC21" s="156"/>
    </row>
    <row r="22">
      <c r="A22" s="160" t="s">
        <v>702</v>
      </c>
      <c r="B22" s="160"/>
      <c r="C22" s="160"/>
      <c r="D22" s="160"/>
      <c r="E22" s="160"/>
      <c r="F22" s="160"/>
      <c r="G22" s="160"/>
      <c r="H22" s="160"/>
      <c r="I22" s="160"/>
      <c r="J22" s="160"/>
      <c r="K22" s="160"/>
      <c r="L22" s="160"/>
      <c r="M22" s="160"/>
      <c r="N22" s="160"/>
      <c r="O22" s="160"/>
      <c r="P22" s="160"/>
      <c r="Q22" s="160"/>
      <c r="R22" s="160"/>
      <c r="S22" s="160"/>
      <c r="T22" s="160"/>
      <c r="U22" s="160"/>
      <c r="V22" s="160"/>
      <c r="W22" s="160"/>
      <c r="X22" s="160"/>
      <c r="Y22" s="35"/>
      <c r="Z22" s="35"/>
      <c r="AA22" s="35"/>
      <c r="AB22" s="35"/>
      <c r="AC22" s="35"/>
    </row>
    <row r="23">
      <c r="A23" s="160" t="s">
        <v>710</v>
      </c>
      <c r="B23" s="160" t="s">
        <v>636</v>
      </c>
      <c r="C23" s="160" t="s">
        <v>637</v>
      </c>
      <c r="D23" s="160" t="s">
        <v>638</v>
      </c>
      <c r="E23" s="160"/>
      <c r="F23" s="160"/>
      <c r="G23" s="160"/>
      <c r="H23" s="160"/>
      <c r="I23" s="160"/>
      <c r="J23" s="160"/>
      <c r="K23" s="160"/>
      <c r="L23" s="160"/>
      <c r="M23" s="160"/>
      <c r="N23" s="160"/>
      <c r="O23" s="160"/>
      <c r="P23" s="160"/>
      <c r="Q23" s="160"/>
      <c r="R23" s="160"/>
      <c r="S23" s="160"/>
      <c r="T23" s="160"/>
      <c r="U23" s="160"/>
      <c r="V23" s="160"/>
      <c r="W23" s="160"/>
      <c r="X23" s="160"/>
      <c r="Y23" s="35"/>
      <c r="Z23" s="35"/>
      <c r="AA23" s="35"/>
      <c r="AB23" s="35"/>
      <c r="AC23" s="35"/>
    </row>
    <row r="24">
      <c r="A24" s="16" t="s">
        <v>711</v>
      </c>
      <c r="B24" s="43" t="str">
        <f>B210</f>
        <v>3861</v>
      </c>
      <c r="C24" s="16">
        <v>0.0</v>
      </c>
      <c r="D24" s="43" t="str">
        <f>D210</f>
        <v>5667</v>
      </c>
      <c r="E24" s="16"/>
      <c r="F24" s="16"/>
      <c r="G24" s="16"/>
      <c r="H24" s="16"/>
      <c r="I24" s="16"/>
      <c r="J24" s="16"/>
      <c r="K24" s="16"/>
      <c r="L24" s="16"/>
      <c r="M24" s="16"/>
      <c r="N24" s="16"/>
      <c r="O24" s="16"/>
      <c r="P24" s="16"/>
      <c r="Q24" s="16"/>
      <c r="R24" s="16"/>
      <c r="S24" s="16"/>
      <c r="T24" s="16"/>
      <c r="U24" s="16"/>
      <c r="V24" s="16"/>
      <c r="W24" s="16"/>
      <c r="X24" s="16"/>
      <c r="Y24" s="35"/>
      <c r="Z24" s="35"/>
      <c r="AA24" s="35"/>
      <c r="AB24" s="35"/>
      <c r="AC24" s="35"/>
    </row>
    <row r="25">
      <c r="A25" s="16" t="s">
        <v>247</v>
      </c>
      <c r="B25" s="43" t="str">
        <f t="shared" ref="B25:D25" si="14">B97</f>
        <v>28596</v>
      </c>
      <c r="C25" s="43" t="str">
        <f t="shared" si="14"/>
        <v>4092</v>
      </c>
      <c r="D25" s="43" t="str">
        <f t="shared" si="14"/>
        <v>725</v>
      </c>
      <c r="E25" s="16"/>
      <c r="F25" s="16"/>
      <c r="G25" s="16"/>
      <c r="H25" s="16"/>
      <c r="I25" s="16"/>
      <c r="J25" s="16"/>
      <c r="K25" s="16"/>
      <c r="L25" s="16"/>
      <c r="M25" s="16"/>
      <c r="N25" s="16"/>
      <c r="O25" s="16"/>
      <c r="P25" s="16"/>
      <c r="Q25" s="16"/>
      <c r="R25" s="16"/>
      <c r="S25" s="16"/>
      <c r="T25" s="16"/>
      <c r="U25" s="16"/>
      <c r="V25" s="16"/>
      <c r="W25" s="16"/>
      <c r="X25" s="16"/>
      <c r="Y25" s="35"/>
      <c r="Z25" s="35"/>
      <c r="AA25" s="35"/>
      <c r="AB25" s="35"/>
      <c r="AC25" s="35"/>
    </row>
    <row r="26">
      <c r="A26" s="16" t="s">
        <v>712</v>
      </c>
      <c r="B26" s="78" t="str">
        <f>'Data - districts in tons'!I61</f>
        <v>28.9</v>
      </c>
      <c r="C26" s="78" t="str">
        <f>'Data - districts in tons'!J61</f>
        <v>0.0</v>
      </c>
      <c r="D26" s="78" t="str">
        <f>'Data - districts in tons'!K61</f>
        <v>0.1</v>
      </c>
      <c r="E26" s="16"/>
      <c r="F26" s="78"/>
      <c r="G26" s="78"/>
      <c r="H26" s="78"/>
      <c r="I26" s="16"/>
      <c r="J26" s="78"/>
      <c r="K26" s="78"/>
      <c r="L26" s="78"/>
      <c r="M26" s="16"/>
      <c r="N26" s="78"/>
      <c r="O26" s="78"/>
      <c r="P26" s="78"/>
      <c r="Q26" s="16"/>
      <c r="R26" s="78"/>
      <c r="S26" s="78"/>
      <c r="T26" s="78"/>
      <c r="U26" s="16"/>
      <c r="V26" s="78"/>
      <c r="W26" s="78"/>
      <c r="X26" s="78"/>
      <c r="Y26" s="35"/>
      <c r="Z26" s="35"/>
      <c r="AA26" s="35"/>
      <c r="AB26" s="35"/>
      <c r="AC26" s="35"/>
    </row>
    <row r="27">
      <c r="A27" s="16" t="s">
        <v>713</v>
      </c>
      <c r="B27" s="43" t="str">
        <f t="shared" ref="B27:D27" si="15">B124</f>
        <v>8800</v>
      </c>
      <c r="C27" s="43" t="str">
        <f t="shared" si="15"/>
        <v>454</v>
      </c>
      <c r="D27" s="43" t="str">
        <f t="shared" si="15"/>
        <v>439</v>
      </c>
      <c r="E27" s="16"/>
      <c r="F27" s="16"/>
      <c r="G27" s="16"/>
      <c r="H27" s="16"/>
      <c r="I27" s="16"/>
      <c r="J27" s="16"/>
      <c r="K27" s="16"/>
      <c r="L27" s="16"/>
      <c r="M27" s="16"/>
      <c r="N27" s="16"/>
      <c r="O27" s="16"/>
      <c r="P27" s="16"/>
      <c r="Q27" s="16"/>
      <c r="R27" s="16"/>
      <c r="S27" s="16"/>
      <c r="T27" s="16"/>
      <c r="U27" s="16"/>
      <c r="V27" s="16"/>
      <c r="W27" s="16"/>
      <c r="X27" s="16"/>
      <c r="Y27" s="35"/>
      <c r="Z27" s="35"/>
      <c r="AA27" s="35"/>
      <c r="AB27" s="35"/>
      <c r="AC27" s="35"/>
    </row>
    <row r="28">
      <c r="A28" s="16" t="s">
        <v>714</v>
      </c>
      <c r="B28" s="43" t="str">
        <f t="shared" ref="B28:D28" si="16">B149</f>
        <v>4121</v>
      </c>
      <c r="C28" s="43" t="str">
        <f t="shared" si="16"/>
        <v>57</v>
      </c>
      <c r="D28" s="43" t="str">
        <f t="shared" si="16"/>
        <v>25</v>
      </c>
      <c r="E28" s="16"/>
      <c r="F28" s="16"/>
      <c r="G28" s="16"/>
      <c r="H28" s="16"/>
      <c r="I28" s="16"/>
      <c r="J28" s="16"/>
      <c r="K28" s="16"/>
      <c r="L28" s="16"/>
      <c r="M28" s="16"/>
      <c r="N28" s="16"/>
      <c r="O28" s="16"/>
      <c r="P28" s="16"/>
      <c r="Q28" s="16"/>
      <c r="R28" s="16"/>
      <c r="S28" s="16"/>
      <c r="T28" s="16"/>
      <c r="U28" s="16"/>
      <c r="V28" s="16"/>
      <c r="W28" s="16"/>
      <c r="X28" s="16"/>
      <c r="Y28" s="35"/>
      <c r="Z28" s="35"/>
      <c r="AA28" s="35"/>
      <c r="AB28" s="35"/>
      <c r="AC28" s="35"/>
    </row>
    <row r="29">
      <c r="A29" s="16" t="s">
        <v>715</v>
      </c>
      <c r="B29" s="43" t="str">
        <f t="shared" ref="B29:D29" si="17">B183</f>
        <v>13846</v>
      </c>
      <c r="C29" s="43" t="str">
        <f t="shared" si="17"/>
        <v>272</v>
      </c>
      <c r="D29" s="43" t="str">
        <f t="shared" si="17"/>
        <v>782</v>
      </c>
      <c r="E29" s="16"/>
      <c r="F29" s="16"/>
      <c r="G29" s="16"/>
      <c r="H29" s="16"/>
      <c r="I29" s="16"/>
      <c r="J29" s="16"/>
      <c r="K29" s="16"/>
      <c r="L29" s="16"/>
      <c r="M29" s="16"/>
      <c r="N29" s="16"/>
      <c r="O29" s="16"/>
      <c r="P29" s="16"/>
      <c r="Q29" s="16"/>
      <c r="R29" s="16"/>
      <c r="S29" s="16"/>
      <c r="T29" s="16"/>
      <c r="U29" s="16"/>
      <c r="V29" s="16"/>
      <c r="W29" s="16"/>
      <c r="X29" s="16"/>
      <c r="Y29" s="35"/>
      <c r="Z29" s="35"/>
      <c r="AA29" s="35"/>
      <c r="AB29" s="35"/>
      <c r="AC29" s="35"/>
    </row>
    <row r="30">
      <c r="A30" s="40"/>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c r="A31" s="163" t="s">
        <v>703</v>
      </c>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c r="A32" s="160" t="s">
        <v>710</v>
      </c>
      <c r="B32" s="160" t="s">
        <v>636</v>
      </c>
      <c r="C32" s="160" t="s">
        <v>637</v>
      </c>
      <c r="D32" s="160" t="s">
        <v>638</v>
      </c>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c r="A33" s="16" t="s">
        <v>711</v>
      </c>
      <c r="B33" s="43" t="str">
        <f>B211</f>
        <v>12078</v>
      </c>
      <c r="C33" s="16">
        <v>0.0</v>
      </c>
      <c r="D33" s="43" t="str">
        <f>D211</f>
        <v>5532</v>
      </c>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c r="A34" s="16" t="s">
        <v>247</v>
      </c>
      <c r="B34" s="43" t="str">
        <f t="shared" ref="B34:D34" si="18">B98</f>
        <v>20228</v>
      </c>
      <c r="C34" s="43" t="str">
        <f t="shared" si="18"/>
        <v>2904</v>
      </c>
      <c r="D34" s="43" t="str">
        <f t="shared" si="18"/>
        <v>512</v>
      </c>
      <c r="E34" s="16"/>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c r="A35" s="16" t="s">
        <v>712</v>
      </c>
      <c r="B35" s="78" t="str">
        <f>'Data - districts in tons'!N61</f>
        <v>28.0</v>
      </c>
      <c r="C35" s="78" t="str">
        <f>'Data - districts in tons'!O61</f>
        <v>0.0</v>
      </c>
      <c r="D35" s="78" t="str">
        <f>'Data - districts in tons'!P61</f>
        <v>0.1</v>
      </c>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c r="A36" s="16" t="s">
        <v>713</v>
      </c>
      <c r="B36" s="43" t="str">
        <f t="shared" ref="B36:D36" si="19">B125</f>
        <v>8538</v>
      </c>
      <c r="C36" s="43" t="str">
        <f t="shared" si="19"/>
        <v>440</v>
      </c>
      <c r="D36" s="43" t="str">
        <f t="shared" si="19"/>
        <v>426</v>
      </c>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c r="A37" s="16" t="s">
        <v>714</v>
      </c>
      <c r="B37" s="43" t="str">
        <f t="shared" ref="B37:D37" si="20">B150</f>
        <v>12150</v>
      </c>
      <c r="C37" s="43" t="str">
        <f t="shared" si="20"/>
        <v>171</v>
      </c>
      <c r="D37" s="43" t="str">
        <f t="shared" si="20"/>
        <v>91</v>
      </c>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c r="A38" s="16" t="s">
        <v>715</v>
      </c>
      <c r="B38" s="43" t="str">
        <f t="shared" ref="B38:D38" si="21">B184</f>
        <v>697</v>
      </c>
      <c r="C38" s="43" t="str">
        <f t="shared" si="21"/>
        <v>55</v>
      </c>
      <c r="D38" s="43" t="str">
        <f t="shared" si="21"/>
        <v>70</v>
      </c>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c r="A39" s="16"/>
      <c r="B39" s="16"/>
      <c r="C39" s="16"/>
      <c r="D39" s="16"/>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c r="A40" s="163" t="s">
        <v>704</v>
      </c>
      <c r="B40" s="78"/>
      <c r="C40" s="78"/>
      <c r="D40" s="78"/>
      <c r="E40" s="163"/>
      <c r="F40" s="35"/>
      <c r="G40" s="35"/>
      <c r="H40" s="35"/>
      <c r="I40" s="163"/>
      <c r="J40" s="35"/>
      <c r="K40" s="35"/>
      <c r="L40" s="35"/>
      <c r="M40" s="163"/>
      <c r="N40" s="35"/>
      <c r="O40" s="35"/>
      <c r="P40" s="35"/>
      <c r="Q40" s="163"/>
      <c r="R40" s="35"/>
      <c r="S40" s="35"/>
      <c r="T40" s="35"/>
      <c r="U40" s="163"/>
      <c r="V40" s="35"/>
      <c r="W40" s="35"/>
      <c r="X40" s="35"/>
      <c r="Y40" s="35"/>
      <c r="Z40" s="35"/>
      <c r="AA40" s="35"/>
      <c r="AB40" s="35"/>
      <c r="AC40" s="35"/>
    </row>
    <row r="41">
      <c r="A41" s="160" t="s">
        <v>710</v>
      </c>
      <c r="B41" s="160" t="s">
        <v>636</v>
      </c>
      <c r="C41" s="160" t="s">
        <v>637</v>
      </c>
      <c r="D41" s="160" t="s">
        <v>638</v>
      </c>
      <c r="E41" s="160"/>
      <c r="F41" s="160"/>
      <c r="G41" s="160"/>
      <c r="H41" s="160"/>
      <c r="I41" s="160"/>
      <c r="J41" s="160"/>
      <c r="K41" s="160"/>
      <c r="L41" s="160"/>
      <c r="M41" s="160"/>
      <c r="N41" s="160"/>
      <c r="O41" s="160"/>
      <c r="P41" s="160"/>
      <c r="Q41" s="160"/>
      <c r="R41" s="160"/>
      <c r="S41" s="160"/>
      <c r="T41" s="160"/>
      <c r="U41" s="160"/>
      <c r="V41" s="160"/>
      <c r="W41" s="160"/>
      <c r="X41" s="160"/>
      <c r="Y41" s="35"/>
      <c r="Z41" s="35"/>
      <c r="AA41" s="35"/>
      <c r="AB41" s="35"/>
      <c r="AC41" s="35"/>
    </row>
    <row r="42">
      <c r="A42" s="16" t="s">
        <v>711</v>
      </c>
      <c r="B42" s="43" t="str">
        <f>B212</f>
        <v>4008</v>
      </c>
      <c r="C42" s="16">
        <v>0.0</v>
      </c>
      <c r="D42" s="43" t="str">
        <f>D212</f>
        <v>52</v>
      </c>
      <c r="E42" s="16"/>
      <c r="F42" s="16"/>
      <c r="G42" s="16"/>
      <c r="H42" s="16"/>
      <c r="I42" s="16"/>
      <c r="J42" s="16"/>
      <c r="K42" s="16"/>
      <c r="L42" s="16"/>
      <c r="M42" s="16"/>
      <c r="N42" s="16"/>
      <c r="O42" s="16"/>
      <c r="P42" s="16"/>
      <c r="Q42" s="16"/>
      <c r="R42" s="16"/>
      <c r="S42" s="16"/>
      <c r="T42" s="16"/>
      <c r="U42" s="16"/>
      <c r="V42" s="16"/>
      <c r="W42" s="16"/>
      <c r="X42" s="16"/>
      <c r="Y42" s="35"/>
      <c r="Z42" s="35"/>
      <c r="AA42" s="35"/>
      <c r="AB42" s="35"/>
      <c r="AC42" s="35"/>
    </row>
    <row r="43">
      <c r="A43" s="16" t="s">
        <v>247</v>
      </c>
      <c r="B43" s="43" t="str">
        <f t="shared" ref="B43:D43" si="22">B99</f>
        <v>6675</v>
      </c>
      <c r="C43" s="43" t="str">
        <f t="shared" si="22"/>
        <v>680</v>
      </c>
      <c r="D43" s="43" t="str">
        <f t="shared" si="22"/>
        <v>114</v>
      </c>
      <c r="E43" s="16"/>
      <c r="F43" s="16"/>
      <c r="G43" s="16"/>
      <c r="H43" s="16"/>
      <c r="I43" s="16"/>
      <c r="J43" s="16"/>
      <c r="K43" s="16"/>
      <c r="L43" s="16"/>
      <c r="M43" s="16"/>
      <c r="N43" s="16"/>
      <c r="O43" s="16"/>
      <c r="P43" s="16"/>
      <c r="Q43" s="16"/>
      <c r="R43" s="16"/>
      <c r="S43" s="16"/>
      <c r="T43" s="16"/>
      <c r="U43" s="16"/>
      <c r="V43" s="16"/>
      <c r="W43" s="16"/>
      <c r="X43" s="16"/>
      <c r="Y43" s="35"/>
      <c r="Z43" s="35"/>
      <c r="AA43" s="35"/>
      <c r="AB43" s="35"/>
      <c r="AC43" s="35"/>
    </row>
    <row r="44">
      <c r="A44" s="16" t="s">
        <v>712</v>
      </c>
      <c r="B44" s="78" t="str">
        <f>'Data - districts in tons'!S61</f>
        <v>0.2</v>
      </c>
      <c r="C44" s="78" t="str">
        <f>'Data - districts in tons'!T61</f>
        <v>0.0</v>
      </c>
      <c r="D44" s="78" t="str">
        <f>'Data - districts in tons'!U61</f>
        <v>0.0</v>
      </c>
      <c r="E44" s="16"/>
      <c r="F44" s="78"/>
      <c r="G44" s="78"/>
      <c r="H44" s="78"/>
      <c r="I44" s="16"/>
      <c r="J44" s="78"/>
      <c r="K44" s="78"/>
      <c r="L44" s="78"/>
      <c r="M44" s="16"/>
      <c r="N44" s="78"/>
      <c r="O44" s="78"/>
      <c r="P44" s="78"/>
      <c r="Q44" s="16"/>
      <c r="R44" s="78"/>
      <c r="S44" s="78"/>
      <c r="T44" s="78"/>
      <c r="U44" s="16"/>
      <c r="V44" s="78"/>
      <c r="W44" s="78"/>
      <c r="X44" s="78"/>
      <c r="Y44" s="35"/>
      <c r="Z44" s="35"/>
      <c r="AA44" s="35"/>
      <c r="AB44" s="35"/>
      <c r="AC44" s="35"/>
    </row>
    <row r="45">
      <c r="A45" s="16" t="s">
        <v>713</v>
      </c>
      <c r="B45" s="43" t="str">
        <f t="shared" ref="B45:D45" si="23">B126</f>
        <v>48</v>
      </c>
      <c r="C45" s="43" t="str">
        <f t="shared" si="23"/>
        <v>2</v>
      </c>
      <c r="D45" s="43" t="str">
        <f t="shared" si="23"/>
        <v>2</v>
      </c>
      <c r="E45" s="16"/>
      <c r="F45" s="16"/>
      <c r="G45" s="16"/>
      <c r="H45" s="16"/>
      <c r="I45" s="16"/>
      <c r="J45" s="16"/>
      <c r="K45" s="16"/>
      <c r="L45" s="16"/>
      <c r="M45" s="16"/>
      <c r="N45" s="16"/>
      <c r="O45" s="16"/>
      <c r="P45" s="16"/>
      <c r="Q45" s="16"/>
      <c r="R45" s="16"/>
      <c r="S45" s="16"/>
      <c r="T45" s="16"/>
      <c r="U45" s="16"/>
      <c r="V45" s="16"/>
      <c r="W45" s="16"/>
      <c r="X45" s="16"/>
      <c r="Y45" s="35"/>
      <c r="Z45" s="35"/>
      <c r="AA45" s="35"/>
      <c r="AB45" s="35"/>
      <c r="AC45" s="35"/>
    </row>
    <row r="46">
      <c r="A46" s="16" t="s">
        <v>714</v>
      </c>
      <c r="B46" s="43" t="str">
        <f t="shared" ref="B46:D46" si="24">B151</f>
        <v>884</v>
      </c>
      <c r="C46" s="43" t="str">
        <f t="shared" si="24"/>
        <v>16</v>
      </c>
      <c r="D46" s="43" t="str">
        <f t="shared" si="24"/>
        <v>10</v>
      </c>
      <c r="E46" s="16"/>
      <c r="F46" s="16"/>
      <c r="G46" s="16"/>
      <c r="H46" s="16"/>
      <c r="I46" s="16"/>
      <c r="J46" s="16"/>
      <c r="K46" s="16"/>
      <c r="L46" s="16"/>
      <c r="M46" s="16"/>
      <c r="N46" s="16"/>
      <c r="O46" s="16"/>
      <c r="P46" s="16"/>
      <c r="Q46" s="16"/>
      <c r="R46" s="16"/>
      <c r="S46" s="16"/>
      <c r="T46" s="16"/>
      <c r="U46" s="16"/>
      <c r="V46" s="16"/>
      <c r="W46" s="16"/>
      <c r="X46" s="16"/>
      <c r="Y46" s="35"/>
      <c r="Z46" s="35"/>
      <c r="AA46" s="35"/>
      <c r="AB46" s="35"/>
      <c r="AC46" s="35"/>
    </row>
    <row r="47">
      <c r="A47" s="16" t="s">
        <v>715</v>
      </c>
      <c r="B47" s="43" t="str">
        <f t="shared" ref="B47:D47" si="25">B185</f>
        <v>428369</v>
      </c>
      <c r="C47" s="43" t="str">
        <f t="shared" si="25"/>
        <v>2011</v>
      </c>
      <c r="D47" s="43" t="str">
        <f t="shared" si="25"/>
        <v>4857</v>
      </c>
      <c r="E47" s="16"/>
      <c r="F47" s="16"/>
      <c r="G47" s="16"/>
      <c r="H47" s="16"/>
      <c r="I47" s="16"/>
      <c r="J47" s="16"/>
      <c r="K47" s="16"/>
      <c r="L47" s="16"/>
      <c r="M47" s="16"/>
      <c r="N47" s="16"/>
      <c r="O47" s="16"/>
      <c r="P47" s="16"/>
      <c r="Q47" s="16"/>
      <c r="R47" s="16"/>
      <c r="S47" s="16"/>
      <c r="T47" s="16"/>
      <c r="U47" s="16"/>
      <c r="V47" s="16"/>
      <c r="W47" s="16"/>
      <c r="X47" s="16"/>
      <c r="Y47" s="35"/>
      <c r="Z47" s="35"/>
      <c r="AA47" s="35"/>
      <c r="AB47" s="35"/>
      <c r="AC47" s="35"/>
    </row>
    <row r="48">
      <c r="A48" s="16"/>
      <c r="B48" s="16"/>
      <c r="C48" s="16"/>
      <c r="D48" s="16"/>
      <c r="E48" s="35"/>
      <c r="F48" s="35"/>
      <c r="G48" s="35"/>
      <c r="H48" s="35"/>
      <c r="I48" s="35"/>
      <c r="J48" s="35"/>
      <c r="K48" s="35"/>
      <c r="L48" s="35"/>
      <c r="M48" s="35"/>
      <c r="N48" s="35"/>
      <c r="O48" s="35"/>
      <c r="P48" s="35"/>
      <c r="Q48" s="35"/>
      <c r="R48" s="35"/>
      <c r="S48" s="35"/>
      <c r="T48" s="35"/>
      <c r="U48" s="35"/>
      <c r="V48" s="35"/>
      <c r="W48" s="35"/>
      <c r="X48" s="35"/>
      <c r="Y48" s="35"/>
      <c r="Z48" s="35"/>
      <c r="AA48" s="35"/>
      <c r="AB48" s="35"/>
      <c r="AC48" s="35"/>
    </row>
    <row r="49">
      <c r="A49" s="163" t="s">
        <v>705</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row>
    <row r="50">
      <c r="A50" s="160" t="s">
        <v>710</v>
      </c>
      <c r="B50" s="160" t="s">
        <v>636</v>
      </c>
      <c r="C50" s="160" t="s">
        <v>637</v>
      </c>
      <c r="D50" s="160" t="s">
        <v>638</v>
      </c>
      <c r="E50" s="35"/>
      <c r="F50" s="35"/>
      <c r="G50" s="35"/>
      <c r="H50" s="35"/>
      <c r="I50" s="35"/>
      <c r="J50" s="35"/>
      <c r="K50" s="35"/>
      <c r="L50" s="35"/>
      <c r="M50" s="35"/>
      <c r="N50" s="35"/>
      <c r="O50" s="35"/>
      <c r="P50" s="35"/>
      <c r="Q50" s="35"/>
      <c r="R50" s="35"/>
      <c r="S50" s="35"/>
      <c r="T50" s="35"/>
      <c r="U50" s="35"/>
      <c r="V50" s="35"/>
      <c r="W50" s="35"/>
      <c r="X50" s="35"/>
      <c r="Y50" s="35"/>
      <c r="Z50" s="35"/>
      <c r="AA50" s="35"/>
      <c r="AB50" s="35"/>
      <c r="AC50" s="35"/>
    </row>
    <row r="51">
      <c r="A51" s="16" t="s">
        <v>711</v>
      </c>
      <c r="B51" s="43" t="str">
        <f>B213</f>
        <v>11452</v>
      </c>
      <c r="C51" s="16">
        <v>0.0</v>
      </c>
      <c r="D51" s="43" t="str">
        <f>D213</f>
        <v>8791</v>
      </c>
      <c r="E51" s="35"/>
      <c r="F51" s="35"/>
      <c r="G51" s="35"/>
      <c r="H51" s="35"/>
      <c r="I51" s="35"/>
      <c r="J51" s="35"/>
      <c r="K51" s="35"/>
      <c r="L51" s="35"/>
      <c r="M51" s="35"/>
      <c r="N51" s="35"/>
      <c r="O51" s="35"/>
      <c r="P51" s="35"/>
      <c r="Q51" s="35"/>
      <c r="R51" s="35"/>
      <c r="S51" s="35"/>
      <c r="T51" s="35"/>
      <c r="U51" s="35"/>
      <c r="V51" s="35"/>
      <c r="W51" s="35"/>
      <c r="X51" s="35"/>
      <c r="Y51" s="35"/>
      <c r="Z51" s="35"/>
      <c r="AA51" s="35"/>
      <c r="AB51" s="35"/>
      <c r="AC51" s="35"/>
    </row>
    <row r="52">
      <c r="A52" s="16" t="s">
        <v>247</v>
      </c>
      <c r="B52" s="43" t="str">
        <f t="shared" ref="B52:D52" si="26">B100</f>
        <v>30151</v>
      </c>
      <c r="C52" s="43" t="str">
        <f t="shared" si="26"/>
        <v>4361</v>
      </c>
      <c r="D52" s="43" t="str">
        <f t="shared" si="26"/>
        <v>770</v>
      </c>
      <c r="E52" s="35"/>
      <c r="F52" s="35"/>
      <c r="G52" s="35"/>
      <c r="H52" s="35"/>
      <c r="I52" s="35"/>
      <c r="J52" s="35"/>
      <c r="K52" s="35"/>
      <c r="L52" s="35"/>
      <c r="M52" s="35"/>
      <c r="N52" s="35"/>
      <c r="O52" s="35"/>
      <c r="P52" s="35"/>
      <c r="Q52" s="35"/>
      <c r="R52" s="35"/>
      <c r="S52" s="35"/>
      <c r="T52" s="35"/>
      <c r="U52" s="35"/>
      <c r="V52" s="35"/>
      <c r="W52" s="35"/>
      <c r="X52" s="35"/>
      <c r="Y52" s="35"/>
      <c r="Z52" s="35"/>
      <c r="AA52" s="35"/>
      <c r="AB52" s="35"/>
      <c r="AC52" s="35"/>
    </row>
    <row r="53">
      <c r="A53" s="16" t="s">
        <v>712</v>
      </c>
      <c r="B53" s="78" t="str">
        <f>'Data - districts in tons'!X61</f>
        <v>44.7</v>
      </c>
      <c r="C53" s="78" t="str">
        <f>'Data - districts in tons'!Y61</f>
        <v>0.0</v>
      </c>
      <c r="D53" s="78" t="str">
        <f>'Data - districts in tons'!Z61</f>
        <v>0.1</v>
      </c>
      <c r="E53" s="35"/>
      <c r="F53" s="35"/>
      <c r="G53" s="35"/>
      <c r="H53" s="35"/>
      <c r="I53" s="35"/>
      <c r="J53" s="35"/>
      <c r="K53" s="35"/>
      <c r="L53" s="35"/>
      <c r="M53" s="35"/>
      <c r="N53" s="35"/>
      <c r="O53" s="35"/>
      <c r="P53" s="35"/>
      <c r="Q53" s="35"/>
      <c r="R53" s="35"/>
      <c r="S53" s="35"/>
      <c r="T53" s="35"/>
      <c r="U53" s="35"/>
      <c r="V53" s="35"/>
      <c r="W53" s="35"/>
      <c r="X53" s="35"/>
      <c r="Y53" s="35"/>
      <c r="Z53" s="35"/>
      <c r="AA53" s="35"/>
      <c r="AB53" s="35"/>
      <c r="AC53" s="35"/>
    </row>
    <row r="54">
      <c r="A54" s="16" t="s">
        <v>713</v>
      </c>
      <c r="B54" s="43" t="str">
        <f t="shared" ref="B54:D54" si="27">B127</f>
        <v>13606</v>
      </c>
      <c r="C54" s="43" t="str">
        <f t="shared" si="27"/>
        <v>701</v>
      </c>
      <c r="D54" s="43" t="str">
        <f t="shared" si="27"/>
        <v>679</v>
      </c>
      <c r="E54" s="35"/>
      <c r="F54" s="35"/>
      <c r="G54" s="35"/>
      <c r="H54" s="35"/>
      <c r="I54" s="35"/>
      <c r="J54" s="35"/>
      <c r="K54" s="35"/>
      <c r="L54" s="35"/>
      <c r="M54" s="35"/>
      <c r="N54" s="35"/>
      <c r="O54" s="35"/>
      <c r="P54" s="35"/>
      <c r="Q54" s="35"/>
      <c r="R54" s="35"/>
      <c r="S54" s="35"/>
      <c r="T54" s="35"/>
      <c r="U54" s="35"/>
      <c r="V54" s="35"/>
      <c r="W54" s="35"/>
      <c r="X54" s="35"/>
      <c r="Y54" s="35"/>
      <c r="Z54" s="35"/>
      <c r="AA54" s="35"/>
      <c r="AB54" s="35"/>
      <c r="AC54" s="35"/>
    </row>
    <row r="55">
      <c r="A55" s="16" t="s">
        <v>714</v>
      </c>
      <c r="B55" s="43" t="str">
        <f t="shared" ref="B55:D55" si="28">B152</f>
        <v>6394</v>
      </c>
      <c r="C55" s="43" t="str">
        <f t="shared" si="28"/>
        <v>91</v>
      </c>
      <c r="D55" s="43" t="str">
        <f t="shared" si="28"/>
        <v>45</v>
      </c>
      <c r="E55" s="35"/>
      <c r="F55" s="35"/>
      <c r="G55" s="35"/>
      <c r="H55" s="35"/>
      <c r="I55" s="35"/>
      <c r="J55" s="35"/>
      <c r="K55" s="35"/>
      <c r="L55" s="35"/>
      <c r="M55" s="35"/>
      <c r="N55" s="35"/>
      <c r="O55" s="35"/>
      <c r="P55" s="35"/>
      <c r="Q55" s="35"/>
      <c r="R55" s="35"/>
      <c r="S55" s="35"/>
      <c r="T55" s="35"/>
      <c r="U55" s="35"/>
      <c r="V55" s="35"/>
      <c r="W55" s="35"/>
      <c r="X55" s="35"/>
      <c r="Y55" s="35"/>
      <c r="Z55" s="35"/>
      <c r="AA55" s="35"/>
      <c r="AB55" s="35"/>
      <c r="AC55" s="35"/>
    </row>
    <row r="56">
      <c r="A56" s="16" t="s">
        <v>715</v>
      </c>
      <c r="B56" s="43" t="str">
        <f t="shared" ref="B56:D56" si="29">B186</f>
        <v>7513</v>
      </c>
      <c r="C56" s="43" t="str">
        <f t="shared" si="29"/>
        <v>295</v>
      </c>
      <c r="D56" s="43" t="str">
        <f t="shared" si="29"/>
        <v>563</v>
      </c>
      <c r="E56" s="35"/>
      <c r="F56" s="35"/>
      <c r="G56" s="35"/>
      <c r="H56" s="35"/>
      <c r="I56" s="35"/>
      <c r="J56" s="35"/>
      <c r="K56" s="35"/>
      <c r="L56" s="35"/>
      <c r="M56" s="35"/>
      <c r="N56" s="35"/>
      <c r="O56" s="35"/>
      <c r="P56" s="35"/>
      <c r="Q56" s="35"/>
      <c r="R56" s="35"/>
      <c r="S56" s="35"/>
      <c r="T56" s="35"/>
      <c r="U56" s="35"/>
      <c r="V56" s="35"/>
      <c r="W56" s="35"/>
      <c r="X56" s="35"/>
      <c r="Y56" s="35"/>
      <c r="Z56" s="35"/>
      <c r="AA56" s="35"/>
      <c r="AB56" s="35"/>
      <c r="AC56" s="35"/>
    </row>
    <row r="57">
      <c r="A57" s="16"/>
      <c r="B57" s="16"/>
      <c r="C57" s="16"/>
      <c r="D57" s="16"/>
      <c r="E57" s="35"/>
      <c r="F57" s="35"/>
      <c r="G57" s="35"/>
      <c r="H57" s="35"/>
      <c r="I57" s="35"/>
      <c r="J57" s="35"/>
      <c r="K57" s="35"/>
      <c r="L57" s="35"/>
      <c r="M57" s="35"/>
      <c r="N57" s="35"/>
      <c r="O57" s="35"/>
      <c r="P57" s="35"/>
      <c r="Q57" s="35"/>
      <c r="R57" s="35"/>
      <c r="S57" s="35"/>
      <c r="T57" s="35"/>
      <c r="U57" s="35"/>
      <c r="V57" s="35"/>
      <c r="W57" s="35"/>
      <c r="X57" s="35"/>
      <c r="Y57" s="35"/>
      <c r="Z57" s="35"/>
      <c r="AA57" s="35"/>
      <c r="AB57" s="35"/>
      <c r="AC57" s="35"/>
    </row>
    <row r="58">
      <c r="A58" s="163" t="s">
        <v>706</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row>
    <row r="59">
      <c r="A59" s="160" t="s">
        <v>710</v>
      </c>
      <c r="B59" s="160" t="s">
        <v>636</v>
      </c>
      <c r="C59" s="160" t="s">
        <v>637</v>
      </c>
      <c r="D59" s="160" t="s">
        <v>638</v>
      </c>
      <c r="E59" s="35"/>
      <c r="F59" s="35"/>
      <c r="G59" s="35"/>
      <c r="H59" s="35"/>
      <c r="I59" s="35"/>
      <c r="J59" s="35"/>
      <c r="K59" s="35"/>
      <c r="L59" s="35"/>
      <c r="M59" s="35"/>
      <c r="N59" s="35"/>
      <c r="O59" s="35"/>
      <c r="P59" s="35"/>
      <c r="Q59" s="35"/>
      <c r="R59" s="35"/>
      <c r="S59" s="35"/>
      <c r="T59" s="35"/>
      <c r="U59" s="35"/>
      <c r="V59" s="35"/>
      <c r="W59" s="35"/>
      <c r="X59" s="35"/>
      <c r="Y59" s="35"/>
      <c r="Z59" s="35"/>
      <c r="AA59" s="35"/>
      <c r="AB59" s="35"/>
      <c r="AC59" s="35"/>
    </row>
    <row r="60">
      <c r="A60" s="16" t="s">
        <v>711</v>
      </c>
      <c r="B60" s="43" t="str">
        <f>B214</f>
        <v>36414</v>
      </c>
      <c r="C60" s="16">
        <v>0.0</v>
      </c>
      <c r="D60" s="43" t="str">
        <f>D214</f>
        <v>9232</v>
      </c>
      <c r="E60" s="35"/>
      <c r="F60" s="35"/>
      <c r="G60" s="35"/>
      <c r="H60" s="35"/>
      <c r="I60" s="35"/>
      <c r="J60" s="35"/>
      <c r="K60" s="35"/>
      <c r="L60" s="35"/>
      <c r="M60" s="35"/>
      <c r="N60" s="35"/>
      <c r="O60" s="35"/>
      <c r="P60" s="35"/>
      <c r="Q60" s="35"/>
      <c r="R60" s="35"/>
      <c r="S60" s="35"/>
      <c r="T60" s="35"/>
      <c r="U60" s="35"/>
      <c r="V60" s="35"/>
      <c r="W60" s="35"/>
      <c r="X60" s="35"/>
      <c r="Y60" s="35"/>
      <c r="Z60" s="35"/>
      <c r="AA60" s="35"/>
      <c r="AB60" s="35"/>
      <c r="AC60" s="35"/>
    </row>
    <row r="61">
      <c r="A61" s="16" t="s">
        <v>247</v>
      </c>
      <c r="B61" s="43" t="str">
        <f t="shared" ref="B61:D61" si="30">B101</f>
        <v>40967</v>
      </c>
      <c r="C61" s="43" t="str">
        <f t="shared" si="30"/>
        <v>5909</v>
      </c>
      <c r="D61" s="43" t="str">
        <f t="shared" si="30"/>
        <v>1055</v>
      </c>
      <c r="E61" s="35"/>
      <c r="F61" s="35"/>
      <c r="G61" s="35"/>
      <c r="H61" s="35"/>
      <c r="I61" s="35"/>
      <c r="J61" s="35"/>
      <c r="K61" s="35"/>
      <c r="L61" s="35"/>
      <c r="M61" s="35"/>
      <c r="N61" s="35"/>
      <c r="O61" s="35"/>
      <c r="P61" s="35"/>
      <c r="Q61" s="35"/>
      <c r="R61" s="35"/>
      <c r="S61" s="35"/>
      <c r="T61" s="35"/>
      <c r="U61" s="35"/>
      <c r="V61" s="35"/>
      <c r="W61" s="35"/>
      <c r="X61" s="35"/>
      <c r="Y61" s="35"/>
      <c r="Z61" s="35"/>
      <c r="AA61" s="35"/>
      <c r="AB61" s="35"/>
      <c r="AC61" s="35"/>
    </row>
    <row r="62">
      <c r="A62" s="16" t="s">
        <v>712</v>
      </c>
      <c r="B62" s="78" t="str">
        <f>'Data - districts in tons'!AC61</f>
        <v>46.3</v>
      </c>
      <c r="C62" s="78" t="str">
        <f>'Data - districts in tons'!AD61</f>
        <v>0.0</v>
      </c>
      <c r="D62" s="78" t="str">
        <f>'Data - districts in tons'!AE61</f>
        <v>0.1</v>
      </c>
      <c r="E62" s="35"/>
      <c r="F62" s="35"/>
      <c r="G62" s="35"/>
      <c r="H62" s="35"/>
      <c r="I62" s="35"/>
      <c r="J62" s="35"/>
      <c r="K62" s="35"/>
      <c r="L62" s="35"/>
      <c r="M62" s="35"/>
      <c r="N62" s="35"/>
      <c r="O62" s="35"/>
      <c r="P62" s="35"/>
      <c r="Q62" s="35"/>
      <c r="R62" s="35"/>
      <c r="S62" s="35"/>
      <c r="T62" s="35"/>
      <c r="U62" s="35"/>
      <c r="V62" s="35"/>
      <c r="W62" s="35"/>
      <c r="X62" s="35"/>
      <c r="Y62" s="35"/>
      <c r="Z62" s="35"/>
      <c r="AA62" s="35"/>
      <c r="AB62" s="35"/>
      <c r="AC62" s="35"/>
    </row>
    <row r="63">
      <c r="A63" s="16" t="s">
        <v>713</v>
      </c>
      <c r="B63" s="43" t="str">
        <f t="shared" ref="B63:D63" si="31">B128</f>
        <v>14091</v>
      </c>
      <c r="C63" s="43" t="str">
        <f t="shared" si="31"/>
        <v>726</v>
      </c>
      <c r="D63" s="43" t="str">
        <f t="shared" si="31"/>
        <v>703</v>
      </c>
      <c r="E63" s="35"/>
      <c r="F63" s="35"/>
      <c r="G63" s="35"/>
      <c r="H63" s="35"/>
      <c r="I63" s="35"/>
      <c r="J63" s="35"/>
      <c r="K63" s="35"/>
      <c r="L63" s="35"/>
      <c r="M63" s="35"/>
      <c r="N63" s="35"/>
      <c r="O63" s="35"/>
      <c r="P63" s="35"/>
      <c r="Q63" s="35"/>
      <c r="R63" s="35"/>
      <c r="S63" s="35"/>
      <c r="T63" s="35"/>
      <c r="U63" s="35"/>
      <c r="V63" s="35"/>
      <c r="W63" s="35"/>
      <c r="X63" s="35"/>
      <c r="Y63" s="35"/>
      <c r="Z63" s="35"/>
      <c r="AA63" s="35"/>
      <c r="AB63" s="35"/>
      <c r="AC63" s="35"/>
    </row>
    <row r="64">
      <c r="A64" s="16" t="s">
        <v>714</v>
      </c>
      <c r="B64" s="43" t="str">
        <f t="shared" ref="B64:D64" si="32">B153</f>
        <v>7876</v>
      </c>
      <c r="C64" s="43" t="str">
        <f t="shared" si="32"/>
        <v>118</v>
      </c>
      <c r="D64" s="43" t="str">
        <f t="shared" si="32"/>
        <v>53</v>
      </c>
      <c r="E64" s="35"/>
      <c r="F64" s="35"/>
      <c r="G64" s="35"/>
      <c r="H64" s="35"/>
      <c r="I64" s="35"/>
      <c r="J64" s="35"/>
      <c r="K64" s="35"/>
      <c r="L64" s="35"/>
      <c r="M64" s="35"/>
      <c r="N64" s="35"/>
      <c r="O64" s="35"/>
      <c r="P64" s="35"/>
      <c r="Q64" s="35"/>
      <c r="R64" s="35"/>
      <c r="S64" s="35"/>
      <c r="T64" s="35"/>
      <c r="U64" s="35"/>
      <c r="V64" s="35"/>
      <c r="W64" s="35"/>
      <c r="X64" s="35"/>
      <c r="Y64" s="35"/>
      <c r="Z64" s="35"/>
      <c r="AA64" s="35"/>
      <c r="AB64" s="35"/>
      <c r="AC64" s="35"/>
    </row>
    <row r="65">
      <c r="A65" s="16" t="s">
        <v>715</v>
      </c>
      <c r="B65" s="43" t="str">
        <f t="shared" ref="B65:D65" si="33">B187</f>
        <v>17614</v>
      </c>
      <c r="C65" s="43" t="str">
        <f t="shared" si="33"/>
        <v>1585</v>
      </c>
      <c r="D65" s="43" t="str">
        <f t="shared" si="33"/>
        <v>1926</v>
      </c>
      <c r="E65" s="35"/>
      <c r="F65" s="35"/>
      <c r="G65" s="35"/>
      <c r="H65" s="35"/>
      <c r="I65" s="35"/>
      <c r="J65" s="35"/>
      <c r="K65" s="35"/>
      <c r="L65" s="35"/>
      <c r="M65" s="35"/>
      <c r="N65" s="35"/>
      <c r="O65" s="35"/>
      <c r="P65" s="35"/>
      <c r="Q65" s="35"/>
      <c r="R65" s="35"/>
      <c r="S65" s="35"/>
      <c r="T65" s="35"/>
      <c r="U65" s="35"/>
      <c r="V65" s="35"/>
      <c r="W65" s="35"/>
      <c r="X65" s="35"/>
      <c r="Y65" s="35"/>
      <c r="Z65" s="35"/>
      <c r="AA65" s="35"/>
      <c r="AB65" s="35"/>
      <c r="AC65" s="35"/>
    </row>
    <row r="66">
      <c r="A66" s="16"/>
      <c r="B66" s="16"/>
      <c r="C66" s="16"/>
      <c r="D66" s="16"/>
      <c r="E66" s="35"/>
      <c r="F66" s="35"/>
      <c r="G66" s="35"/>
      <c r="H66" s="35"/>
      <c r="I66" s="35"/>
      <c r="J66" s="35"/>
      <c r="K66" s="35"/>
      <c r="L66" s="35"/>
      <c r="M66" s="35"/>
      <c r="N66" s="35"/>
      <c r="O66" s="35"/>
      <c r="P66" s="35"/>
      <c r="Q66" s="35"/>
      <c r="R66" s="35"/>
      <c r="S66" s="35"/>
      <c r="T66" s="35"/>
      <c r="U66" s="35"/>
      <c r="V66" s="35"/>
      <c r="W66" s="35"/>
      <c r="X66" s="35"/>
      <c r="Y66" s="35"/>
      <c r="Z66" s="35"/>
      <c r="AA66" s="35"/>
      <c r="AB66" s="35"/>
      <c r="AC66" s="35"/>
    </row>
    <row r="67">
      <c r="A67" s="163" t="s">
        <v>707</v>
      </c>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row>
    <row r="68">
      <c r="A68" s="160" t="s">
        <v>710</v>
      </c>
      <c r="B68" s="160" t="s">
        <v>636</v>
      </c>
      <c r="C68" s="160" t="s">
        <v>637</v>
      </c>
      <c r="D68" s="160" t="s">
        <v>638</v>
      </c>
      <c r="E68" s="35"/>
      <c r="F68" s="35"/>
      <c r="G68" s="35"/>
      <c r="H68" s="35"/>
      <c r="I68" s="35"/>
      <c r="J68" s="35"/>
      <c r="K68" s="35"/>
      <c r="L68" s="35"/>
      <c r="M68" s="35"/>
      <c r="N68" s="35"/>
      <c r="O68" s="35"/>
      <c r="P68" s="35"/>
      <c r="Q68" s="35"/>
      <c r="R68" s="35"/>
      <c r="S68" s="35"/>
      <c r="T68" s="35"/>
      <c r="U68" s="35"/>
      <c r="V68" s="35"/>
      <c r="W68" s="35"/>
      <c r="X68" s="35"/>
      <c r="Y68" s="35"/>
      <c r="Z68" s="35"/>
      <c r="AA68" s="35"/>
      <c r="AB68" s="35"/>
      <c r="AC68" s="35"/>
    </row>
    <row r="69">
      <c r="A69" s="16" t="s">
        <v>711</v>
      </c>
      <c r="B69" s="43" t="str">
        <f>B215</f>
        <v>16737</v>
      </c>
      <c r="C69" s="16">
        <v>0.0</v>
      </c>
      <c r="D69" s="43" t="str">
        <f>D215</f>
        <v>8948</v>
      </c>
      <c r="E69" s="35"/>
      <c r="F69" s="35"/>
      <c r="G69" s="35"/>
      <c r="H69" s="35"/>
      <c r="I69" s="35"/>
      <c r="J69" s="35"/>
      <c r="K69" s="35"/>
      <c r="L69" s="35"/>
      <c r="M69" s="35"/>
      <c r="N69" s="35"/>
      <c r="O69" s="35"/>
      <c r="P69" s="35"/>
      <c r="Q69" s="35"/>
      <c r="R69" s="35"/>
      <c r="S69" s="35"/>
      <c r="T69" s="35"/>
      <c r="U69" s="35"/>
      <c r="V69" s="35"/>
      <c r="W69" s="35"/>
      <c r="X69" s="35"/>
      <c r="Y69" s="35"/>
      <c r="Z69" s="35"/>
      <c r="AA69" s="35"/>
      <c r="AB69" s="35"/>
      <c r="AC69" s="35"/>
    </row>
    <row r="70">
      <c r="A70" s="16" t="s">
        <v>247</v>
      </c>
      <c r="B70" s="43" t="str">
        <f t="shared" ref="B70:D70" si="34">B102</f>
        <v>39500</v>
      </c>
      <c r="C70" s="43" t="str">
        <f t="shared" si="34"/>
        <v>5722</v>
      </c>
      <c r="D70" s="43" t="str">
        <f t="shared" si="34"/>
        <v>1025</v>
      </c>
      <c r="E70" s="35"/>
      <c r="F70" s="35"/>
      <c r="G70" s="35"/>
      <c r="H70" s="35"/>
      <c r="I70" s="35"/>
      <c r="J70" s="35"/>
      <c r="K70" s="35"/>
      <c r="L70" s="35"/>
      <c r="M70" s="35"/>
      <c r="N70" s="35"/>
      <c r="O70" s="35"/>
      <c r="P70" s="35"/>
      <c r="Q70" s="35"/>
      <c r="R70" s="35"/>
      <c r="S70" s="35"/>
      <c r="T70" s="35"/>
      <c r="U70" s="35"/>
      <c r="V70" s="35"/>
      <c r="W70" s="35"/>
      <c r="X70" s="35"/>
      <c r="Y70" s="35"/>
      <c r="Z70" s="35"/>
      <c r="AA70" s="35"/>
      <c r="AB70" s="35"/>
      <c r="AC70" s="35"/>
    </row>
    <row r="71">
      <c r="A71" s="16" t="s">
        <v>712</v>
      </c>
      <c r="B71" s="78" t="str">
        <f>'Data - districts in tons'!AH61</f>
        <v>45.4</v>
      </c>
      <c r="C71" s="78" t="str">
        <f>'Data - districts in tons'!AI61</f>
        <v>0.0</v>
      </c>
      <c r="D71" s="78" t="str">
        <f>'Data - districts in tons'!AJ61</f>
        <v>0.1</v>
      </c>
      <c r="E71" s="35"/>
      <c r="F71" s="35"/>
      <c r="G71" s="35"/>
      <c r="H71" s="35"/>
      <c r="I71" s="35"/>
      <c r="J71" s="35"/>
      <c r="K71" s="35"/>
      <c r="L71" s="35"/>
      <c r="M71" s="35"/>
      <c r="N71" s="35"/>
      <c r="O71" s="35"/>
      <c r="P71" s="35"/>
      <c r="Q71" s="35"/>
      <c r="R71" s="35"/>
      <c r="S71" s="35"/>
      <c r="T71" s="35"/>
      <c r="U71" s="35"/>
      <c r="V71" s="35"/>
      <c r="W71" s="35"/>
      <c r="X71" s="35"/>
      <c r="Y71" s="35"/>
      <c r="Z71" s="35"/>
      <c r="AA71" s="35"/>
      <c r="AB71" s="35"/>
      <c r="AC71" s="35"/>
    </row>
    <row r="72">
      <c r="A72" s="16" t="s">
        <v>713</v>
      </c>
      <c r="B72" s="43" t="str">
        <f t="shared" ref="B72:D72" si="35">B129</f>
        <v>13837</v>
      </c>
      <c r="C72" s="43" t="str">
        <f t="shared" si="35"/>
        <v>713</v>
      </c>
      <c r="D72" s="43" t="str">
        <f t="shared" si="35"/>
        <v>690</v>
      </c>
      <c r="E72" s="35"/>
      <c r="F72" s="35"/>
      <c r="G72" s="35"/>
      <c r="H72" s="35"/>
      <c r="I72" s="35"/>
      <c r="J72" s="35"/>
      <c r="K72" s="35"/>
      <c r="L72" s="35"/>
      <c r="M72" s="35"/>
      <c r="N72" s="35"/>
      <c r="O72" s="35"/>
      <c r="P72" s="35"/>
      <c r="Q72" s="35"/>
      <c r="R72" s="35"/>
      <c r="S72" s="35"/>
      <c r="T72" s="35"/>
      <c r="U72" s="35"/>
      <c r="V72" s="35"/>
      <c r="W72" s="35"/>
      <c r="X72" s="35"/>
      <c r="Y72" s="35"/>
      <c r="Z72" s="35"/>
      <c r="AA72" s="35"/>
      <c r="AB72" s="35"/>
      <c r="AC72" s="35"/>
    </row>
    <row r="73">
      <c r="A73" s="16" t="s">
        <v>714</v>
      </c>
      <c r="B73" s="43" t="str">
        <f t="shared" ref="B73:D73" si="36">B154</f>
        <v>11694</v>
      </c>
      <c r="C73" s="43" t="str">
        <f t="shared" si="36"/>
        <v>178</v>
      </c>
      <c r="D73" s="43" t="str">
        <f t="shared" si="36"/>
        <v>88</v>
      </c>
      <c r="E73" s="35"/>
      <c r="F73" s="35"/>
      <c r="G73" s="35"/>
      <c r="H73" s="35"/>
      <c r="I73" s="35"/>
      <c r="J73" s="35"/>
      <c r="K73" s="35"/>
      <c r="L73" s="35"/>
      <c r="M73" s="35"/>
      <c r="N73" s="35"/>
      <c r="O73" s="35"/>
      <c r="P73" s="35"/>
      <c r="Q73" s="35"/>
      <c r="R73" s="35"/>
      <c r="S73" s="35"/>
      <c r="T73" s="35"/>
      <c r="U73" s="35"/>
      <c r="V73" s="35"/>
      <c r="W73" s="35"/>
      <c r="X73" s="35"/>
      <c r="Y73" s="35"/>
      <c r="Z73" s="35"/>
      <c r="AA73" s="35"/>
      <c r="AB73" s="35"/>
      <c r="AC73" s="35"/>
    </row>
    <row r="74">
      <c r="A74" s="16" t="s">
        <v>715</v>
      </c>
      <c r="B74" s="43" t="str">
        <f t="shared" ref="B74:D74" si="37">B188</f>
        <v>3015</v>
      </c>
      <c r="C74" s="43" t="str">
        <f t="shared" si="37"/>
        <v>75</v>
      </c>
      <c r="D74" s="43" t="str">
        <f t="shared" si="37"/>
        <v>189</v>
      </c>
      <c r="E74" s="35"/>
      <c r="F74" s="35"/>
      <c r="G74" s="35"/>
      <c r="H74" s="35"/>
      <c r="I74" s="35"/>
      <c r="J74" s="35"/>
      <c r="K74" s="35"/>
      <c r="L74" s="35"/>
      <c r="M74" s="35"/>
      <c r="N74" s="35"/>
      <c r="O74" s="35"/>
      <c r="P74" s="35"/>
      <c r="Q74" s="35"/>
      <c r="R74" s="35"/>
      <c r="S74" s="35"/>
      <c r="T74" s="35"/>
      <c r="U74" s="35"/>
      <c r="V74" s="35"/>
      <c r="W74" s="35"/>
      <c r="X74" s="35"/>
      <c r="Y74" s="35"/>
      <c r="Z74" s="35"/>
      <c r="AA74" s="35"/>
      <c r="AB74" s="35"/>
      <c r="AC74" s="35"/>
    </row>
    <row r="75">
      <c r="A75" s="16"/>
      <c r="B75" s="16"/>
      <c r="C75" s="16"/>
      <c r="D75" s="16"/>
      <c r="E75" s="35"/>
      <c r="F75" s="35"/>
      <c r="G75" s="35"/>
      <c r="H75" s="35"/>
      <c r="I75" s="35"/>
      <c r="J75" s="35"/>
      <c r="K75" s="35"/>
      <c r="L75" s="35"/>
      <c r="M75" s="35"/>
      <c r="N75" s="35"/>
      <c r="O75" s="35"/>
      <c r="P75" s="35"/>
      <c r="Q75" s="35"/>
      <c r="R75" s="35"/>
      <c r="S75" s="35"/>
      <c r="T75" s="35"/>
      <c r="U75" s="35"/>
      <c r="V75" s="35"/>
      <c r="W75" s="35"/>
      <c r="X75" s="35"/>
      <c r="Y75" s="35"/>
      <c r="Z75" s="35"/>
      <c r="AA75" s="35"/>
      <c r="AB75" s="35"/>
      <c r="AC75" s="35"/>
    </row>
    <row r="76">
      <c r="A76" s="163" t="s">
        <v>708</v>
      </c>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row>
    <row r="77">
      <c r="A77" s="160" t="s">
        <v>710</v>
      </c>
      <c r="B77" s="160" t="s">
        <v>636</v>
      </c>
      <c r="C77" s="160" t="s">
        <v>637</v>
      </c>
      <c r="D77" s="160" t="s">
        <v>638</v>
      </c>
      <c r="E77" s="35"/>
      <c r="F77" s="35"/>
      <c r="G77" s="35"/>
      <c r="H77" s="35"/>
      <c r="I77" s="35"/>
      <c r="J77" s="35"/>
      <c r="K77" s="35"/>
      <c r="L77" s="35"/>
      <c r="M77" s="35"/>
      <c r="N77" s="35"/>
      <c r="O77" s="35"/>
      <c r="P77" s="35"/>
      <c r="Q77" s="35"/>
      <c r="R77" s="35"/>
      <c r="S77" s="35"/>
      <c r="T77" s="35"/>
      <c r="U77" s="35"/>
      <c r="V77" s="35"/>
      <c r="W77" s="35"/>
      <c r="X77" s="35"/>
      <c r="Y77" s="35"/>
      <c r="Z77" s="35"/>
      <c r="AA77" s="35"/>
      <c r="AB77" s="35"/>
      <c r="AC77" s="35"/>
    </row>
    <row r="78">
      <c r="A78" s="16" t="s">
        <v>711</v>
      </c>
      <c r="B78" s="43" t="str">
        <f>B216</f>
        <v>26865</v>
      </c>
      <c r="C78" s="16">
        <v>0.0</v>
      </c>
      <c r="D78" s="43" t="str">
        <f>D216</f>
        <v>8033</v>
      </c>
      <c r="E78" s="35"/>
      <c r="F78" s="35"/>
      <c r="G78" s="35"/>
      <c r="H78" s="35"/>
      <c r="I78" s="35"/>
      <c r="J78" s="35"/>
      <c r="K78" s="35"/>
      <c r="L78" s="35"/>
      <c r="M78" s="35"/>
      <c r="N78" s="35"/>
      <c r="O78" s="35"/>
      <c r="P78" s="35"/>
      <c r="Q78" s="35"/>
      <c r="R78" s="35"/>
      <c r="S78" s="35"/>
      <c r="T78" s="35"/>
      <c r="U78" s="35"/>
      <c r="V78" s="35"/>
      <c r="W78" s="35"/>
      <c r="X78" s="35"/>
      <c r="Y78" s="35"/>
      <c r="Z78" s="35"/>
      <c r="AA78" s="35"/>
      <c r="AB78" s="35"/>
      <c r="AC78" s="35"/>
    </row>
    <row r="79">
      <c r="A79" s="16" t="s">
        <v>247</v>
      </c>
      <c r="B79" s="43" t="str">
        <f t="shared" ref="B79:D79" si="38">B103</f>
        <v>31474</v>
      </c>
      <c r="C79" s="43" t="str">
        <f t="shared" si="38"/>
        <v>4513</v>
      </c>
      <c r="D79" s="43" t="str">
        <f t="shared" si="38"/>
        <v>801</v>
      </c>
      <c r="E79" s="35"/>
      <c r="F79" s="35"/>
      <c r="G79" s="35"/>
      <c r="H79" s="35"/>
      <c r="I79" s="35"/>
      <c r="J79" s="35"/>
      <c r="K79" s="35"/>
      <c r="L79" s="35"/>
      <c r="M79" s="35"/>
      <c r="N79" s="35"/>
      <c r="O79" s="35"/>
      <c r="P79" s="35"/>
      <c r="Q79" s="35"/>
      <c r="R79" s="35"/>
      <c r="S79" s="35"/>
      <c r="T79" s="35"/>
      <c r="U79" s="35"/>
      <c r="V79" s="35"/>
      <c r="W79" s="35"/>
      <c r="X79" s="35"/>
      <c r="Y79" s="35"/>
      <c r="Z79" s="35"/>
      <c r="AA79" s="35"/>
      <c r="AB79" s="35"/>
      <c r="AC79" s="35"/>
    </row>
    <row r="80">
      <c r="A80" s="16" t="s">
        <v>712</v>
      </c>
      <c r="B80" s="78" t="str">
        <f>'Data - districts in tons'!AM61</f>
        <v>40.4</v>
      </c>
      <c r="C80" s="78" t="str">
        <f>'Data - districts in tons'!AN61</f>
        <v>0.0</v>
      </c>
      <c r="D80" s="78" t="str">
        <f>'Data - districts in tons'!AO61</f>
        <v>0.1</v>
      </c>
      <c r="E80" s="35"/>
      <c r="F80" s="35"/>
      <c r="G80" s="35"/>
      <c r="H80" s="35"/>
      <c r="I80" s="35"/>
      <c r="J80" s="35"/>
      <c r="K80" s="35"/>
      <c r="L80" s="35"/>
      <c r="M80" s="35"/>
      <c r="N80" s="35"/>
      <c r="O80" s="35"/>
      <c r="P80" s="35"/>
      <c r="Q80" s="35"/>
      <c r="R80" s="35"/>
      <c r="S80" s="35"/>
      <c r="T80" s="35"/>
      <c r="U80" s="35"/>
      <c r="V80" s="35"/>
      <c r="W80" s="35"/>
      <c r="X80" s="35"/>
      <c r="Y80" s="35"/>
      <c r="Z80" s="35"/>
      <c r="AA80" s="35"/>
      <c r="AB80" s="35"/>
      <c r="AC80" s="35"/>
    </row>
    <row r="81">
      <c r="A81" s="16" t="s">
        <v>713</v>
      </c>
      <c r="B81" s="43" t="str">
        <f t="shared" ref="B81:D81" si="39">B130</f>
        <v>12309</v>
      </c>
      <c r="C81" s="43" t="str">
        <f t="shared" si="39"/>
        <v>635</v>
      </c>
      <c r="D81" s="43" t="str">
        <f t="shared" si="39"/>
        <v>614</v>
      </c>
      <c r="E81" s="35"/>
      <c r="F81" s="35"/>
      <c r="G81" s="35"/>
      <c r="H81" s="35"/>
      <c r="I81" s="35"/>
      <c r="J81" s="35"/>
      <c r="K81" s="35"/>
      <c r="L81" s="35"/>
      <c r="M81" s="35"/>
      <c r="N81" s="35"/>
      <c r="O81" s="35"/>
      <c r="P81" s="35"/>
      <c r="Q81" s="35"/>
      <c r="R81" s="35"/>
      <c r="S81" s="35"/>
      <c r="T81" s="35"/>
      <c r="U81" s="35"/>
      <c r="V81" s="35"/>
      <c r="W81" s="35"/>
      <c r="X81" s="35"/>
      <c r="Y81" s="35"/>
      <c r="Z81" s="35"/>
      <c r="AA81" s="35"/>
      <c r="AB81" s="35"/>
      <c r="AC81" s="35"/>
    </row>
    <row r="82">
      <c r="A82" s="16" t="s">
        <v>714</v>
      </c>
      <c r="B82" s="43" t="str">
        <f t="shared" ref="B82:D82" si="40">B155</f>
        <v>7934</v>
      </c>
      <c r="C82" s="43" t="str">
        <f t="shared" si="40"/>
        <v>117</v>
      </c>
      <c r="D82" s="43" t="str">
        <f t="shared" si="40"/>
        <v>59</v>
      </c>
      <c r="E82" s="35"/>
      <c r="F82" s="35"/>
      <c r="G82" s="35"/>
      <c r="H82" s="35"/>
      <c r="I82" s="35"/>
      <c r="J82" s="35"/>
      <c r="K82" s="35"/>
      <c r="L82" s="35"/>
      <c r="M82" s="35"/>
      <c r="N82" s="35"/>
      <c r="O82" s="35"/>
      <c r="P82" s="35"/>
      <c r="Q82" s="35"/>
      <c r="R82" s="35"/>
      <c r="S82" s="35"/>
      <c r="T82" s="35"/>
      <c r="U82" s="35"/>
      <c r="V82" s="35"/>
      <c r="W82" s="35"/>
      <c r="X82" s="35"/>
      <c r="Y82" s="35"/>
      <c r="Z82" s="35"/>
      <c r="AA82" s="35"/>
      <c r="AB82" s="35"/>
      <c r="AC82" s="35"/>
    </row>
    <row r="83">
      <c r="A83" s="16" t="s">
        <v>715</v>
      </c>
      <c r="B83" s="43" t="str">
        <f t="shared" ref="B83:D83" si="41">B189</f>
        <v>6871</v>
      </c>
      <c r="C83" s="43" t="str">
        <f t="shared" si="41"/>
        <v>652</v>
      </c>
      <c r="D83" s="43" t="str">
        <f t="shared" si="41"/>
        <v>797</v>
      </c>
      <c r="E83" s="35"/>
      <c r="F83" s="35"/>
      <c r="G83" s="35"/>
      <c r="H83" s="35"/>
      <c r="I83" s="35"/>
      <c r="J83" s="35"/>
      <c r="K83" s="35"/>
      <c r="L83" s="35"/>
      <c r="M83" s="35"/>
      <c r="N83" s="35"/>
      <c r="O83" s="35"/>
      <c r="P83" s="35"/>
      <c r="Q83" s="35"/>
      <c r="R83" s="35"/>
      <c r="S83" s="35"/>
      <c r="T83" s="35"/>
      <c r="U83" s="35"/>
      <c r="V83" s="35"/>
      <c r="W83" s="35"/>
      <c r="X83" s="35"/>
      <c r="Y83" s="35"/>
      <c r="Z83" s="35"/>
      <c r="AA83" s="35"/>
      <c r="AB83" s="35"/>
      <c r="AC83" s="35"/>
    </row>
    <row r="84">
      <c r="A84" s="16"/>
      <c r="B84" s="16"/>
      <c r="C84" s="16"/>
      <c r="D84" s="16"/>
      <c r="E84" s="35"/>
      <c r="F84" s="35"/>
      <c r="G84" s="35"/>
      <c r="H84" s="35"/>
      <c r="I84" s="35"/>
      <c r="J84" s="35"/>
      <c r="K84" s="35"/>
      <c r="L84" s="35"/>
      <c r="M84" s="35"/>
      <c r="N84" s="35"/>
      <c r="O84" s="35"/>
      <c r="P84" s="35"/>
      <c r="Q84" s="35"/>
      <c r="R84" s="35"/>
      <c r="S84" s="35"/>
      <c r="T84" s="35"/>
      <c r="U84" s="35"/>
      <c r="V84" s="35"/>
      <c r="W84" s="35"/>
      <c r="X84" s="35"/>
      <c r="Y84" s="35"/>
      <c r="Z84" s="35"/>
      <c r="AA84" s="35"/>
      <c r="AB84" s="35"/>
      <c r="AC84" s="35"/>
    </row>
    <row r="85">
      <c r="A85" s="163" t="s">
        <v>709</v>
      </c>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row>
    <row r="86">
      <c r="A86" s="160" t="s">
        <v>710</v>
      </c>
      <c r="B86" s="160" t="s">
        <v>636</v>
      </c>
      <c r="C86" s="160" t="s">
        <v>637</v>
      </c>
      <c r="D86" s="160" t="s">
        <v>638</v>
      </c>
      <c r="E86" s="35"/>
      <c r="F86" s="35"/>
      <c r="G86" s="35"/>
      <c r="H86" s="35"/>
      <c r="I86" s="35"/>
      <c r="J86" s="35"/>
      <c r="K86" s="35"/>
      <c r="L86" s="35"/>
      <c r="M86" s="35"/>
      <c r="N86" s="35"/>
      <c r="O86" s="35"/>
      <c r="P86" s="35"/>
      <c r="Q86" s="35"/>
      <c r="R86" s="35"/>
      <c r="S86" s="35"/>
      <c r="T86" s="35"/>
      <c r="U86" s="35"/>
      <c r="V86" s="35"/>
      <c r="W86" s="35"/>
      <c r="X86" s="35"/>
      <c r="Y86" s="35"/>
      <c r="Z86" s="35"/>
      <c r="AA86" s="35"/>
      <c r="AB86" s="35"/>
      <c r="AC86" s="35"/>
    </row>
    <row r="87">
      <c r="A87" s="16" t="s">
        <v>711</v>
      </c>
      <c r="B87" s="43" t="str">
        <f>B217</f>
        <v>9818</v>
      </c>
      <c r="C87" s="16">
        <v>0.0</v>
      </c>
      <c r="D87" s="43" t="str">
        <f>D217</f>
        <v>5413</v>
      </c>
      <c r="E87" s="35"/>
      <c r="F87" s="35"/>
      <c r="G87" s="35"/>
      <c r="H87" s="35"/>
      <c r="I87" s="35"/>
      <c r="J87" s="35"/>
      <c r="K87" s="35"/>
      <c r="L87" s="35"/>
      <c r="M87" s="35"/>
      <c r="N87" s="35"/>
      <c r="O87" s="35"/>
      <c r="P87" s="35"/>
      <c r="Q87" s="35"/>
      <c r="R87" s="35"/>
      <c r="S87" s="35"/>
      <c r="T87" s="35"/>
      <c r="U87" s="35"/>
      <c r="V87" s="35"/>
      <c r="W87" s="35"/>
      <c r="X87" s="35"/>
      <c r="Y87" s="35"/>
      <c r="Z87" s="35"/>
      <c r="AA87" s="35"/>
      <c r="AB87" s="35"/>
      <c r="AC87" s="35"/>
    </row>
    <row r="88">
      <c r="A88" s="16" t="s">
        <v>247</v>
      </c>
      <c r="B88" s="79" t="str">
        <f t="shared" ref="B88:D88" si="42">B104</f>
        <v>26763</v>
      </c>
      <c r="C88" s="79" t="str">
        <f t="shared" si="42"/>
        <v>3748</v>
      </c>
      <c r="D88" s="79" t="str">
        <f t="shared" si="42"/>
        <v>674</v>
      </c>
      <c r="E88" s="35"/>
      <c r="F88" s="35"/>
      <c r="G88" s="35"/>
      <c r="H88" s="35"/>
      <c r="I88" s="35"/>
      <c r="J88" s="35"/>
      <c r="K88" s="35"/>
      <c r="L88" s="35"/>
      <c r="M88" s="35"/>
      <c r="N88" s="35"/>
      <c r="O88" s="35"/>
      <c r="P88" s="35"/>
      <c r="Q88" s="35"/>
      <c r="R88" s="35"/>
      <c r="S88" s="35"/>
      <c r="T88" s="35"/>
      <c r="U88" s="35"/>
      <c r="V88" s="35"/>
      <c r="W88" s="35"/>
      <c r="X88" s="35"/>
      <c r="Y88" s="35"/>
      <c r="Z88" s="35"/>
      <c r="AA88" s="35"/>
      <c r="AB88" s="35"/>
      <c r="AC88" s="35"/>
    </row>
    <row r="89">
      <c r="A89" s="16" t="s">
        <v>712</v>
      </c>
      <c r="B89" s="78" t="str">
        <f>'Data - districts in tons'!AR61</f>
        <v>27.4</v>
      </c>
      <c r="C89" s="78" t="str">
        <f>'Data - districts in tons'!AS61</f>
        <v>0.0</v>
      </c>
      <c r="D89" s="78" t="str">
        <f>'Data - districts in tons'!AT61</f>
        <v>0.1</v>
      </c>
      <c r="E89" s="35"/>
      <c r="F89" s="35"/>
      <c r="G89" s="35"/>
      <c r="H89" s="35"/>
      <c r="I89" s="35"/>
      <c r="J89" s="35"/>
      <c r="K89" s="35"/>
      <c r="L89" s="35"/>
      <c r="M89" s="35"/>
      <c r="N89" s="35"/>
      <c r="O89" s="35"/>
      <c r="P89" s="35"/>
      <c r="Q89" s="35"/>
      <c r="R89" s="35"/>
      <c r="S89" s="35"/>
      <c r="T89" s="35"/>
      <c r="U89" s="35"/>
      <c r="V89" s="35"/>
      <c r="W89" s="35"/>
      <c r="X89" s="35"/>
      <c r="Y89" s="35"/>
      <c r="Z89" s="35"/>
      <c r="AA89" s="35"/>
      <c r="AB89" s="35"/>
      <c r="AC89" s="35"/>
    </row>
    <row r="90">
      <c r="A90" s="16" t="s">
        <v>713</v>
      </c>
      <c r="B90" s="79" t="str">
        <f t="shared" ref="B90:D90" si="43">B131</f>
        <v>8347</v>
      </c>
      <c r="C90" s="79" t="str">
        <f t="shared" si="43"/>
        <v>430</v>
      </c>
      <c r="D90" s="79" t="str">
        <f t="shared" si="43"/>
        <v>416</v>
      </c>
      <c r="E90" s="35"/>
      <c r="F90" s="35"/>
      <c r="G90" s="35"/>
      <c r="H90" s="35"/>
      <c r="I90" s="35"/>
      <c r="J90" s="35"/>
      <c r="K90" s="35"/>
      <c r="L90" s="35"/>
      <c r="M90" s="35"/>
      <c r="N90" s="35"/>
      <c r="O90" s="35"/>
      <c r="P90" s="35"/>
      <c r="Q90" s="35"/>
      <c r="R90" s="35"/>
      <c r="S90" s="35"/>
      <c r="T90" s="35"/>
      <c r="U90" s="35"/>
      <c r="V90" s="35"/>
      <c r="W90" s="35"/>
      <c r="X90" s="35"/>
      <c r="Y90" s="35"/>
      <c r="Z90" s="35"/>
      <c r="AA90" s="35"/>
      <c r="AB90" s="35"/>
      <c r="AC90" s="35"/>
    </row>
    <row r="91">
      <c r="A91" s="16" t="s">
        <v>714</v>
      </c>
      <c r="B91" s="79" t="str">
        <f t="shared" ref="B91:D91" si="44">B156</f>
        <v>5803</v>
      </c>
      <c r="C91" s="79" t="str">
        <f t="shared" si="44"/>
        <v>95</v>
      </c>
      <c r="D91" s="79" t="str">
        <f t="shared" si="44"/>
        <v>42</v>
      </c>
      <c r="E91" s="35"/>
      <c r="F91" s="35"/>
      <c r="G91" s="35"/>
      <c r="H91" s="35"/>
      <c r="I91" s="35"/>
      <c r="J91" s="35"/>
      <c r="K91" s="35"/>
      <c r="L91" s="35"/>
      <c r="M91" s="35"/>
      <c r="N91" s="35"/>
      <c r="O91" s="35"/>
      <c r="P91" s="35"/>
      <c r="Q91" s="35"/>
      <c r="R91" s="35"/>
      <c r="S91" s="35"/>
      <c r="T91" s="35"/>
      <c r="U91" s="35"/>
      <c r="V91" s="35"/>
      <c r="W91" s="35"/>
      <c r="X91" s="35"/>
      <c r="Y91" s="35"/>
      <c r="Z91" s="35"/>
      <c r="AA91" s="35"/>
      <c r="AB91" s="35"/>
      <c r="AC91" s="35"/>
    </row>
    <row r="92">
      <c r="A92" s="16" t="s">
        <v>715</v>
      </c>
      <c r="B92" s="79" t="str">
        <f t="shared" ref="B92:D92" si="45">B190</f>
        <v>7200</v>
      </c>
      <c r="C92" s="79" t="str">
        <f t="shared" si="45"/>
        <v>773</v>
      </c>
      <c r="D92" s="79" t="str">
        <f t="shared" si="45"/>
        <v>920</v>
      </c>
      <c r="E92" s="35"/>
      <c r="F92" s="35"/>
      <c r="G92" s="35"/>
      <c r="H92" s="35"/>
      <c r="I92" s="35"/>
      <c r="J92" s="35"/>
      <c r="K92" s="35"/>
      <c r="L92" s="35"/>
      <c r="M92" s="35"/>
      <c r="N92" s="35"/>
      <c r="O92" s="35"/>
      <c r="P92" s="35"/>
      <c r="Q92" s="35"/>
      <c r="R92" s="35"/>
      <c r="S92" s="35"/>
      <c r="T92" s="35"/>
      <c r="U92" s="35"/>
      <c r="V92" s="35"/>
      <c r="W92" s="35"/>
      <c r="X92" s="35"/>
      <c r="Y92" s="35"/>
      <c r="Z92" s="35"/>
      <c r="AA92" s="35"/>
      <c r="AB92" s="35"/>
      <c r="AC92" s="35"/>
    </row>
    <row r="93">
      <c r="A93" s="40"/>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row>
    <row r="94">
      <c r="A94" s="40"/>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row>
    <row r="95">
      <c r="A95" s="158" t="s">
        <v>247</v>
      </c>
      <c r="B95" s="156"/>
      <c r="C95" s="156"/>
      <c r="D95" s="156"/>
      <c r="E95" s="156"/>
      <c r="F95" s="156"/>
      <c r="G95" s="156"/>
      <c r="H95" s="156"/>
      <c r="I95" s="156"/>
      <c r="J95" s="156"/>
      <c r="K95" s="156"/>
      <c r="L95" s="156"/>
      <c r="M95" s="156"/>
      <c r="N95" s="156"/>
      <c r="O95" s="156"/>
      <c r="P95" s="156"/>
      <c r="Q95" s="156"/>
      <c r="R95" s="156"/>
      <c r="S95" s="156"/>
      <c r="T95" s="156"/>
      <c r="U95" s="156"/>
      <c r="V95" s="156"/>
      <c r="W95" s="156"/>
      <c r="X95" s="156"/>
      <c r="Y95" s="156"/>
      <c r="Z95" s="156"/>
      <c r="AA95" s="156"/>
      <c r="AB95" s="156"/>
      <c r="AC95" s="156"/>
    </row>
    <row r="96">
      <c r="A96" s="160" t="s">
        <v>701</v>
      </c>
      <c r="B96" s="160" t="s">
        <v>636</v>
      </c>
      <c r="C96" s="160" t="s">
        <v>637</v>
      </c>
      <c r="D96" s="160" t="s">
        <v>638</v>
      </c>
    </row>
    <row r="97">
      <c r="A97" s="16" t="s">
        <v>702</v>
      </c>
      <c r="B97" s="79" t="str">
        <f>'Data - districts in tons'!I78</f>
        <v>28596</v>
      </c>
      <c r="C97" s="79" t="str">
        <f>'Data - districts in tons'!J78</f>
        <v>4092</v>
      </c>
      <c r="D97" s="79" t="str">
        <f>'Data - districts in tons'!K78</f>
        <v>725</v>
      </c>
      <c r="E97" s="16"/>
    </row>
    <row r="98">
      <c r="A98" s="16" t="s">
        <v>703</v>
      </c>
      <c r="B98" s="79" t="str">
        <f>'Data - districts in tons'!N78</f>
        <v>20228</v>
      </c>
      <c r="C98" s="79" t="str">
        <f>'Data - districts in tons'!O78</f>
        <v>2904</v>
      </c>
      <c r="D98" s="79" t="str">
        <f>'Data - districts in tons'!P78</f>
        <v>512</v>
      </c>
    </row>
    <row r="99">
      <c r="A99" s="16" t="s">
        <v>704</v>
      </c>
      <c r="B99" s="79" t="str">
        <f>'Data - districts in tons'!S78</f>
        <v>6675</v>
      </c>
      <c r="C99" s="79" t="str">
        <f>'Data - districts in tons'!T78</f>
        <v>680</v>
      </c>
      <c r="D99" s="79" t="str">
        <f>'Data - districts in tons'!U78</f>
        <v>114</v>
      </c>
    </row>
    <row r="100">
      <c r="A100" s="16" t="s">
        <v>705</v>
      </c>
      <c r="B100" s="79" t="str">
        <f>'Data - districts in tons'!X78</f>
        <v>30151</v>
      </c>
      <c r="C100" s="79" t="str">
        <f>'Data - districts in tons'!Y78</f>
        <v>4361</v>
      </c>
      <c r="D100" s="79" t="str">
        <f>'Data - districts in tons'!Z78</f>
        <v>770</v>
      </c>
    </row>
    <row r="101">
      <c r="A101" s="16" t="s">
        <v>706</v>
      </c>
      <c r="B101" s="79" t="str">
        <f>'Data - districts in tons'!AC78</f>
        <v>40967</v>
      </c>
      <c r="C101" s="79" t="str">
        <f>'Data - districts in tons'!AD78</f>
        <v>5909</v>
      </c>
      <c r="D101" s="79" t="str">
        <f>'Data - districts in tons'!AE78</f>
        <v>1055</v>
      </c>
    </row>
    <row r="102">
      <c r="A102" s="16" t="s">
        <v>707</v>
      </c>
      <c r="B102" s="79" t="str">
        <f>'Data - districts in tons'!AH78</f>
        <v>39500</v>
      </c>
      <c r="C102" s="79" t="str">
        <f>'Data - districts in tons'!AI78</f>
        <v>5722</v>
      </c>
      <c r="D102" s="79" t="str">
        <f>'Data - districts in tons'!AJ78</f>
        <v>1025</v>
      </c>
    </row>
    <row r="103">
      <c r="A103" s="16" t="s">
        <v>708</v>
      </c>
      <c r="B103" s="79" t="str">
        <f>'Data - districts in tons'!AM78</f>
        <v>31474</v>
      </c>
      <c r="C103" s="79" t="str">
        <f>'Data - districts in tons'!AN78</f>
        <v>4513</v>
      </c>
      <c r="D103" s="79" t="str">
        <f>'Data - districts in tons'!AO78</f>
        <v>801</v>
      </c>
    </row>
    <row r="104">
      <c r="A104" s="16" t="s">
        <v>709</v>
      </c>
      <c r="B104" s="79" t="str">
        <f>'Data - districts in tons'!AR78</f>
        <v>26763</v>
      </c>
      <c r="C104" s="79" t="str">
        <f>'Data - districts in tons'!AS78</f>
        <v>3748</v>
      </c>
      <c r="D104" s="79" t="str">
        <f>'Data - districts in tons'!AT78</f>
        <v>674</v>
      </c>
    </row>
    <row r="105">
      <c r="A105" s="164"/>
      <c r="F105" s="16"/>
    </row>
    <row r="106">
      <c r="A106" s="160" t="s">
        <v>717</v>
      </c>
      <c r="B106" s="160" t="s">
        <v>636</v>
      </c>
      <c r="C106" s="160" t="s">
        <v>637</v>
      </c>
      <c r="D106" s="160" t="s">
        <v>638</v>
      </c>
      <c r="F106" s="16"/>
      <c r="G106" s="16"/>
      <c r="H106" s="16"/>
      <c r="I106" s="16"/>
    </row>
    <row r="107">
      <c r="A107" s="8" t="s">
        <v>248</v>
      </c>
      <c r="B107" s="79" t="str">
        <f>'Data - districts in tons'!AV64</f>
        <v>192100</v>
      </c>
      <c r="C107" s="79" t="str">
        <f>'Data - districts in tons'!AW64</f>
        <v>27214</v>
      </c>
      <c r="D107" s="79" t="str">
        <f>'Data - districts in tons'!AX64</f>
        <v>5031</v>
      </c>
      <c r="E107" s="16"/>
    </row>
    <row r="108">
      <c r="A108" s="12" t="s">
        <v>256</v>
      </c>
      <c r="B108" s="79" t="str">
        <f>'Data - districts in tons'!AV65</f>
        <v>1997</v>
      </c>
      <c r="C108" s="79" t="str">
        <f>'Data - districts in tons'!AW65</f>
        <v>283</v>
      </c>
      <c r="D108" s="79" t="str">
        <f>'Data - districts in tons'!AX65</f>
        <v>52</v>
      </c>
    </row>
    <row r="109">
      <c r="A109" s="52" t="s">
        <v>259</v>
      </c>
      <c r="B109" s="79" t="str">
        <f>'Data - districts in tons'!AV66</f>
        <v>16808</v>
      </c>
      <c r="C109" s="79" t="str">
        <f>'Data - districts in tons'!AW66</f>
        <v>2481</v>
      </c>
      <c r="D109" s="79" t="str">
        <f>'Data - districts in tons'!AX66</f>
        <v>440</v>
      </c>
    </row>
    <row r="110">
      <c r="A110" s="8" t="s">
        <v>263</v>
      </c>
      <c r="B110" s="79" t="str">
        <f>'Data - districts in tons'!AV67</f>
        <v>8549</v>
      </c>
      <c r="C110" s="79" t="str">
        <f>'Data - districts in tons'!AW67</f>
        <v>288</v>
      </c>
      <c r="D110" s="79" t="str">
        <f>'Data - districts in tons'!AX67</f>
        <v>22</v>
      </c>
    </row>
    <row r="111">
      <c r="A111" s="12" t="s">
        <v>270</v>
      </c>
      <c r="B111" s="79" t="str">
        <f>'Data - districts in tons'!AV68</f>
        <v>1891</v>
      </c>
      <c r="C111" s="79" t="str">
        <f>'Data - districts in tons'!AW68</f>
        <v>810</v>
      </c>
      <c r="D111" s="79" t="str">
        <f>'Data - districts in tons'!AX68</f>
        <v>54</v>
      </c>
    </row>
    <row r="112">
      <c r="A112" s="54" t="s">
        <v>279</v>
      </c>
      <c r="B112" s="79" t="str">
        <f>'Data - districts in tons'!AV69</f>
        <v>4928</v>
      </c>
      <c r="C112" s="79" t="str">
        <f>'Data - districts in tons'!AW69</f>
        <v>3337</v>
      </c>
      <c r="D112" s="79" t="str">
        <f>'Data - districts in tons'!AX69</f>
        <v>218</v>
      </c>
    </row>
    <row r="113">
      <c r="A113" s="11" t="s">
        <v>287</v>
      </c>
      <c r="B113" s="79" t="str">
        <f>'Data - districts in tons'!AV70</f>
        <v>4928</v>
      </c>
      <c r="C113" s="79" t="str">
        <f>'Data - districts in tons'!AW70</f>
        <v>4376</v>
      </c>
      <c r="D113" s="79" t="str">
        <f>'Data - districts in tons'!AX70</f>
        <v/>
      </c>
    </row>
    <row r="114">
      <c r="A114" s="11" t="s">
        <v>645</v>
      </c>
      <c r="B114" s="79" t="str">
        <f>'Data - districts in tons'!AV74</f>
        <v>3009</v>
      </c>
      <c r="C114" s="79" t="str">
        <f>'Data - districts in tons'!AW74</f>
        <v>853</v>
      </c>
      <c r="D114" s="79" t="str">
        <f>'Data - districts in tons'!AX74</f>
        <v>76</v>
      </c>
    </row>
    <row r="115">
      <c r="A115" s="11" t="s">
        <v>641</v>
      </c>
      <c r="B115" s="79" t="str">
        <f>'Data - districts in tons'!AV75</f>
        <v>998</v>
      </c>
      <c r="C115" s="79" t="str">
        <f>'Data - districts in tons'!AW75</f>
        <v>263</v>
      </c>
      <c r="D115" s="79" t="str">
        <f>'Data - districts in tons'!AX75</f>
        <v>31</v>
      </c>
    </row>
    <row r="116">
      <c r="A116" s="54" t="s">
        <v>643</v>
      </c>
      <c r="B116" s="79" t="str">
        <f>'Data - basis'!H66/1000</f>
        <v>4024</v>
      </c>
      <c r="C116" s="79" t="str">
        <f>'Data - basis'!K66/1000</f>
        <v>216</v>
      </c>
      <c r="D116" s="79" t="str">
        <f>'Data - basis'!N66/1000</f>
        <v>2555</v>
      </c>
    </row>
    <row r="122">
      <c r="A122" s="128" t="s">
        <v>718</v>
      </c>
      <c r="B122" s="12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c r="AA122" s="126"/>
      <c r="AB122" s="126"/>
      <c r="AC122" s="126"/>
    </row>
    <row r="123">
      <c r="A123" s="160" t="s">
        <v>701</v>
      </c>
      <c r="B123" s="160" t="s">
        <v>636</v>
      </c>
      <c r="C123" s="160" t="s">
        <v>637</v>
      </c>
      <c r="D123" s="160" t="s">
        <v>638</v>
      </c>
    </row>
    <row r="124">
      <c r="A124" s="16" t="s">
        <v>702</v>
      </c>
      <c r="B124" s="79">
        <v>8800.0788904672</v>
      </c>
      <c r="C124" s="79">
        <v>453.6651033534201</v>
      </c>
      <c r="D124" s="79">
        <v>438.97082510120003</v>
      </c>
    </row>
    <row r="125">
      <c r="A125" s="43" t="s">
        <v>703</v>
      </c>
      <c r="B125" s="79">
        <v>8537.5087246576</v>
      </c>
      <c r="C125" s="79">
        <v>440.12898363311</v>
      </c>
      <c r="D125" s="79">
        <v>425.87314225460005</v>
      </c>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79"/>
      <c r="AC125" s="79"/>
    </row>
    <row r="126">
      <c r="A126" s="43" t="s">
        <v>704</v>
      </c>
      <c r="B126" s="79">
        <v>47.740030147199995</v>
      </c>
      <c r="C126" s="79">
        <v>2.46111267642</v>
      </c>
      <c r="D126" s="79">
        <v>2.3813968811999997</v>
      </c>
      <c r="E126" s="79"/>
      <c r="F126" s="79"/>
      <c r="G126" s="79"/>
      <c r="H126" s="79"/>
      <c r="I126" s="79"/>
      <c r="J126" s="79"/>
      <c r="K126" s="79"/>
      <c r="L126" s="79"/>
      <c r="M126" s="79"/>
      <c r="N126" s="79"/>
      <c r="O126" s="79"/>
      <c r="P126" s="79"/>
      <c r="Q126" s="79"/>
      <c r="R126" s="79"/>
      <c r="S126" s="79"/>
      <c r="T126" s="79"/>
      <c r="U126" s="79"/>
      <c r="V126" s="79"/>
      <c r="W126" s="79"/>
      <c r="X126" s="79"/>
      <c r="Y126" s="79"/>
      <c r="Z126" s="79"/>
      <c r="AA126" s="79"/>
      <c r="AB126" s="79"/>
      <c r="AC126" s="79"/>
    </row>
    <row r="127">
      <c r="A127" s="43" t="s">
        <v>705</v>
      </c>
      <c r="B127" s="79">
        <v>13605.908591952</v>
      </c>
      <c r="C127" s="79">
        <v>701.4171127797</v>
      </c>
      <c r="D127" s="79">
        <v>678.6981111420001</v>
      </c>
      <c r="E127" s="79"/>
      <c r="F127" s="79"/>
      <c r="G127" s="79"/>
      <c r="H127" s="79"/>
      <c r="I127" s="79"/>
      <c r="J127" s="79"/>
      <c r="K127" s="79"/>
      <c r="L127" s="79"/>
      <c r="M127" s="79"/>
      <c r="N127" s="79"/>
      <c r="O127" s="79"/>
      <c r="P127" s="79"/>
      <c r="Q127" s="79"/>
      <c r="R127" s="79"/>
      <c r="S127" s="79"/>
      <c r="T127" s="79"/>
      <c r="U127" s="79"/>
      <c r="V127" s="79"/>
      <c r="W127" s="79"/>
      <c r="X127" s="79"/>
      <c r="Y127" s="79"/>
      <c r="Z127" s="79"/>
      <c r="AA127" s="79"/>
      <c r="AB127" s="79"/>
      <c r="AC127" s="79"/>
    </row>
    <row r="128">
      <c r="A128" s="43" t="s">
        <v>706</v>
      </c>
      <c r="B128" s="79">
        <v>14091.265565115202</v>
      </c>
      <c r="C128" s="79">
        <v>726.43842498997</v>
      </c>
      <c r="D128" s="79">
        <v>702.9089794342001</v>
      </c>
      <c r="E128" s="79"/>
      <c r="F128" s="79"/>
      <c r="G128" s="79"/>
      <c r="H128" s="79"/>
      <c r="I128" s="79"/>
      <c r="J128" s="79"/>
      <c r="K128" s="79"/>
      <c r="L128" s="79"/>
      <c r="M128" s="79"/>
      <c r="N128" s="79"/>
      <c r="O128" s="79"/>
      <c r="P128" s="79"/>
      <c r="Q128" s="79"/>
      <c r="R128" s="79"/>
      <c r="S128" s="79"/>
      <c r="T128" s="79"/>
      <c r="U128" s="79"/>
      <c r="V128" s="79"/>
      <c r="W128" s="79"/>
      <c r="X128" s="79"/>
      <c r="Y128" s="79"/>
      <c r="Z128" s="79"/>
      <c r="AA128" s="79"/>
      <c r="AB128" s="79"/>
      <c r="AC128" s="79"/>
    </row>
    <row r="129">
      <c r="A129" s="43" t="s">
        <v>707</v>
      </c>
      <c r="B129" s="79">
        <v>13836.652070996803</v>
      </c>
      <c r="C129" s="79">
        <v>713.3124907157301</v>
      </c>
      <c r="D129" s="79">
        <v>690.2081960678001</v>
      </c>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79"/>
      <c r="AC129" s="79"/>
    </row>
    <row r="130">
      <c r="A130" s="43" t="s">
        <v>708</v>
      </c>
      <c r="B130" s="79">
        <v>12308.9711062864</v>
      </c>
      <c r="C130" s="79">
        <v>634.55688507029</v>
      </c>
      <c r="D130" s="79">
        <v>614.0034958694</v>
      </c>
      <c r="E130" s="79"/>
      <c r="F130" s="79"/>
      <c r="G130" s="79"/>
      <c r="H130" s="79"/>
      <c r="I130" s="79"/>
      <c r="J130" s="79"/>
      <c r="K130" s="79"/>
      <c r="L130" s="79"/>
      <c r="M130" s="79"/>
      <c r="N130" s="79"/>
      <c r="O130" s="79"/>
      <c r="P130" s="79"/>
      <c r="Q130" s="79"/>
      <c r="R130" s="79"/>
      <c r="S130" s="79"/>
      <c r="T130" s="79"/>
      <c r="U130" s="79"/>
      <c r="V130" s="79"/>
      <c r="W130" s="79"/>
      <c r="X130" s="79"/>
      <c r="Y130" s="79"/>
      <c r="Z130" s="79"/>
      <c r="AA130" s="79"/>
      <c r="AB130" s="79"/>
      <c r="AC130" s="79"/>
    </row>
    <row r="131">
      <c r="A131" s="43" t="s">
        <v>709</v>
      </c>
      <c r="B131" s="79">
        <v>8346.5486040688</v>
      </c>
      <c r="C131" s="79">
        <v>430.28453292742995</v>
      </c>
      <c r="D131" s="79">
        <v>416.34755472979987</v>
      </c>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79"/>
      <c r="AC131" s="79"/>
    </row>
    <row r="133">
      <c r="A133" s="160" t="s">
        <v>717</v>
      </c>
      <c r="B133" s="160" t="s">
        <v>636</v>
      </c>
      <c r="C133" s="160" t="s">
        <v>637</v>
      </c>
      <c r="D133" s="160" t="s">
        <v>638</v>
      </c>
    </row>
    <row r="134">
      <c r="A134" s="107" t="s">
        <v>658</v>
      </c>
      <c r="B134" s="43">
        <v>275.384085655</v>
      </c>
      <c r="C134" s="79">
        <v>57.975596980000006</v>
      </c>
      <c r="D134" s="79">
        <v>14.493899245000001</v>
      </c>
    </row>
    <row r="135">
      <c r="A135" s="107" t="s">
        <v>347</v>
      </c>
      <c r="B135" s="43">
        <v>20.8752123125</v>
      </c>
      <c r="C135" s="79">
        <v>21.710220805</v>
      </c>
      <c r="D135" s="79">
        <v>0.0</v>
      </c>
    </row>
    <row r="136">
      <c r="A136" s="107" t="s">
        <v>659</v>
      </c>
      <c r="B136" s="43">
        <v>351.2021537037</v>
      </c>
      <c r="C136" s="79">
        <v>27.21996242407</v>
      </c>
      <c r="D136" s="79">
        <v>53.86536099749999</v>
      </c>
    </row>
    <row r="137">
      <c r="A137" s="107" t="s">
        <v>367</v>
      </c>
      <c r="B137" s="43">
        <v>605.7145654</v>
      </c>
      <c r="C137" s="79">
        <v>203.34703267</v>
      </c>
      <c r="D137" s="79">
        <v>141.3478203687</v>
      </c>
    </row>
    <row r="138">
      <c r="A138" s="107" t="s">
        <v>660</v>
      </c>
      <c r="B138" s="43">
        <v>2162.40201858</v>
      </c>
      <c r="C138" s="79">
        <v>254.40023748000002</v>
      </c>
      <c r="D138" s="79">
        <v>636.0005937000001</v>
      </c>
    </row>
    <row r="139">
      <c r="A139" s="107" t="s">
        <v>661</v>
      </c>
      <c r="B139" s="43">
        <v>5083.6833175</v>
      </c>
      <c r="C139" s="79">
        <v>254.18416587500002</v>
      </c>
      <c r="D139" s="79">
        <v>254.18416587500002</v>
      </c>
    </row>
    <row r="140">
      <c r="A140" s="107" t="s">
        <v>662</v>
      </c>
      <c r="B140" s="43">
        <v>8423.762292</v>
      </c>
      <c r="C140" s="79">
        <v>187.62016013999997</v>
      </c>
      <c r="D140" s="79">
        <v>537.844459068</v>
      </c>
    </row>
    <row r="141">
      <c r="A141" s="107" t="s">
        <v>663</v>
      </c>
      <c r="B141" s="43">
        <v>15783.206162799997</v>
      </c>
      <c r="C141" s="79">
        <v>789.1603081399999</v>
      </c>
      <c r="D141" s="79">
        <v>747.6255550799999</v>
      </c>
    </row>
    <row r="142">
      <c r="A142" s="107" t="s">
        <v>664</v>
      </c>
      <c r="B142" s="43">
        <v>1384.4904352000003</v>
      </c>
      <c r="C142" s="79">
        <v>475.9185871000001</v>
      </c>
      <c r="D142" s="79">
        <v>237.95929355000004</v>
      </c>
    </row>
    <row r="143">
      <c r="A143" s="107" t="s">
        <v>665</v>
      </c>
      <c r="B143" s="43">
        <v>19313.627169600004</v>
      </c>
      <c r="C143" s="79">
        <v>536.4896436</v>
      </c>
      <c r="D143" s="79">
        <v>53.64896436000001</v>
      </c>
    </row>
    <row r="144">
      <c r="A144" s="107" t="s">
        <v>434</v>
      </c>
      <c r="B144" s="43">
        <v>3888.68322944</v>
      </c>
      <c r="C144" s="79">
        <v>212.605578432</v>
      </c>
      <c r="D144" s="79">
        <v>210.788436736</v>
      </c>
    </row>
    <row r="145">
      <c r="A145" s="107" t="s">
        <v>666</v>
      </c>
      <c r="B145" s="43">
        <v>22281.642941500002</v>
      </c>
      <c r="C145" s="79">
        <v>1081.6331525</v>
      </c>
      <c r="D145" s="79">
        <v>1081.6331525</v>
      </c>
    </row>
    <row r="147">
      <c r="A147" s="128" t="s">
        <v>719</v>
      </c>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c r="AA147" s="126"/>
      <c r="AB147" s="126"/>
      <c r="AC147" s="126"/>
    </row>
    <row r="148">
      <c r="A148" s="160" t="s">
        <v>701</v>
      </c>
      <c r="B148" s="160" t="s">
        <v>636</v>
      </c>
      <c r="C148" s="160" t="s">
        <v>637</v>
      </c>
      <c r="D148" s="160" t="s">
        <v>638</v>
      </c>
    </row>
    <row r="149">
      <c r="A149" s="16" t="s">
        <v>702</v>
      </c>
      <c r="B149" s="79">
        <v>4120.5369482</v>
      </c>
      <c r="C149" s="79">
        <v>56.817612</v>
      </c>
      <c r="D149" s="79">
        <v>25.35964636</v>
      </c>
    </row>
    <row r="150">
      <c r="A150" s="43" t="s">
        <v>703</v>
      </c>
      <c r="B150" s="79">
        <v>12149.6708754</v>
      </c>
      <c r="C150" s="79">
        <v>171.12649000000002</v>
      </c>
      <c r="D150" s="79">
        <v>91.24597332000002</v>
      </c>
    </row>
    <row r="151">
      <c r="A151" s="43" t="s">
        <v>704</v>
      </c>
      <c r="B151" s="79">
        <v>883.7106344</v>
      </c>
      <c r="C151" s="79">
        <v>15.6692205</v>
      </c>
      <c r="D151" s="79">
        <v>10.38309892</v>
      </c>
    </row>
    <row r="152">
      <c r="A152" s="43" t="s">
        <v>705</v>
      </c>
      <c r="B152" s="79">
        <v>6394.203141200001</v>
      </c>
      <c r="C152" s="79">
        <v>90.64582549999999</v>
      </c>
      <c r="D152" s="79">
        <v>44.94932896</v>
      </c>
    </row>
    <row r="153">
      <c r="A153" s="43" t="s">
        <v>706</v>
      </c>
      <c r="B153" s="79">
        <v>7875.602644400001</v>
      </c>
      <c r="C153" s="79">
        <v>118.2037135</v>
      </c>
      <c r="D153" s="79">
        <v>53.35229348</v>
      </c>
    </row>
    <row r="154">
      <c r="A154" s="43" t="s">
        <v>707</v>
      </c>
      <c r="B154" s="79">
        <v>11693.553967</v>
      </c>
      <c r="C154" s="79">
        <v>177.6040295</v>
      </c>
      <c r="D154" s="79">
        <v>87.60632956</v>
      </c>
    </row>
    <row r="155">
      <c r="A155" s="43" t="s">
        <v>708</v>
      </c>
      <c r="B155" s="79">
        <v>7933.908934</v>
      </c>
      <c r="C155" s="79">
        <v>116.63654600000001</v>
      </c>
      <c r="D155" s="79">
        <v>59.033956440000004</v>
      </c>
    </row>
    <row r="156">
      <c r="A156" s="43" t="s">
        <v>709</v>
      </c>
      <c r="B156" s="79">
        <v>5802.6731612</v>
      </c>
      <c r="C156" s="79">
        <v>94.61314999999998</v>
      </c>
      <c r="D156" s="79">
        <v>42.013426040000006</v>
      </c>
    </row>
    <row r="158">
      <c r="A158" s="160" t="s">
        <v>717</v>
      </c>
      <c r="B158" s="160" t="s">
        <v>636</v>
      </c>
      <c r="C158" s="160" t="s">
        <v>637</v>
      </c>
      <c r="D158" s="160" t="s">
        <v>638</v>
      </c>
      <c r="F158" s="160"/>
      <c r="G158" s="160"/>
      <c r="H158" s="160"/>
      <c r="I158" s="160"/>
    </row>
    <row r="159">
      <c r="A159" s="91" t="s">
        <v>467</v>
      </c>
      <c r="B159" s="43">
        <v>1233.7811199999999</v>
      </c>
      <c r="C159" s="43">
        <v>239.36</v>
      </c>
      <c r="D159" s="43">
        <v>60.67775999999999</v>
      </c>
      <c r="F159" s="91"/>
      <c r="G159" s="43"/>
      <c r="H159" s="91"/>
      <c r="I159" s="43"/>
    </row>
    <row r="160">
      <c r="A160" s="91" t="s">
        <v>472</v>
      </c>
      <c r="B160" s="43">
        <v>240.52605000000003</v>
      </c>
      <c r="C160" s="43">
        <v>11.829149999999998</v>
      </c>
      <c r="D160" s="43">
        <v>11.829149999999998</v>
      </c>
      <c r="F160" s="91"/>
      <c r="G160" s="43"/>
      <c r="H160" s="91"/>
      <c r="I160" s="43"/>
    </row>
    <row r="161">
      <c r="A161" s="91" t="s">
        <v>663</v>
      </c>
      <c r="B161" s="43">
        <v>202.36905</v>
      </c>
      <c r="C161" s="43">
        <v>11.176199999999998</v>
      </c>
      <c r="D161" s="43">
        <v>9.579600000000001</v>
      </c>
      <c r="F161" s="91"/>
      <c r="G161" s="43"/>
      <c r="H161" s="91"/>
      <c r="I161" s="43"/>
    </row>
    <row r="162">
      <c r="A162" s="91" t="s">
        <v>662</v>
      </c>
      <c r="B162" s="43">
        <v>202.36905</v>
      </c>
      <c r="C162" s="43">
        <v>11.176199999999998</v>
      </c>
      <c r="D162" s="43">
        <v>9.579600000000001</v>
      </c>
      <c r="F162" s="91"/>
      <c r="G162" s="43"/>
      <c r="H162" s="91"/>
      <c r="I162" s="43"/>
    </row>
    <row r="163">
      <c r="A163" s="91" t="s">
        <v>661</v>
      </c>
      <c r="B163" s="43">
        <v>225.84</v>
      </c>
      <c r="C163" s="43">
        <v>15.8088</v>
      </c>
      <c r="D163" s="43">
        <v>11.292</v>
      </c>
      <c r="F163" s="91"/>
      <c r="G163" s="43"/>
      <c r="H163" s="91"/>
      <c r="I163" s="43"/>
    </row>
    <row r="164">
      <c r="A164" s="91" t="s">
        <v>479</v>
      </c>
      <c r="B164" s="43">
        <v>867.2255999999999</v>
      </c>
      <c r="C164" s="43">
        <v>24.089599999999997</v>
      </c>
      <c r="D164" s="43">
        <v>2.40896</v>
      </c>
      <c r="F164" s="91"/>
      <c r="G164" s="43"/>
      <c r="H164" s="91"/>
      <c r="I164" s="43"/>
    </row>
    <row r="165">
      <c r="A165" s="91" t="s">
        <v>482</v>
      </c>
      <c r="B165" s="43">
        <v>200.87349</v>
      </c>
      <c r="C165" s="43">
        <v>9.391</v>
      </c>
      <c r="D165" s="43">
        <v>10.987469999999998</v>
      </c>
      <c r="F165" s="91"/>
      <c r="G165" s="43"/>
      <c r="H165" s="91"/>
      <c r="I165" s="43"/>
    </row>
    <row r="166">
      <c r="A166" s="91" t="s">
        <v>487</v>
      </c>
      <c r="B166" s="43">
        <v>1138.3134048000002</v>
      </c>
      <c r="C166" s="43">
        <v>378.111096</v>
      </c>
      <c r="D166" s="43">
        <v>262.6877088</v>
      </c>
      <c r="F166" s="91"/>
      <c r="G166" s="43"/>
      <c r="H166" s="91"/>
      <c r="I166" s="43"/>
    </row>
    <row r="167">
      <c r="A167" s="91" t="s">
        <v>490</v>
      </c>
      <c r="B167" s="43">
        <v>43.10790300000001</v>
      </c>
      <c r="C167" s="43">
        <v>2.268837</v>
      </c>
      <c r="D167" s="43">
        <v>11.344185000000003</v>
      </c>
      <c r="F167" s="91"/>
      <c r="G167" s="43"/>
      <c r="H167" s="91"/>
      <c r="I167" s="43"/>
    </row>
    <row r="168">
      <c r="A168" s="91" t="s">
        <v>492</v>
      </c>
      <c r="B168" s="43">
        <v>0.0</v>
      </c>
      <c r="C168" s="43">
        <v>0.0</v>
      </c>
      <c r="D168" s="43">
        <v>5.259089280000001</v>
      </c>
      <c r="F168" s="91"/>
      <c r="G168" s="43"/>
      <c r="H168" s="91"/>
      <c r="I168" s="43"/>
    </row>
    <row r="169">
      <c r="A169" s="96" t="s">
        <v>494</v>
      </c>
      <c r="B169" s="43">
        <v>0.0</v>
      </c>
      <c r="C169" s="43">
        <v>0.0</v>
      </c>
      <c r="D169" s="43">
        <v>1.37853</v>
      </c>
      <c r="F169" s="96"/>
      <c r="G169" s="43"/>
      <c r="H169" s="96"/>
      <c r="I169" s="43"/>
    </row>
    <row r="170">
      <c r="A170" s="91" t="s">
        <v>495</v>
      </c>
      <c r="B170" s="43">
        <v>113.75099999999999</v>
      </c>
      <c r="C170" s="43">
        <v>16.875</v>
      </c>
      <c r="D170" s="43">
        <v>0.0</v>
      </c>
      <c r="F170" s="91"/>
      <c r="G170" s="43"/>
      <c r="H170" s="91"/>
      <c r="I170" s="43"/>
    </row>
    <row r="171">
      <c r="A171" s="91" t="s">
        <v>498</v>
      </c>
      <c r="B171" s="43">
        <v>482.712</v>
      </c>
      <c r="C171" s="43">
        <v>0.0</v>
      </c>
      <c r="D171" s="43">
        <v>0.0</v>
      </c>
      <c r="F171" s="91"/>
      <c r="G171" s="43"/>
      <c r="H171" s="91"/>
      <c r="I171" s="43"/>
    </row>
    <row r="172">
      <c r="A172" s="91" t="s">
        <v>502</v>
      </c>
      <c r="B172" s="43">
        <v>4654.4400000000005</v>
      </c>
      <c r="C172" s="43">
        <v>0.0</v>
      </c>
      <c r="D172" s="43">
        <v>0.0</v>
      </c>
      <c r="F172" s="91"/>
      <c r="G172" s="43"/>
      <c r="H172" s="91"/>
      <c r="I172" s="43"/>
    </row>
    <row r="173">
      <c r="A173" s="91" t="s">
        <v>506</v>
      </c>
      <c r="B173" s="43">
        <v>13353.040299999999</v>
      </c>
      <c r="C173" s="43">
        <v>0.0</v>
      </c>
      <c r="D173" s="43">
        <v>0.0</v>
      </c>
      <c r="F173" s="91"/>
      <c r="G173" s="43"/>
      <c r="H173" s="91"/>
      <c r="I173" s="43"/>
    </row>
    <row r="174">
      <c r="A174" s="91" t="s">
        <v>511</v>
      </c>
      <c r="B174" s="43">
        <v>11854.719449999999</v>
      </c>
      <c r="C174" s="43">
        <v>0.0</v>
      </c>
      <c r="D174" s="43">
        <v>0.0</v>
      </c>
      <c r="F174" s="91"/>
      <c r="G174" s="43"/>
      <c r="H174" s="91"/>
      <c r="I174" s="43"/>
    </row>
    <row r="175">
      <c r="A175" s="91" t="s">
        <v>515</v>
      </c>
      <c r="B175" s="43">
        <v>5626.35</v>
      </c>
      <c r="C175" s="43">
        <v>0.0</v>
      </c>
      <c r="D175" s="43">
        <v>0.0</v>
      </c>
      <c r="F175" s="91"/>
      <c r="G175" s="43"/>
      <c r="H175" s="91"/>
      <c r="I175" s="43"/>
    </row>
    <row r="176">
      <c r="A176" s="91" t="s">
        <v>670</v>
      </c>
      <c r="B176" s="43">
        <v>4900.0</v>
      </c>
      <c r="C176" s="43">
        <v>0.0</v>
      </c>
      <c r="D176" s="43">
        <v>0.0</v>
      </c>
      <c r="F176" s="91"/>
      <c r="G176" s="43"/>
      <c r="H176" s="91"/>
      <c r="I176" s="43"/>
    </row>
    <row r="177">
      <c r="A177" s="91" t="s">
        <v>671</v>
      </c>
      <c r="B177" s="43">
        <v>652.2237</v>
      </c>
      <c r="C177" s="43">
        <v>38.3661</v>
      </c>
      <c r="D177" s="43">
        <v>16.919999999999998</v>
      </c>
      <c r="F177" s="91"/>
      <c r="G177" s="43"/>
      <c r="H177" s="91"/>
      <c r="I177" s="43"/>
    </row>
    <row r="178">
      <c r="A178" s="91" t="s">
        <v>672</v>
      </c>
      <c r="B178" s="43">
        <v>6704.330000000001</v>
      </c>
      <c r="C178" s="43">
        <v>0.0</v>
      </c>
      <c r="D178" s="43">
        <v>0.0</v>
      </c>
      <c r="F178" s="91"/>
      <c r="G178" s="43"/>
      <c r="H178" s="91"/>
      <c r="I178" s="43"/>
    </row>
    <row r="179">
      <c r="A179" s="91" t="s">
        <v>720</v>
      </c>
      <c r="B179" s="43">
        <v>4149.166</v>
      </c>
      <c r="C179" s="43">
        <v>81.35600000000001</v>
      </c>
      <c r="D179" s="43">
        <v>0.0</v>
      </c>
      <c r="F179" s="91"/>
      <c r="G179" s="43"/>
      <c r="H179" s="91"/>
      <c r="I179" s="43"/>
    </row>
    <row r="180">
      <c r="A180" s="91"/>
      <c r="B180" s="43"/>
      <c r="C180" s="43"/>
      <c r="D180" s="43"/>
      <c r="F180" s="91"/>
      <c r="G180" s="43"/>
      <c r="H180" s="91"/>
      <c r="I180" s="43"/>
    </row>
    <row r="181">
      <c r="A181" s="128" t="s">
        <v>721</v>
      </c>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c r="AA181" s="126"/>
      <c r="AB181" s="126"/>
      <c r="AC181" s="126"/>
    </row>
    <row r="182">
      <c r="A182" s="160" t="s">
        <v>701</v>
      </c>
      <c r="B182" s="160" t="s">
        <v>636</v>
      </c>
      <c r="C182" s="160" t="s">
        <v>637</v>
      </c>
      <c r="D182" s="160" t="s">
        <v>638</v>
      </c>
    </row>
    <row r="183">
      <c r="A183" s="16" t="s">
        <v>702</v>
      </c>
      <c r="B183" s="79">
        <v>13846.025638</v>
      </c>
      <c r="C183" s="79">
        <v>272.166126</v>
      </c>
      <c r="D183" s="79">
        <v>782.3360359999999</v>
      </c>
    </row>
    <row r="184">
      <c r="A184" s="43" t="s">
        <v>703</v>
      </c>
      <c r="B184" s="79">
        <v>697.1102450000001</v>
      </c>
      <c r="C184" s="79">
        <v>54.57289</v>
      </c>
      <c r="D184" s="79">
        <v>70.34719</v>
      </c>
    </row>
    <row r="185">
      <c r="A185" s="43" t="s">
        <v>704</v>
      </c>
      <c r="B185" s="43">
        <v>428369.0</v>
      </c>
      <c r="C185" s="79">
        <v>2010.71902</v>
      </c>
      <c r="D185" s="79">
        <v>4857.474426</v>
      </c>
    </row>
    <row r="186">
      <c r="A186" s="43" t="s">
        <v>705</v>
      </c>
      <c r="B186" s="79">
        <v>7512.629855</v>
      </c>
      <c r="C186" s="79">
        <v>294.506789</v>
      </c>
      <c r="D186" s="79">
        <v>563.16947</v>
      </c>
    </row>
    <row r="187">
      <c r="A187" s="43" t="s">
        <v>706</v>
      </c>
      <c r="B187" s="79">
        <v>17614.245233999998</v>
      </c>
      <c r="C187" s="79">
        <v>1584.698987</v>
      </c>
      <c r="D187" s="79">
        <v>1926.4765080000002</v>
      </c>
    </row>
    <row r="188">
      <c r="A188" s="43" t="s">
        <v>707</v>
      </c>
      <c r="B188" s="79">
        <v>3015.0206750000007</v>
      </c>
      <c r="C188" s="79">
        <v>74.98953499999999</v>
      </c>
      <c r="D188" s="79">
        <v>189.42755</v>
      </c>
    </row>
    <row r="189">
      <c r="A189" s="43" t="s">
        <v>708</v>
      </c>
      <c r="B189" s="79">
        <v>6871.483631</v>
      </c>
      <c r="C189" s="79">
        <v>651.5609299999998</v>
      </c>
      <c r="D189" s="79">
        <v>797.3610019999999</v>
      </c>
    </row>
    <row r="190">
      <c r="A190" s="43" t="s">
        <v>709</v>
      </c>
      <c r="B190" s="79">
        <v>7200.041779</v>
      </c>
      <c r="C190" s="79">
        <v>772.9042649999999</v>
      </c>
      <c r="D190" s="79">
        <v>919.910418</v>
      </c>
    </row>
    <row r="192">
      <c r="A192" s="16" t="s">
        <v>722</v>
      </c>
    </row>
    <row r="193">
      <c r="A193" s="160" t="s">
        <v>717</v>
      </c>
      <c r="B193" s="160" t="s">
        <v>636</v>
      </c>
      <c r="C193" s="160" t="s">
        <v>637</v>
      </c>
      <c r="D193" s="160" t="s">
        <v>638</v>
      </c>
    </row>
    <row r="194">
      <c r="A194" s="116" t="s">
        <v>529</v>
      </c>
      <c r="B194" s="43">
        <v>516.5999999999999</v>
      </c>
      <c r="C194" s="43">
        <v>2.87</v>
      </c>
      <c r="D194" s="43">
        <v>2.3780000000000006</v>
      </c>
      <c r="F194" s="116"/>
      <c r="G194" s="79"/>
      <c r="H194" s="116"/>
      <c r="I194" s="79"/>
    </row>
    <row r="195">
      <c r="A195" s="116" t="s">
        <v>531</v>
      </c>
      <c r="B195" s="43">
        <v>261.375</v>
      </c>
      <c r="C195" s="43">
        <v>3.0749999999999997</v>
      </c>
      <c r="D195" s="43">
        <v>7.134</v>
      </c>
      <c r="F195" s="116"/>
      <c r="G195" s="79"/>
      <c r="H195" s="116"/>
      <c r="I195" s="79"/>
    </row>
    <row r="196">
      <c r="A196" s="116" t="s">
        <v>532</v>
      </c>
      <c r="B196" s="43">
        <v>2173.5</v>
      </c>
      <c r="C196" s="43">
        <v>12.075</v>
      </c>
      <c r="D196" s="43">
        <v>12.075</v>
      </c>
      <c r="F196" s="116"/>
      <c r="G196" s="43"/>
      <c r="H196" s="116"/>
      <c r="I196" s="43"/>
    </row>
    <row r="197">
      <c r="A197" s="116" t="s">
        <v>533</v>
      </c>
      <c r="B197" s="43">
        <v>9715.933500000001</v>
      </c>
      <c r="C197" s="43">
        <v>57.15255</v>
      </c>
      <c r="D197" s="43">
        <v>441.0</v>
      </c>
      <c r="F197" s="116"/>
      <c r="G197" s="43"/>
      <c r="H197" s="116"/>
      <c r="I197" s="43"/>
    </row>
    <row r="198">
      <c r="A198" s="116" t="s">
        <v>535</v>
      </c>
      <c r="B198" s="43">
        <v>2390.4193</v>
      </c>
      <c r="C198" s="43">
        <v>14.061290000000001</v>
      </c>
      <c r="D198" s="43">
        <v>108.5</v>
      </c>
      <c r="F198" s="116"/>
      <c r="G198" s="43"/>
      <c r="H198" s="116"/>
      <c r="I198" s="43"/>
    </row>
    <row r="199">
      <c r="A199" s="116" t="s">
        <v>675</v>
      </c>
      <c r="B199" s="43">
        <v>261.45036000000005</v>
      </c>
      <c r="C199" s="43">
        <v>1.452502</v>
      </c>
      <c r="D199" s="43">
        <v>0.0</v>
      </c>
      <c r="F199" s="116"/>
      <c r="G199" s="43"/>
      <c r="H199" s="116"/>
      <c r="I199" s="43"/>
    </row>
    <row r="200">
      <c r="A200" s="116" t="s">
        <v>539</v>
      </c>
      <c r="B200" s="43">
        <v>568.4</v>
      </c>
      <c r="C200" s="43">
        <v>6.09</v>
      </c>
      <c r="D200" s="43">
        <v>12.789</v>
      </c>
      <c r="F200" s="116"/>
      <c r="G200" s="43"/>
      <c r="H200" s="116"/>
      <c r="I200" s="43"/>
    </row>
    <row r="201">
      <c r="A201" s="116" t="s">
        <v>506</v>
      </c>
      <c r="B201" s="43">
        <v>4150.8069</v>
      </c>
      <c r="C201" s="43">
        <v>0.0</v>
      </c>
      <c r="D201" s="43">
        <v>0.0</v>
      </c>
      <c r="F201" s="116"/>
      <c r="G201" s="43"/>
      <c r="H201" s="116"/>
      <c r="I201" s="43"/>
    </row>
    <row r="202">
      <c r="A202" s="116" t="s">
        <v>545</v>
      </c>
      <c r="B202" s="43">
        <v>343717.76</v>
      </c>
      <c r="C202" s="43">
        <v>0.0</v>
      </c>
      <c r="D202" s="43">
        <v>0.0</v>
      </c>
      <c r="F202" s="116"/>
      <c r="G202" s="43"/>
      <c r="H202" s="116"/>
      <c r="I202" s="43"/>
    </row>
    <row r="203">
      <c r="A203" s="116" t="s">
        <v>558</v>
      </c>
      <c r="B203" s="16">
        <v>9163.0</v>
      </c>
      <c r="C203" s="16">
        <v>19.0</v>
      </c>
      <c r="D203" s="16">
        <v>83.0</v>
      </c>
      <c r="F203" s="116"/>
      <c r="G203" s="16"/>
      <c r="H203" s="116"/>
      <c r="I203" s="16"/>
    </row>
    <row r="204">
      <c r="A204" s="116" t="s">
        <v>564</v>
      </c>
      <c r="B204" s="16">
        <v>5217.0</v>
      </c>
      <c r="C204" s="16">
        <v>3089.0</v>
      </c>
      <c r="D204" s="16">
        <v>2660.0</v>
      </c>
      <c r="F204" s="116"/>
      <c r="G204" s="16"/>
      <c r="H204" s="116"/>
      <c r="I204" s="16"/>
    </row>
    <row r="205">
      <c r="A205" s="116" t="s">
        <v>677</v>
      </c>
      <c r="B205" s="16">
        <v>56592.0</v>
      </c>
      <c r="C205" s="16">
        <v>1423.0</v>
      </c>
      <c r="D205" s="16">
        <v>3865.0</v>
      </c>
      <c r="F205" s="116"/>
      <c r="G205" s="16"/>
      <c r="H205" s="116"/>
      <c r="I205" s="16"/>
    </row>
    <row r="206">
      <c r="A206" s="116" t="s">
        <v>678</v>
      </c>
      <c r="B206" s="16">
        <v>50397.0</v>
      </c>
      <c r="C206" s="16">
        <v>1088.0</v>
      </c>
      <c r="D206" s="16">
        <v>2915.0</v>
      </c>
      <c r="F206" s="116"/>
      <c r="G206" s="16"/>
      <c r="H206" s="116"/>
      <c r="I206" s="16"/>
    </row>
    <row r="208">
      <c r="A208" s="128" t="s">
        <v>711</v>
      </c>
      <c r="B208" s="125"/>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c r="AA208" s="126"/>
      <c r="AB208" s="126"/>
      <c r="AC208" s="126"/>
    </row>
    <row r="209">
      <c r="A209" s="160" t="s">
        <v>701</v>
      </c>
      <c r="B209" s="160" t="s">
        <v>636</v>
      </c>
      <c r="C209" s="160" t="s">
        <v>637</v>
      </c>
      <c r="D209" s="160" t="s">
        <v>638</v>
      </c>
    </row>
    <row r="210">
      <c r="A210" s="16" t="s">
        <v>702</v>
      </c>
      <c r="B210" s="43" t="str">
        <f>'Data - districts in tons'!I34</f>
        <v>3861</v>
      </c>
      <c r="C210" s="43"/>
      <c r="D210" s="43" t="str">
        <f>'Data - districts in tons'!K34</f>
        <v>5667</v>
      </c>
    </row>
    <row r="211">
      <c r="A211" s="43" t="s">
        <v>703</v>
      </c>
      <c r="B211" s="43" t="str">
        <f>'Data - districts in tons'!N34</f>
        <v>12078</v>
      </c>
      <c r="C211" s="43"/>
      <c r="D211" s="43" t="str">
        <f>'Data - districts in tons'!P34</f>
        <v>5532</v>
      </c>
    </row>
    <row r="212">
      <c r="A212" s="43" t="s">
        <v>704</v>
      </c>
      <c r="B212" s="43" t="str">
        <f>'Data - districts in tons'!S34</f>
        <v>4008</v>
      </c>
      <c r="C212" s="43"/>
      <c r="D212" s="43" t="str">
        <f>'Data - districts in tons'!U34</f>
        <v>52</v>
      </c>
    </row>
    <row r="213">
      <c r="A213" s="43" t="s">
        <v>705</v>
      </c>
      <c r="B213" s="43" t="str">
        <f>'Data - districts in tons'!X34</f>
        <v>11452</v>
      </c>
      <c r="C213" s="43"/>
      <c r="D213" s="43" t="str">
        <f>'Data - districts in tons'!Z34</f>
        <v>8791</v>
      </c>
    </row>
    <row r="214">
      <c r="A214" s="43" t="s">
        <v>706</v>
      </c>
      <c r="B214" s="43" t="str">
        <f>'Data - districts in tons'!AC34</f>
        <v>36414</v>
      </c>
      <c r="C214" s="43"/>
      <c r="D214" s="43" t="str">
        <f>'Data - districts in tons'!AE34</f>
        <v>9232</v>
      </c>
    </row>
    <row r="215">
      <c r="A215" s="43" t="s">
        <v>707</v>
      </c>
      <c r="B215" s="43" t="str">
        <f>'Data - districts in tons'!AH34</f>
        <v>16737</v>
      </c>
      <c r="C215" s="43"/>
      <c r="D215" s="43" t="str">
        <f>'Data - districts in tons'!AJ34</f>
        <v>8948</v>
      </c>
    </row>
    <row r="216">
      <c r="A216" s="43" t="s">
        <v>708</v>
      </c>
      <c r="B216" s="43" t="str">
        <f>'Data - districts in tons'!AM34</f>
        <v>26865</v>
      </c>
      <c r="C216" s="43"/>
      <c r="D216" s="43" t="str">
        <f>'Data - districts in tons'!AO34</f>
        <v>8033</v>
      </c>
    </row>
    <row r="217">
      <c r="A217" s="43" t="s">
        <v>709</v>
      </c>
      <c r="B217" s="43" t="str">
        <f>'Data - districts in tons'!AR34</f>
        <v>9818</v>
      </c>
      <c r="C217" s="43"/>
      <c r="D217" s="43" t="str">
        <f>'Data - districts in tons'!AT34</f>
        <v>5413</v>
      </c>
    </row>
    <row r="218">
      <c r="A218" s="16"/>
    </row>
    <row r="219">
      <c r="A219" s="160" t="s">
        <v>717</v>
      </c>
      <c r="B219" s="160" t="s">
        <v>636</v>
      </c>
      <c r="C219" s="160" t="s">
        <v>637</v>
      </c>
      <c r="D219" s="160" t="s">
        <v>638</v>
      </c>
    </row>
    <row r="220">
      <c r="A220" s="11" t="s">
        <v>21</v>
      </c>
      <c r="B220" s="79" t="str">
        <f>'Data - districts in tons'!AV5</f>
        <v>1970</v>
      </c>
      <c r="C220" s="79" t="str">
        <f>'Data - districts in tons'!AW5</f>
        <v>0</v>
      </c>
      <c r="D220" s="79" t="str">
        <f>'Data - districts in tons'!AX5</f>
        <v>0</v>
      </c>
    </row>
    <row r="221">
      <c r="A221" s="12" t="s">
        <v>28</v>
      </c>
      <c r="B221" s="79" t="str">
        <f>'Data - districts in tons'!AV6</f>
        <v>702</v>
      </c>
      <c r="C221" s="79" t="str">
        <f>'Data - districts in tons'!AW6</f>
        <v>0</v>
      </c>
      <c r="D221" s="79" t="str">
        <f>'Data - districts in tons'!AX6</f>
        <v>192</v>
      </c>
    </row>
    <row r="222">
      <c r="A222" s="12" t="s">
        <v>36</v>
      </c>
      <c r="B222" s="79" t="str">
        <f>'Data - districts in tons'!AV7</f>
        <v>4590</v>
      </c>
      <c r="C222" s="79" t="str">
        <f>'Data - districts in tons'!AW7</f>
        <v>0</v>
      </c>
      <c r="D222" s="79" t="str">
        <f>'Data - districts in tons'!AX7</f>
        <v>0</v>
      </c>
    </row>
    <row r="223">
      <c r="A223" s="12" t="s">
        <v>42</v>
      </c>
      <c r="B223" s="79" t="str">
        <f>'Data - districts in tons'!AV8</f>
        <v>23880</v>
      </c>
      <c r="C223" s="79" t="str">
        <f>'Data - districts in tons'!AW8</f>
        <v>0</v>
      </c>
      <c r="D223" s="79" t="str">
        <f>'Data - districts in tons'!AX8</f>
        <v>0</v>
      </c>
    </row>
    <row r="224">
      <c r="A224" s="11" t="s">
        <v>48</v>
      </c>
      <c r="B224" s="79" t="str">
        <f>'Data - districts in tons'!AV9</f>
        <v>0</v>
      </c>
      <c r="C224" s="79" t="str">
        <f>'Data - districts in tons'!AW9</f>
        <v>0</v>
      </c>
      <c r="D224" s="79" t="str">
        <f>'Data - districts in tons'!AX9</f>
        <v>24866</v>
      </c>
    </row>
    <row r="225">
      <c r="A225" s="11" t="s">
        <v>53</v>
      </c>
      <c r="B225" s="79" t="str">
        <f>'Data - districts in tons'!AV10</f>
        <v>0</v>
      </c>
      <c r="C225" s="79" t="str">
        <f>'Data - districts in tons'!AW10</f>
        <v>0</v>
      </c>
      <c r="D225" s="79" t="str">
        <f>'Data - districts in tons'!AX10</f>
        <v>0</v>
      </c>
    </row>
    <row r="226">
      <c r="A226" s="11" t="s">
        <v>58</v>
      </c>
      <c r="B226" s="79" t="str">
        <f>'Data - districts in tons'!AV11</f>
        <v>0</v>
      </c>
      <c r="C226" s="79" t="str">
        <f>'Data - districts in tons'!AW11</f>
        <v>0</v>
      </c>
      <c r="D226" s="79" t="str">
        <f>'Data - districts in tons'!AX11</f>
        <v>0</v>
      </c>
    </row>
    <row r="227">
      <c r="A227" s="12" t="s">
        <v>611</v>
      </c>
      <c r="B227" s="79" t="str">
        <f>'Data - districts in tons'!AV12</f>
        <v>413</v>
      </c>
      <c r="C227" s="79" t="str">
        <f>'Data - districts in tons'!AW12</f>
        <v>0</v>
      </c>
      <c r="D227" s="79" t="str">
        <f>'Data - districts in tons'!AX12</f>
        <v>23942</v>
      </c>
    </row>
    <row r="228">
      <c r="A228" s="30" t="s">
        <v>71</v>
      </c>
      <c r="B228" s="79" t="str">
        <f>'Data - districts in tons'!AV13</f>
        <v>3347</v>
      </c>
      <c r="C228" s="79" t="str">
        <f>'Data - districts in tons'!AW13</f>
        <v>0</v>
      </c>
      <c r="D228" s="79" t="str">
        <f>'Data - districts in tons'!AX13</f>
        <v>0</v>
      </c>
    </row>
    <row r="229">
      <c r="A229" s="30" t="s">
        <v>78</v>
      </c>
      <c r="B229" s="79" t="str">
        <f>'Data - districts in tons'!AV14</f>
        <v>32</v>
      </c>
      <c r="C229" s="79" t="str">
        <f>'Data - districts in tons'!AW14</f>
        <v>0</v>
      </c>
      <c r="D229" s="79" t="str">
        <f>'Data - districts in tons'!AX14</f>
        <v>0</v>
      </c>
    </row>
    <row r="230">
      <c r="A230" s="30" t="s">
        <v>81</v>
      </c>
      <c r="B230" s="79" t="str">
        <f>'Data - districts in tons'!AV15</f>
        <v>146</v>
      </c>
      <c r="C230" s="79" t="str">
        <f>'Data - districts in tons'!AW15</f>
        <v>0</v>
      </c>
      <c r="D230" s="79" t="str">
        <f>'Data - districts in tons'!AX15</f>
        <v>0</v>
      </c>
    </row>
    <row r="231">
      <c r="A231" s="30" t="s">
        <v>86</v>
      </c>
      <c r="B231" s="79" t="str">
        <f>'Data - districts in tons'!AV16</f>
        <v>581</v>
      </c>
      <c r="C231" s="79" t="str">
        <f>'Data - districts in tons'!AW16</f>
        <v>0</v>
      </c>
      <c r="D231" s="79" t="str">
        <f>'Data - districts in tons'!AX16</f>
        <v>0</v>
      </c>
    </row>
    <row r="232">
      <c r="A232" s="11" t="s">
        <v>89</v>
      </c>
      <c r="B232" s="79" t="str">
        <f>'Data - districts in tons'!AV17</f>
        <v>0</v>
      </c>
      <c r="C232" s="79" t="str">
        <f>'Data - districts in tons'!AW17</f>
        <v>0</v>
      </c>
      <c r="D232" s="79" t="str">
        <f>'Data - districts in tons'!AX17</f>
        <v>0</v>
      </c>
    </row>
    <row r="233">
      <c r="A233" s="30" t="s">
        <v>91</v>
      </c>
      <c r="B233" s="79" t="str">
        <f>'Data - districts in tons'!AV18</f>
        <v>0</v>
      </c>
      <c r="C233" s="79" t="str">
        <f>'Data - districts in tons'!AW18</f>
        <v>0</v>
      </c>
      <c r="D233" s="79" t="str">
        <f>'Data - districts in tons'!AX18</f>
        <v>0</v>
      </c>
    </row>
    <row r="234">
      <c r="A234" s="30" t="s">
        <v>93</v>
      </c>
      <c r="B234" s="79" t="str">
        <f>'Data - districts in tons'!AV19</f>
        <v>0</v>
      </c>
      <c r="C234" s="79" t="str">
        <f>'Data - districts in tons'!AW19</f>
        <v>0</v>
      </c>
      <c r="D234" s="79" t="str">
        <f>'Data - districts in tons'!AX19</f>
        <v>0</v>
      </c>
    </row>
    <row r="235">
      <c r="A235" s="11" t="s">
        <v>613</v>
      </c>
      <c r="B235" s="79" t="str">
        <f>'Data - districts in tons'!AV20</f>
        <v>4139</v>
      </c>
      <c r="C235" s="79" t="str">
        <f>'Data - districts in tons'!AW20</f>
        <v>0</v>
      </c>
      <c r="D235" s="79" t="str">
        <f>'Data - districts in tons'!AX20</f>
        <v>2181</v>
      </c>
    </row>
    <row r="236">
      <c r="A236" s="11" t="s">
        <v>101</v>
      </c>
      <c r="B236" s="79" t="str">
        <f>'Data - districts in tons'!AV21</f>
        <v>33474</v>
      </c>
      <c r="C236" s="79" t="str">
        <f>'Data - districts in tons'!AW21</f>
        <v>0</v>
      </c>
      <c r="D236" s="79" t="str">
        <f>'Data - districts in tons'!AX21</f>
        <v>0</v>
      </c>
    </row>
    <row r="237">
      <c r="A237" s="11" t="s">
        <v>107</v>
      </c>
      <c r="B237" s="79" t="str">
        <f>'Data - districts in tons'!AV22</f>
        <v>37259</v>
      </c>
      <c r="C237" s="79" t="str">
        <f>'Data - districts in tons'!AW22</f>
        <v>0</v>
      </c>
      <c r="D237" s="79" t="str">
        <f>'Data - districts in tons'!AX22</f>
        <v>0</v>
      </c>
    </row>
    <row r="238">
      <c r="A238" s="11" t="s">
        <v>113</v>
      </c>
      <c r="B238" s="79" t="str">
        <f>'Data - districts in tons'!AV23</f>
        <v>0</v>
      </c>
      <c r="C238" s="79" t="str">
        <f>'Data - districts in tons'!AW23</f>
        <v>0</v>
      </c>
      <c r="D238" s="79" t="str">
        <f>'Data - districts in tons'!AX23</f>
        <v>426</v>
      </c>
    </row>
    <row r="239">
      <c r="A239" s="11" t="s">
        <v>614</v>
      </c>
      <c r="B239" s="79" t="str">
        <f>'Data - districts in tons'!AV24</f>
        <v>2917</v>
      </c>
      <c r="C239" s="79" t="str">
        <f>'Data - districts in tons'!AW24</f>
        <v>0</v>
      </c>
      <c r="D239" s="79" t="str">
        <f>'Data - districts in tons'!AX24</f>
        <v>0</v>
      </c>
    </row>
    <row r="240">
      <c r="A240" s="12" t="s">
        <v>123</v>
      </c>
      <c r="B240" s="79" t="str">
        <f>'Data - districts in tons'!AV25</f>
        <v>109</v>
      </c>
      <c r="C240" s="79" t="str">
        <f>'Data - districts in tons'!AW25</f>
        <v>0</v>
      </c>
      <c r="D240" s="79" t="str">
        <f>'Data - districts in tons'!AX25</f>
        <v>0</v>
      </c>
    </row>
    <row r="241">
      <c r="A241" s="11" t="s">
        <v>131</v>
      </c>
      <c r="B241" s="79" t="str">
        <f>'Data - districts in tons'!AV26</f>
        <v>423</v>
      </c>
      <c r="C241" s="79" t="str">
        <f>'Data - districts in tons'!AW26</f>
        <v>0</v>
      </c>
      <c r="D241" s="79" t="str">
        <f>'Data - districts in tons'!AX26</f>
        <v>0</v>
      </c>
    </row>
    <row r="242">
      <c r="A242" s="11" t="s">
        <v>615</v>
      </c>
      <c r="B242" s="79" t="str">
        <f>'Data - districts in tons'!AV27</f>
        <v>144</v>
      </c>
      <c r="C242" s="79" t="str">
        <f>'Data - districts in tons'!AW27</f>
        <v>0</v>
      </c>
      <c r="D242" s="79" t="str">
        <f>'Data - districts in tons'!AX27</f>
        <v>0</v>
      </c>
    </row>
    <row r="243">
      <c r="A243" s="11" t="s">
        <v>616</v>
      </c>
      <c r="B243" s="79" t="str">
        <f>'Data - districts in tons'!AV28</f>
        <v>2809</v>
      </c>
      <c r="C243" s="79" t="str">
        <f>'Data - districts in tons'!AW28</f>
        <v>0</v>
      </c>
      <c r="D243" s="79" t="str">
        <f>'Data - districts in tons'!AX28</f>
        <v>0</v>
      </c>
    </row>
    <row r="244">
      <c r="A244" s="11" t="s">
        <v>142</v>
      </c>
      <c r="B244" s="79" t="str">
        <f>'Data - districts in tons'!AV29</f>
        <v>3089</v>
      </c>
      <c r="C244" s="79" t="str">
        <f>'Data - districts in tons'!AW29</f>
        <v>0</v>
      </c>
      <c r="D244" s="79" t="str">
        <f>'Data - districts in tons'!AX29</f>
        <v>0</v>
      </c>
    </row>
    <row r="245">
      <c r="A245" s="83" t="s">
        <v>149</v>
      </c>
      <c r="B245" s="79" t="str">
        <f>'Data - districts in tons'!AV30</f>
        <v>690</v>
      </c>
      <c r="C245" s="79" t="str">
        <f>'Data - districts in tons'!AW30</f>
        <v>0</v>
      </c>
      <c r="D245" s="79" t="str">
        <f>'Data - districts in tons'!AX30</f>
        <v>0</v>
      </c>
    </row>
    <row r="246">
      <c r="A246" s="83" t="s">
        <v>617</v>
      </c>
      <c r="B246" s="79" t="str">
        <f>'Data - districts in tons'!AV31</f>
        <v>0</v>
      </c>
      <c r="C246" s="79" t="str">
        <f>'Data - districts in tons'!AW31</f>
        <v>0</v>
      </c>
      <c r="D246" s="79" t="str">
        <f>'Data - districts in tons'!AX31</f>
        <v>0</v>
      </c>
    </row>
    <row r="247">
      <c r="A247" s="30" t="s">
        <v>154</v>
      </c>
      <c r="B247" s="79" t="str">
        <f>'Data - districts in tons'!AV32</f>
        <v>0</v>
      </c>
      <c r="C247" s="79" t="str">
        <f>'Data - districts in tons'!AW32</f>
        <v>0</v>
      </c>
      <c r="D247" s="79" t="str">
        <f>'Data - districts in tons'!AX32</f>
        <v>60</v>
      </c>
    </row>
    <row r="248">
      <c r="A248" s="30" t="s">
        <v>161</v>
      </c>
      <c r="B248" s="79" t="str">
        <f>'Data - districts in tons'!AV33</f>
        <v>520</v>
      </c>
      <c r="C248" s="79" t="str">
        <f>'Data - districts in tons'!AW33</f>
        <v>0</v>
      </c>
      <c r="D248" s="79" t="str">
        <f>'Data - districts in tons'!AX33</f>
        <v>0</v>
      </c>
    </row>
    <row r="250">
      <c r="A250" s="128" t="s">
        <v>164</v>
      </c>
      <c r="B250" s="125"/>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c r="AA250" s="126"/>
      <c r="AB250" s="126"/>
      <c r="AC250" s="126"/>
    </row>
    <row r="251">
      <c r="A251" s="160" t="s">
        <v>701</v>
      </c>
      <c r="B251" s="160" t="s">
        <v>636</v>
      </c>
      <c r="C251" s="160" t="s">
        <v>637</v>
      </c>
      <c r="D251" s="160" t="s">
        <v>638</v>
      </c>
    </row>
    <row r="252">
      <c r="A252" s="16" t="s">
        <v>702</v>
      </c>
      <c r="B252" s="96">
        <v>51.0</v>
      </c>
      <c r="C252" s="96">
        <v>0.00412213228</v>
      </c>
      <c r="D252" s="96">
        <v>0.07923159859</v>
      </c>
    </row>
    <row r="253">
      <c r="A253" s="43" t="s">
        <v>703</v>
      </c>
      <c r="B253" s="96">
        <v>57.0</v>
      </c>
      <c r="C253" s="96">
        <v>0.003999139183</v>
      </c>
      <c r="D253" s="96">
        <v>0.07686754547</v>
      </c>
    </row>
    <row r="254">
      <c r="A254" s="43" t="s">
        <v>704</v>
      </c>
      <c r="B254" s="96">
        <v>0.4</v>
      </c>
      <c r="C254" s="96">
        <v>2.236238127E-5</v>
      </c>
      <c r="D254" s="96">
        <v>4.298278405E-4</v>
      </c>
    </row>
    <row r="255">
      <c r="A255" s="43" t="s">
        <v>705</v>
      </c>
      <c r="B255" s="96">
        <v>79.0</v>
      </c>
      <c r="C255" s="96">
        <v>0.006373278661</v>
      </c>
      <c r="D255" s="96">
        <v>0.1225009345</v>
      </c>
    </row>
    <row r="256">
      <c r="A256" s="43" t="s">
        <v>706</v>
      </c>
      <c r="B256" s="78">
        <v>81.94881137763109</v>
      </c>
      <c r="C256" s="78">
        <v>0.006600629537102561</v>
      </c>
      <c r="D256" s="78">
        <v>0.12687085091121708</v>
      </c>
    </row>
    <row r="257">
      <c r="A257" s="43" t="s">
        <v>707</v>
      </c>
      <c r="B257" s="78">
        <v>80.87181986770213</v>
      </c>
      <c r="C257" s="78">
        <v>0.0064813635036823</v>
      </c>
      <c r="D257" s="78">
        <v>0.124578435762059</v>
      </c>
    </row>
    <row r="258">
      <c r="A258" s="43" t="s">
        <v>708</v>
      </c>
      <c r="B258" s="78">
        <v>71.49987080812834</v>
      </c>
      <c r="C258" s="78">
        <v>0.005765767303160736</v>
      </c>
      <c r="D258" s="78">
        <v>0.11082394486711059</v>
      </c>
    </row>
    <row r="259">
      <c r="A259" s="43" t="s">
        <v>709</v>
      </c>
      <c r="B259" s="78">
        <v>49.04481543485883</v>
      </c>
      <c r="C259" s="78">
        <v>0.003909689658057926</v>
      </c>
      <c r="D259" s="78">
        <v>0.07514823410833807</v>
      </c>
    </row>
    <row r="261">
      <c r="A261" s="16" t="s">
        <v>722</v>
      </c>
    </row>
    <row r="262">
      <c r="A262" s="160" t="s">
        <v>717</v>
      </c>
      <c r="B262" s="160" t="s">
        <v>636</v>
      </c>
      <c r="C262" s="160" t="s">
        <v>637</v>
      </c>
      <c r="D262" s="160" t="s">
        <v>638</v>
      </c>
    </row>
    <row r="263">
      <c r="A263" s="141" t="s">
        <v>165</v>
      </c>
      <c r="B263" s="150">
        <v>26.999999999999996</v>
      </c>
    </row>
    <row r="264">
      <c r="A264" s="142" t="s">
        <v>170</v>
      </c>
    </row>
    <row r="265">
      <c r="A265" s="141" t="s">
        <v>173</v>
      </c>
    </row>
    <row r="266">
      <c r="A266" s="165" t="s">
        <v>177</v>
      </c>
      <c r="B266" t="str">
        <f>200*0.4/1000</f>
        <v>0.08</v>
      </c>
    </row>
    <row r="267">
      <c r="A267" s="141" t="s">
        <v>181</v>
      </c>
      <c r="B267" s="96">
        <v>4.4399999999999995</v>
      </c>
      <c r="C267" s="78"/>
      <c r="D267" s="78"/>
    </row>
    <row r="268">
      <c r="A268" s="141" t="s">
        <v>187</v>
      </c>
      <c r="B268" s="96">
        <v>260.0</v>
      </c>
      <c r="C268" s="78"/>
      <c r="D268" s="78"/>
    </row>
    <row r="269">
      <c r="A269" s="141" t="s">
        <v>621</v>
      </c>
      <c r="B269" s="78"/>
      <c r="C269" s="78"/>
      <c r="D269" s="78"/>
    </row>
    <row r="270">
      <c r="A270" s="146" t="s">
        <v>191</v>
      </c>
      <c r="B270" s="96">
        <v>0.0</v>
      </c>
      <c r="C270" s="96">
        <v>0.0</v>
      </c>
      <c r="D270" s="96">
        <v>0.10536265274254963</v>
      </c>
    </row>
    <row r="271">
      <c r="A271" s="146" t="s">
        <v>196</v>
      </c>
      <c r="B271" s="96">
        <v>0.0</v>
      </c>
      <c r="C271" s="96">
        <v>0.0</v>
      </c>
      <c r="D271" s="96">
        <v>0.11699497282254662</v>
      </c>
    </row>
    <row r="272">
      <c r="A272" s="146" t="s">
        <v>198</v>
      </c>
      <c r="B272" s="96">
        <v>0.0</v>
      </c>
      <c r="C272" s="96">
        <v>0.006799909400967151</v>
      </c>
      <c r="D272" s="96">
        <v>0.12103838733721527</v>
      </c>
    </row>
    <row r="273">
      <c r="A273" s="146" t="s">
        <v>201</v>
      </c>
      <c r="B273" s="96">
        <v>0.0</v>
      </c>
      <c r="C273" s="96">
        <v>0.009120927240803324</v>
      </c>
      <c r="D273" s="96">
        <v>0.16071702827760342</v>
      </c>
    </row>
    <row r="274">
      <c r="A274" s="146" t="s">
        <v>204</v>
      </c>
      <c r="B274" s="96">
        <v>0.0</v>
      </c>
      <c r="C274" s="96">
        <v>0.008425898802061042</v>
      </c>
      <c r="D274" s="96">
        <v>0.15002210062206245</v>
      </c>
    </row>
    <row r="275">
      <c r="A275" s="146" t="s">
        <v>207</v>
      </c>
      <c r="B275" s="96">
        <v>0.2070280590103916</v>
      </c>
      <c r="C275" s="96">
        <v>0.0</v>
      </c>
      <c r="D275" s="96">
        <v>0.01239705733192802</v>
      </c>
    </row>
    <row r="276">
      <c r="A276" s="146" t="s">
        <v>210</v>
      </c>
      <c r="B276" s="96">
        <v>0.20618784205215515</v>
      </c>
      <c r="C276" s="96">
        <v>0.0</v>
      </c>
      <c r="D276" s="96">
        <v>0.012355558252519168</v>
      </c>
    </row>
    <row r="277">
      <c r="A277" s="146" t="s">
        <v>213</v>
      </c>
      <c r="B277" s="96">
        <v>0.1993166317385791</v>
      </c>
      <c r="C277" s="96">
        <v>0.0</v>
      </c>
      <c r="D277" s="96">
        <v>0.011848776725473137</v>
      </c>
    </row>
    <row r="278">
      <c r="A278" s="141" t="s">
        <v>216</v>
      </c>
      <c r="B278" s="78">
        <v>6.300000000000001</v>
      </c>
      <c r="C278" s="78"/>
      <c r="D278" s="78"/>
    </row>
    <row r="279">
      <c r="A279" s="141" t="s">
        <v>221</v>
      </c>
      <c r="B279" s="78">
        <v>170.5</v>
      </c>
      <c r="C279" s="78">
        <v>0.0129239</v>
      </c>
      <c r="D279" s="78">
        <v>0.025643199999999998</v>
      </c>
    </row>
    <row r="280">
      <c r="A280" s="141" t="s">
        <v>631</v>
      </c>
      <c r="B280" s="78"/>
      <c r="C280" s="78"/>
      <c r="D280" s="78"/>
    </row>
    <row r="281">
      <c r="A281" s="141" t="s">
        <v>229</v>
      </c>
      <c r="B281" s="78"/>
      <c r="C281" s="78">
        <v>0.010830000000000001</v>
      </c>
      <c r="D281" s="78"/>
    </row>
    <row r="282">
      <c r="A282" s="141" t="s">
        <v>633</v>
      </c>
      <c r="B282" s="78"/>
      <c r="C282" s="78"/>
      <c r="D282" s="78"/>
    </row>
    <row r="283">
      <c r="A283" s="141" t="s">
        <v>233</v>
      </c>
      <c r="B283" s="78">
        <v>6.2532E-4</v>
      </c>
      <c r="C283" s="78"/>
      <c r="D283" s="78"/>
    </row>
    <row r="284">
      <c r="A284" s="141" t="s">
        <v>237</v>
      </c>
      <c r="B284" s="78">
        <v>4.59E-4</v>
      </c>
      <c r="C284" s="78"/>
      <c r="D284" s="78"/>
    </row>
    <row r="285">
      <c r="A285" s="141" t="s">
        <v>241</v>
      </c>
      <c r="B285" s="78">
        <v>0.2904</v>
      </c>
      <c r="C285" s="78"/>
      <c r="D285" s="78"/>
    </row>
    <row r="286">
      <c r="A286" s="141" t="s">
        <v>245</v>
      </c>
      <c r="B286" s="78">
        <v>0.02</v>
      </c>
      <c r="C286" s="78"/>
      <c r="D286" s="78"/>
    </row>
    <row r="288">
      <c r="A288" s="128"/>
      <c r="B288" s="125"/>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c r="AA288" s="126"/>
      <c r="AB288" s="126"/>
      <c r="AC288" s="126"/>
    </row>
    <row r="289">
      <c r="A289" s="16"/>
      <c r="B289" s="119"/>
      <c r="C289" s="119"/>
      <c r="D289" s="119"/>
    </row>
  </sheetData>
  <mergeCells count="1">
    <mergeCell ref="B1:C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6.13"/>
  </cols>
  <sheetData>
    <row r="1" ht="39.75" customHeight="1">
      <c r="A1" s="156"/>
      <c r="B1" s="157" t="s">
        <v>723</v>
      </c>
      <c r="E1" s="156"/>
      <c r="F1" s="156"/>
      <c r="G1" s="156"/>
      <c r="H1" s="156"/>
      <c r="I1" s="156"/>
      <c r="J1" s="156"/>
      <c r="K1" s="156"/>
      <c r="L1" s="156"/>
      <c r="M1" s="156"/>
      <c r="N1" s="156"/>
      <c r="O1" s="156"/>
      <c r="P1" s="156"/>
      <c r="Q1" s="156"/>
      <c r="R1" s="156"/>
      <c r="S1" s="156"/>
      <c r="T1" s="156"/>
      <c r="U1" s="156"/>
      <c r="V1" s="156"/>
      <c r="W1" s="156"/>
      <c r="X1" s="156"/>
      <c r="Y1" s="156"/>
      <c r="Z1" s="156"/>
      <c r="AA1" s="156"/>
      <c r="AB1" s="156"/>
      <c r="AC1" s="156"/>
    </row>
    <row r="2">
      <c r="A2" s="166" t="s">
        <v>724</v>
      </c>
      <c r="B2" s="167"/>
      <c r="C2" s="167"/>
      <c r="D2" s="167"/>
      <c r="E2" s="168"/>
      <c r="F2" s="168"/>
      <c r="G2" s="168"/>
      <c r="H2" s="168"/>
      <c r="I2" s="168"/>
      <c r="J2" s="168"/>
      <c r="K2" s="168"/>
      <c r="L2" s="168"/>
      <c r="M2" s="168"/>
      <c r="N2" s="168"/>
      <c r="O2" s="168"/>
      <c r="P2" s="168"/>
      <c r="Q2" s="168"/>
      <c r="R2" s="168"/>
      <c r="S2" s="168"/>
      <c r="T2" s="168"/>
      <c r="U2" s="168"/>
      <c r="V2" s="168"/>
      <c r="W2" s="168"/>
      <c r="X2" s="168"/>
      <c r="Y2" s="168"/>
      <c r="Z2" s="168"/>
      <c r="AA2" s="168"/>
      <c r="AB2" s="168"/>
      <c r="AC2" s="168"/>
    </row>
    <row r="3">
      <c r="A3" s="166"/>
      <c r="B3" s="167" t="s">
        <v>636</v>
      </c>
      <c r="C3" s="167" t="s">
        <v>637</v>
      </c>
      <c r="D3" s="167" t="s">
        <v>638</v>
      </c>
      <c r="E3" s="166" t="s">
        <v>725</v>
      </c>
      <c r="F3" s="168"/>
      <c r="G3" s="168"/>
      <c r="H3" s="168"/>
      <c r="I3" s="168"/>
      <c r="J3" s="168"/>
      <c r="K3" s="168"/>
      <c r="L3" s="168"/>
      <c r="M3" s="168"/>
      <c r="N3" s="168"/>
      <c r="O3" s="168"/>
      <c r="P3" s="168"/>
      <c r="Q3" s="168"/>
      <c r="R3" s="168"/>
      <c r="S3" s="168"/>
      <c r="T3" s="168"/>
      <c r="U3" s="168"/>
      <c r="V3" s="168"/>
      <c r="W3" s="168"/>
      <c r="X3" s="168"/>
      <c r="Y3" s="168"/>
      <c r="Z3" s="168"/>
      <c r="AA3" s="168"/>
      <c r="AB3" s="168"/>
      <c r="AC3" s="168"/>
    </row>
    <row r="4">
      <c r="A4" s="169" t="s">
        <v>726</v>
      </c>
      <c r="B4" s="169" t="str">
        <f>(0.16)*1000</f>
        <v>160</v>
      </c>
      <c r="C4" s="169" t="str">
        <f>(0.65)*1000</f>
        <v>650</v>
      </c>
      <c r="D4" s="168" t="str">
        <f>((3.7+4.05)/2)*1000</f>
        <v>3875</v>
      </c>
      <c r="E4" s="170" t="s">
        <v>727</v>
      </c>
      <c r="F4" s="168"/>
      <c r="G4" s="168"/>
      <c r="H4" s="168"/>
      <c r="I4" s="168"/>
      <c r="J4" s="168"/>
      <c r="K4" s="168"/>
      <c r="L4" s="168"/>
      <c r="M4" s="168"/>
      <c r="N4" s="168"/>
      <c r="O4" s="168"/>
      <c r="P4" s="168"/>
      <c r="Q4" s="168"/>
      <c r="R4" s="168"/>
      <c r="S4" s="168"/>
      <c r="T4" s="168"/>
      <c r="U4" s="168"/>
      <c r="V4" s="168"/>
      <c r="W4" s="168"/>
      <c r="X4" s="168"/>
      <c r="Y4" s="168"/>
      <c r="Z4" s="168"/>
      <c r="AA4" s="168"/>
      <c r="AB4" s="168"/>
      <c r="AC4" s="168"/>
    </row>
    <row r="5">
      <c r="A5" s="169"/>
      <c r="B5" s="169"/>
      <c r="C5" s="168"/>
      <c r="D5" s="168"/>
      <c r="E5" s="168"/>
      <c r="F5" s="168"/>
      <c r="G5" s="168"/>
      <c r="H5" s="168"/>
      <c r="I5" s="168"/>
      <c r="J5" s="168"/>
      <c r="K5" s="168"/>
      <c r="L5" s="168"/>
      <c r="M5" s="168"/>
      <c r="N5" s="168"/>
      <c r="O5" s="168"/>
      <c r="P5" s="168"/>
      <c r="Q5" s="168"/>
      <c r="R5" s="168"/>
      <c r="S5" s="168"/>
      <c r="T5" s="168"/>
      <c r="U5" s="168"/>
      <c r="V5" s="168"/>
      <c r="W5" s="168"/>
      <c r="X5" s="168"/>
      <c r="Y5" s="168"/>
      <c r="Z5" s="168"/>
      <c r="AA5" s="168"/>
      <c r="AB5" s="168"/>
      <c r="AC5" s="168"/>
    </row>
    <row r="6">
      <c r="A6" s="128" t="s">
        <v>728</v>
      </c>
      <c r="B6" s="158"/>
      <c r="C6" s="156"/>
      <c r="D6" s="156"/>
      <c r="E6" s="156"/>
      <c r="F6" s="156"/>
      <c r="G6" s="156"/>
      <c r="H6" s="156"/>
      <c r="I6" s="156"/>
      <c r="J6" s="156"/>
      <c r="K6" s="156"/>
      <c r="L6" s="156"/>
      <c r="M6" s="156"/>
      <c r="N6" s="156"/>
      <c r="O6" s="156"/>
      <c r="P6" s="156"/>
      <c r="Q6" s="156"/>
      <c r="R6" s="156"/>
      <c r="S6" s="156"/>
      <c r="T6" s="156"/>
      <c r="U6" s="156"/>
      <c r="V6" s="156"/>
      <c r="W6" s="156"/>
      <c r="X6" s="156"/>
      <c r="Y6" s="156"/>
      <c r="Z6" s="156"/>
      <c r="AA6" s="156"/>
      <c r="AB6" s="156"/>
      <c r="AC6" s="156"/>
    </row>
    <row r="7">
      <c r="A7" s="171" t="s">
        <v>710</v>
      </c>
      <c r="B7" s="163" t="s">
        <v>729</v>
      </c>
      <c r="C7" s="163" t="s">
        <v>637</v>
      </c>
      <c r="D7" s="163" t="s">
        <v>730</v>
      </c>
      <c r="E7" s="161"/>
      <c r="F7" s="35"/>
      <c r="G7" s="35"/>
      <c r="H7" s="35"/>
      <c r="I7" s="35"/>
      <c r="J7" s="35"/>
      <c r="K7" s="35"/>
      <c r="L7" s="35"/>
      <c r="M7" s="35"/>
      <c r="N7" s="35"/>
      <c r="O7" s="35"/>
      <c r="P7" s="35"/>
      <c r="Q7" s="35"/>
      <c r="R7" s="35"/>
      <c r="S7" s="35"/>
      <c r="T7" s="35"/>
      <c r="U7" s="35"/>
      <c r="V7" s="35"/>
      <c r="W7" s="35"/>
      <c r="X7" s="35"/>
      <c r="Y7" s="35"/>
      <c r="Z7" s="35"/>
      <c r="AA7" s="35"/>
      <c r="AB7" s="35"/>
      <c r="AC7" s="35"/>
    </row>
    <row r="8">
      <c r="A8" s="43" t="s">
        <v>711</v>
      </c>
      <c r="B8" s="172" t="str">
        <f>$B$4*Visuals!B14/1000000</f>
        <v>19</v>
      </c>
      <c r="C8" s="172" t="str">
        <f>$C$4*Visuals!C14/1000000</f>
        <v>0</v>
      </c>
      <c r="D8" s="172" t="str">
        <f>$D$4*Visuals!D14/1000000</f>
        <v>200</v>
      </c>
      <c r="E8" s="163"/>
      <c r="F8" s="169" t="s">
        <v>731</v>
      </c>
      <c r="G8" s="168"/>
      <c r="H8" s="35"/>
      <c r="I8" s="35"/>
      <c r="J8" s="35"/>
      <c r="K8" s="35"/>
      <c r="L8" s="35"/>
      <c r="M8" s="35"/>
      <c r="N8" s="35"/>
      <c r="O8" s="35"/>
      <c r="P8" s="35"/>
      <c r="Q8" s="35"/>
      <c r="R8" s="35"/>
      <c r="S8" s="35"/>
      <c r="T8" s="35"/>
      <c r="U8" s="35"/>
      <c r="V8" s="35"/>
      <c r="W8" s="35"/>
      <c r="X8" s="35"/>
      <c r="Y8" s="35"/>
      <c r="Z8" s="35"/>
      <c r="AA8" s="35"/>
      <c r="AB8" s="35"/>
      <c r="AC8" s="35"/>
    </row>
    <row r="9">
      <c r="A9" s="43" t="s">
        <v>247</v>
      </c>
      <c r="B9" s="172" t="str">
        <f>$B$4*Visuals!B15/1000000</f>
        <v>38</v>
      </c>
      <c r="C9" s="172" t="str">
        <f>$C$4*Visuals!C15/1000000</f>
        <v>26</v>
      </c>
      <c r="D9" s="172" t="str">
        <f>$D$4*Visuals!D15/1000000</f>
        <v>33</v>
      </c>
      <c r="E9" s="161"/>
      <c r="F9" s="169" t="s">
        <v>732</v>
      </c>
      <c r="G9" s="168"/>
      <c r="H9" s="35"/>
      <c r="I9" s="35"/>
      <c r="J9" s="35"/>
      <c r="K9" s="35"/>
      <c r="L9" s="35"/>
      <c r="M9" s="35"/>
      <c r="N9" s="35"/>
      <c r="O9" s="35"/>
      <c r="P9" s="35"/>
      <c r="Q9" s="35"/>
      <c r="R9" s="35"/>
      <c r="S9" s="35"/>
      <c r="T9" s="35"/>
      <c r="U9" s="35"/>
      <c r="V9" s="35"/>
      <c r="W9" s="35"/>
      <c r="X9" s="35"/>
      <c r="Y9" s="35"/>
      <c r="Z9" s="35"/>
      <c r="AA9" s="35"/>
      <c r="AB9" s="35"/>
      <c r="AC9" s="35"/>
    </row>
    <row r="10">
      <c r="A10" s="43" t="s">
        <v>712</v>
      </c>
      <c r="B10" s="172" t="str">
        <f>$B$4*Visuals!B16/1000000</f>
        <v>0</v>
      </c>
      <c r="C10" s="172" t="str">
        <f>$C$4*Visuals!C16/1000000</f>
        <v>0</v>
      </c>
      <c r="D10" s="172" t="str">
        <f>$D$4*Visuals!D16/1000000</f>
        <v>0</v>
      </c>
      <c r="E10" s="161"/>
      <c r="F10" s="173" t="str">
        <f>sum(B8:B13)</f>
        <v>157</v>
      </c>
      <c r="G10" s="169" t="s">
        <v>636</v>
      </c>
      <c r="H10" s="35"/>
      <c r="I10" s="35"/>
      <c r="J10" s="35"/>
      <c r="K10" s="35"/>
      <c r="L10" s="35"/>
      <c r="M10" s="35"/>
      <c r="N10" s="35"/>
      <c r="O10" s="35"/>
      <c r="P10" s="35"/>
      <c r="Q10" s="35"/>
      <c r="R10" s="35"/>
      <c r="S10" s="35"/>
      <c r="T10" s="35"/>
      <c r="U10" s="35"/>
      <c r="V10" s="35"/>
      <c r="W10" s="35"/>
      <c r="X10" s="35"/>
      <c r="Y10" s="35"/>
      <c r="Z10" s="35"/>
      <c r="AA10" s="35"/>
      <c r="AB10" s="35"/>
      <c r="AC10" s="35"/>
    </row>
    <row r="11">
      <c r="A11" s="43" t="s">
        <v>713</v>
      </c>
      <c r="B11" s="172" t="str">
        <f>$B$4*Visuals!B17/1000000</f>
        <v>13</v>
      </c>
      <c r="C11" s="172" t="str">
        <f>$C$4*Visuals!C17/1000000</f>
        <v>3</v>
      </c>
      <c r="D11" s="172" t="str">
        <f>$D$4*Visuals!D17/1000000</f>
        <v>15</v>
      </c>
      <c r="E11" s="161"/>
      <c r="F11" s="173" t="str">
        <f>sum(C8:C13)</f>
        <v>33</v>
      </c>
      <c r="G11" s="169" t="s">
        <v>637</v>
      </c>
      <c r="H11" s="35"/>
      <c r="I11" s="35"/>
      <c r="J11" s="35"/>
      <c r="K11" s="35"/>
      <c r="L11" s="35"/>
      <c r="M11" s="35"/>
      <c r="N11" s="35"/>
      <c r="O11" s="35"/>
      <c r="P11" s="35"/>
      <c r="Q11" s="35"/>
      <c r="R11" s="35"/>
      <c r="S11" s="35"/>
      <c r="T11" s="35"/>
      <c r="U11" s="35"/>
      <c r="V11" s="35"/>
      <c r="W11" s="35"/>
      <c r="X11" s="35"/>
      <c r="Y11" s="35"/>
      <c r="Z11" s="35"/>
      <c r="AA11" s="35"/>
      <c r="AB11" s="35"/>
      <c r="AC11" s="35"/>
    </row>
    <row r="12">
      <c r="A12" s="43" t="s">
        <v>714</v>
      </c>
      <c r="B12" s="172" t="str">
        <f>$B$4*Visuals!B18/1000000</f>
        <v>9</v>
      </c>
      <c r="C12" s="172" t="str">
        <f>$C$4*Visuals!C18/1000000</f>
        <v>1</v>
      </c>
      <c r="D12" s="172" t="str">
        <f>$D$4*Visuals!D18/1000000</f>
        <v>2</v>
      </c>
      <c r="E12" s="161"/>
      <c r="F12" s="173" t="str">
        <f>sum(D8:D13)</f>
        <v>289</v>
      </c>
      <c r="G12" s="169" t="s">
        <v>638</v>
      </c>
      <c r="H12" s="35"/>
      <c r="I12" s="35"/>
      <c r="J12" s="35"/>
      <c r="K12" s="35"/>
      <c r="L12" s="35"/>
      <c r="M12" s="35"/>
      <c r="N12" s="35"/>
      <c r="O12" s="35"/>
      <c r="P12" s="35"/>
      <c r="Q12" s="35"/>
      <c r="R12" s="35"/>
      <c r="S12" s="35"/>
      <c r="T12" s="35"/>
      <c r="U12" s="35"/>
      <c r="V12" s="35"/>
      <c r="W12" s="35"/>
      <c r="X12" s="35"/>
      <c r="Y12" s="35"/>
      <c r="Z12" s="35"/>
      <c r="AA12" s="35"/>
      <c r="AB12" s="35"/>
      <c r="AC12" s="35"/>
    </row>
    <row r="13">
      <c r="A13" s="43" t="s">
        <v>715</v>
      </c>
      <c r="B13" s="172" t="str">
        <f>$B$4*Visuals!B19/1000000</f>
        <v>78</v>
      </c>
      <c r="C13" s="172" t="str">
        <f>$C$4*Visuals!C19/1000000</f>
        <v>4</v>
      </c>
      <c r="D13" s="172" t="str">
        <f>$D$4*Visuals!D19/1000000</f>
        <v>39</v>
      </c>
      <c r="E13" s="161"/>
      <c r="F13" s="174" t="str">
        <f>sum(F10:F12)</f>
        <v>479</v>
      </c>
      <c r="G13" s="166" t="s">
        <v>733</v>
      </c>
      <c r="H13" s="35"/>
      <c r="I13" s="35"/>
      <c r="J13" s="35"/>
      <c r="K13" s="35"/>
      <c r="L13" s="35"/>
      <c r="M13" s="35"/>
      <c r="N13" s="35"/>
      <c r="O13" s="35"/>
      <c r="P13" s="35"/>
      <c r="Q13" s="35"/>
      <c r="R13" s="35"/>
      <c r="S13" s="35"/>
      <c r="T13" s="35"/>
      <c r="U13" s="35"/>
      <c r="V13" s="35"/>
      <c r="W13" s="35"/>
      <c r="X13" s="35"/>
      <c r="Y13" s="35"/>
      <c r="Z13" s="35"/>
      <c r="AA13" s="35"/>
      <c r="AB13" s="35"/>
      <c r="AC13" s="35"/>
    </row>
    <row r="14">
      <c r="E14" s="161"/>
      <c r="H14" s="35"/>
      <c r="I14" s="35"/>
      <c r="J14" s="35"/>
      <c r="K14" s="35"/>
      <c r="L14" s="35"/>
      <c r="M14" s="35"/>
      <c r="N14" s="35"/>
      <c r="O14" s="35"/>
      <c r="P14" s="35"/>
      <c r="Q14" s="35"/>
      <c r="R14" s="35"/>
      <c r="S14" s="35"/>
      <c r="T14" s="35"/>
      <c r="U14" s="35"/>
      <c r="V14" s="35"/>
      <c r="W14" s="35"/>
      <c r="X14" s="35"/>
      <c r="Y14" s="35"/>
      <c r="Z14" s="35"/>
      <c r="AA14" s="35"/>
      <c r="AB14" s="35"/>
      <c r="AC14" s="35"/>
    </row>
    <row r="15">
      <c r="A15" s="16"/>
      <c r="B15" s="79"/>
      <c r="C15" s="79"/>
      <c r="D15" s="79"/>
      <c r="E15" s="161"/>
      <c r="F15" s="35"/>
      <c r="G15" s="35"/>
      <c r="H15" s="35"/>
      <c r="I15" s="35"/>
      <c r="J15" s="35"/>
      <c r="K15" s="35"/>
      <c r="L15" s="35"/>
      <c r="M15" s="35"/>
      <c r="N15" s="35"/>
      <c r="O15" s="35"/>
      <c r="P15" s="35"/>
      <c r="Q15" s="35"/>
      <c r="R15" s="35"/>
      <c r="S15" s="35"/>
      <c r="T15" s="35"/>
      <c r="U15" s="35"/>
      <c r="V15" s="35"/>
      <c r="W15" s="35"/>
      <c r="X15" s="35"/>
      <c r="Y15" s="35"/>
      <c r="Z15" s="35"/>
      <c r="AA15" s="35"/>
      <c r="AB15" s="35"/>
      <c r="AC15" s="35"/>
    </row>
    <row r="16">
      <c r="A16" s="16"/>
      <c r="E16" s="161"/>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c r="A17" s="16"/>
      <c r="B17" s="160"/>
      <c r="H17" s="35"/>
      <c r="I17" s="35"/>
      <c r="J17" s="35"/>
      <c r="K17" s="35"/>
      <c r="L17" s="35"/>
      <c r="M17" s="35"/>
      <c r="N17" s="35"/>
      <c r="O17" s="35"/>
      <c r="P17" s="35"/>
      <c r="Q17" s="35"/>
      <c r="R17" s="35"/>
      <c r="S17" s="35"/>
      <c r="T17" s="35"/>
      <c r="U17" s="35"/>
      <c r="V17" s="35"/>
      <c r="W17" s="35"/>
      <c r="X17" s="35"/>
      <c r="Y17" s="35"/>
      <c r="Z17" s="35"/>
      <c r="AA17" s="35"/>
      <c r="AB17" s="35"/>
      <c r="AC17" s="35"/>
    </row>
    <row r="18">
      <c r="B18" s="171"/>
      <c r="C18" s="171"/>
      <c r="D18" s="171"/>
      <c r="H18" s="35"/>
      <c r="I18" s="35"/>
      <c r="J18" s="35"/>
      <c r="K18" s="35"/>
      <c r="L18" s="35"/>
      <c r="M18" s="35"/>
      <c r="N18" s="35"/>
      <c r="O18" s="35"/>
      <c r="P18" s="35"/>
      <c r="Q18" s="35"/>
      <c r="R18" s="35"/>
      <c r="S18" s="35"/>
      <c r="T18" s="35"/>
      <c r="U18" s="35"/>
      <c r="V18" s="35"/>
      <c r="W18" s="35"/>
      <c r="X18" s="35"/>
      <c r="Y18" s="35"/>
      <c r="Z18" s="35"/>
      <c r="AA18" s="35"/>
      <c r="AB18" s="35"/>
      <c r="AC18" s="35"/>
    </row>
    <row r="19">
      <c r="B19" s="43"/>
      <c r="C19" s="43"/>
      <c r="D19" s="43"/>
      <c r="H19" s="35"/>
      <c r="I19" s="35"/>
      <c r="J19" s="35"/>
      <c r="K19" s="35"/>
      <c r="L19" s="35"/>
      <c r="M19" s="35"/>
      <c r="N19" s="35"/>
      <c r="O19" s="35"/>
      <c r="P19" s="35"/>
      <c r="Q19" s="35"/>
      <c r="R19" s="35"/>
      <c r="S19" s="35"/>
      <c r="T19" s="35"/>
      <c r="U19" s="35"/>
      <c r="V19" s="35"/>
      <c r="W19" s="35"/>
      <c r="X19" s="35"/>
      <c r="Y19" s="35"/>
      <c r="Z19" s="35"/>
      <c r="AA19" s="35"/>
      <c r="AB19" s="35"/>
      <c r="AC19" s="35"/>
    </row>
    <row r="20">
      <c r="B20" s="43"/>
      <c r="C20" s="43"/>
      <c r="D20" s="43"/>
      <c r="H20" s="35"/>
      <c r="I20" s="35"/>
      <c r="J20" s="35"/>
      <c r="K20" s="35"/>
      <c r="L20" s="35"/>
      <c r="M20" s="35"/>
      <c r="N20" s="35"/>
      <c r="O20" s="35"/>
      <c r="P20" s="35"/>
      <c r="Q20" s="35"/>
      <c r="R20" s="35"/>
      <c r="S20" s="35"/>
      <c r="T20" s="35"/>
      <c r="U20" s="35"/>
      <c r="V20" s="35"/>
      <c r="W20" s="35"/>
      <c r="X20" s="35"/>
      <c r="Y20" s="35"/>
      <c r="Z20" s="35"/>
      <c r="AA20" s="35"/>
      <c r="AB20" s="35"/>
      <c r="AC20" s="35"/>
    </row>
    <row r="21">
      <c r="B21" s="79"/>
      <c r="C21" s="79"/>
      <c r="D21" s="79"/>
      <c r="H21" s="35"/>
      <c r="I21" s="35"/>
      <c r="J21" s="35"/>
      <c r="K21" s="35"/>
      <c r="L21" s="35"/>
      <c r="M21" s="35"/>
      <c r="N21" s="35"/>
      <c r="O21" s="35"/>
      <c r="P21" s="35"/>
      <c r="Q21" s="35"/>
      <c r="R21" s="35"/>
      <c r="S21" s="35"/>
      <c r="T21" s="35"/>
      <c r="U21" s="35"/>
      <c r="V21" s="35"/>
      <c r="W21" s="35"/>
      <c r="X21" s="35"/>
      <c r="Y21" s="35"/>
      <c r="Z21" s="35"/>
      <c r="AA21" s="35"/>
      <c r="AB21" s="35"/>
      <c r="AC21" s="35"/>
    </row>
    <row r="22">
      <c r="B22" s="43"/>
      <c r="C22" s="43"/>
      <c r="D22" s="43"/>
      <c r="H22" s="35"/>
      <c r="I22" s="35"/>
      <c r="J22" s="35"/>
      <c r="K22" s="35"/>
      <c r="L22" s="35"/>
      <c r="M22" s="35"/>
      <c r="N22" s="35"/>
      <c r="O22" s="35"/>
      <c r="P22" s="35"/>
      <c r="Q22" s="35"/>
      <c r="R22" s="35"/>
      <c r="S22" s="35"/>
      <c r="T22" s="35"/>
      <c r="U22" s="35"/>
      <c r="V22" s="35"/>
      <c r="W22" s="35"/>
      <c r="X22" s="35"/>
      <c r="Y22" s="35"/>
      <c r="Z22" s="35"/>
      <c r="AA22" s="35"/>
      <c r="AB22" s="35"/>
      <c r="AC22" s="35"/>
    </row>
    <row r="23">
      <c r="B23" s="43"/>
      <c r="C23" s="43"/>
      <c r="D23" s="43"/>
      <c r="H23" s="35"/>
      <c r="I23" s="35"/>
      <c r="J23" s="35"/>
      <c r="K23" s="35"/>
      <c r="L23" s="35"/>
      <c r="M23" s="35"/>
      <c r="N23" s="35"/>
      <c r="O23" s="35"/>
      <c r="P23" s="35"/>
      <c r="Q23" s="35"/>
      <c r="R23" s="35"/>
      <c r="S23" s="35"/>
      <c r="T23" s="35"/>
      <c r="U23" s="35"/>
      <c r="V23" s="35"/>
      <c r="W23" s="35"/>
      <c r="X23" s="35"/>
      <c r="Y23" s="35"/>
      <c r="Z23" s="35"/>
      <c r="AA23" s="35"/>
      <c r="AB23" s="35"/>
      <c r="AC23" s="35"/>
    </row>
    <row r="24">
      <c r="B24" s="43"/>
      <c r="C24" s="43"/>
      <c r="D24" s="43"/>
      <c r="H24" s="35"/>
      <c r="I24" s="35"/>
      <c r="J24" s="35"/>
      <c r="K24" s="35"/>
      <c r="L24" s="35"/>
      <c r="M24" s="35"/>
      <c r="N24" s="35"/>
      <c r="O24" s="35"/>
      <c r="P24" s="35"/>
      <c r="Q24" s="35"/>
      <c r="R24" s="35"/>
      <c r="S24" s="35"/>
      <c r="T24" s="35"/>
      <c r="U24" s="35"/>
      <c r="V24" s="35"/>
      <c r="W24" s="35"/>
      <c r="X24" s="35"/>
      <c r="Y24" s="35"/>
      <c r="Z24" s="35"/>
      <c r="AA24" s="35"/>
      <c r="AB24" s="35"/>
      <c r="AC24" s="35"/>
    </row>
    <row r="25">
      <c r="A25" s="40"/>
      <c r="B25" s="35"/>
      <c r="C25" s="35"/>
      <c r="D25" s="163"/>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sheetData>
  <mergeCells count="1">
    <mergeCell ref="B1:D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5.13" defaultRowHeight="15.0"/>
  <cols>
    <col customWidth="1" min="1" max="2" width="18.88"/>
  </cols>
  <sheetData>
    <row r="1">
      <c r="A1" t="s">
        <v>734</v>
      </c>
      <c r="B1" s="16" t="s">
        <v>735</v>
      </c>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5.13" defaultRowHeight="15.0"/>
  <cols>
    <col customWidth="1" min="1" max="1" width="30.63"/>
    <col customWidth="1" min="2" max="2" width="36.75"/>
    <col customWidth="1" min="3" max="3" width="35.25"/>
  </cols>
  <sheetData>
    <row r="1" ht="39.75" customHeight="1">
      <c r="A1" s="156"/>
      <c r="B1" s="157" t="s">
        <v>736</v>
      </c>
      <c r="E1" s="156"/>
      <c r="F1" s="156"/>
      <c r="G1" s="156"/>
      <c r="H1" s="156"/>
      <c r="I1" s="156"/>
      <c r="J1" s="156"/>
      <c r="K1" s="156"/>
      <c r="L1" s="156"/>
      <c r="M1" s="156"/>
      <c r="N1" s="156"/>
      <c r="O1" s="156"/>
      <c r="P1" s="156"/>
      <c r="Q1" s="156"/>
      <c r="R1" s="156"/>
      <c r="S1" s="156"/>
      <c r="T1" s="156"/>
      <c r="U1" s="156"/>
      <c r="V1" s="156"/>
      <c r="W1" s="156"/>
      <c r="X1" s="156"/>
      <c r="Y1" s="156"/>
      <c r="Z1" s="156"/>
      <c r="AA1" s="156"/>
      <c r="AB1" s="156"/>
      <c r="AC1" s="156"/>
    </row>
    <row r="2">
      <c r="A2" s="175"/>
      <c r="B2" s="175"/>
      <c r="C2" s="175"/>
      <c r="D2" s="175"/>
      <c r="E2" s="175"/>
      <c r="F2" s="175"/>
    </row>
    <row r="3">
      <c r="A3" s="176" t="s">
        <v>737</v>
      </c>
      <c r="B3" s="175"/>
      <c r="C3" s="175"/>
      <c r="D3" s="175"/>
      <c r="E3" s="175"/>
      <c r="F3" s="175"/>
    </row>
    <row r="4">
      <c r="A4" s="177" t="s">
        <v>738</v>
      </c>
      <c r="B4" s="177" t="s">
        <v>739</v>
      </c>
      <c r="C4" s="177" t="s">
        <v>725</v>
      </c>
      <c r="D4" s="177" t="s">
        <v>740</v>
      </c>
      <c r="E4" s="177" t="s">
        <v>741</v>
      </c>
      <c r="F4" s="177" t="s">
        <v>742</v>
      </c>
    </row>
    <row r="5">
      <c r="A5" s="178" t="s">
        <v>743</v>
      </c>
      <c r="B5" s="178" t="s">
        <v>744</v>
      </c>
      <c r="C5" s="178" t="s">
        <v>745</v>
      </c>
      <c r="D5" s="178">
        <v>2000.0</v>
      </c>
      <c r="E5" s="175"/>
      <c r="F5" s="175"/>
    </row>
    <row r="6">
      <c r="A6" s="178" t="s">
        <v>746</v>
      </c>
      <c r="B6" s="178" t="s">
        <v>747</v>
      </c>
      <c r="C6" s="178" t="s">
        <v>745</v>
      </c>
      <c r="D6" s="178">
        <v>2005.0</v>
      </c>
      <c r="E6" s="175"/>
      <c r="F6" s="175"/>
    </row>
    <row r="7">
      <c r="A7" s="178" t="s">
        <v>748</v>
      </c>
      <c r="B7" s="178" t="s">
        <v>749</v>
      </c>
      <c r="C7" s="178" t="s">
        <v>745</v>
      </c>
      <c r="D7" s="178">
        <v>2000.0</v>
      </c>
      <c r="E7" s="175"/>
      <c r="F7" s="175"/>
    </row>
    <row r="8">
      <c r="A8" s="178" t="s">
        <v>750</v>
      </c>
      <c r="B8" s="178" t="s">
        <v>751</v>
      </c>
      <c r="C8" s="178" t="s">
        <v>745</v>
      </c>
      <c r="D8" s="178">
        <v>2005.0</v>
      </c>
      <c r="E8" s="175"/>
      <c r="F8" s="175"/>
    </row>
    <row r="9">
      <c r="A9" s="178" t="s">
        <v>752</v>
      </c>
      <c r="B9" s="179" t="s">
        <v>753</v>
      </c>
      <c r="C9" s="178" t="s">
        <v>745</v>
      </c>
      <c r="D9" s="178">
        <v>2008.0</v>
      </c>
      <c r="E9" s="175"/>
      <c r="F9" s="175"/>
    </row>
    <row r="10">
      <c r="A10" s="178" t="s">
        <v>754</v>
      </c>
      <c r="B10" s="178" t="s">
        <v>755</v>
      </c>
      <c r="C10" s="178" t="s">
        <v>745</v>
      </c>
      <c r="D10" s="178">
        <v>2008.0</v>
      </c>
      <c r="E10" s="175"/>
      <c r="F10" s="175"/>
    </row>
    <row r="11">
      <c r="A11" s="178" t="s">
        <v>756</v>
      </c>
      <c r="B11" s="178" t="s">
        <v>757</v>
      </c>
      <c r="C11" s="178" t="s">
        <v>745</v>
      </c>
      <c r="D11" s="178">
        <v>2008.0</v>
      </c>
      <c r="E11" s="175"/>
      <c r="F11" s="175"/>
    </row>
    <row r="12">
      <c r="A12" s="180" t="s">
        <v>758</v>
      </c>
      <c r="B12" s="175"/>
      <c r="C12" s="178" t="s">
        <v>745</v>
      </c>
      <c r="D12" s="175"/>
      <c r="E12" s="181" t="s">
        <v>147</v>
      </c>
      <c r="F12" s="175"/>
    </row>
    <row r="13">
      <c r="A13" s="179" t="s">
        <v>759</v>
      </c>
      <c r="B13" s="175"/>
      <c r="C13" s="178" t="s">
        <v>745</v>
      </c>
      <c r="D13" s="175"/>
      <c r="E13" s="182" t="s">
        <v>335</v>
      </c>
      <c r="F13" s="175"/>
    </row>
    <row r="14">
      <c r="A14" s="179" t="s">
        <v>760</v>
      </c>
      <c r="B14" s="175"/>
      <c r="C14" s="178" t="s">
        <v>745</v>
      </c>
      <c r="D14" s="175"/>
      <c r="E14" s="182" t="s">
        <v>26</v>
      </c>
      <c r="F14" s="175"/>
    </row>
    <row r="15">
      <c r="A15" s="179" t="s">
        <v>761</v>
      </c>
      <c r="B15" s="175"/>
      <c r="C15" s="178" t="s">
        <v>745</v>
      </c>
      <c r="D15" s="175"/>
      <c r="E15" s="182" t="s">
        <v>26</v>
      </c>
      <c r="F15" s="175"/>
    </row>
    <row r="16">
      <c r="A16" s="179" t="s">
        <v>762</v>
      </c>
      <c r="B16" s="175"/>
      <c r="C16" s="178" t="s">
        <v>745</v>
      </c>
      <c r="D16" s="175"/>
      <c r="E16" s="180" t="s">
        <v>763</v>
      </c>
      <c r="F16" s="175"/>
    </row>
    <row r="17">
      <c r="A17" s="179" t="s">
        <v>764</v>
      </c>
      <c r="B17" s="175"/>
      <c r="C17" s="178" t="s">
        <v>745</v>
      </c>
      <c r="D17" s="175"/>
      <c r="E17" s="180" t="s">
        <v>765</v>
      </c>
    </row>
    <row r="18">
      <c r="A18" s="179" t="s">
        <v>766</v>
      </c>
      <c r="B18" s="175"/>
      <c r="C18" s="178" t="s">
        <v>745</v>
      </c>
      <c r="D18" s="175"/>
      <c r="E18" s="180" t="s">
        <v>767</v>
      </c>
      <c r="F18" s="175"/>
    </row>
    <row r="19">
      <c r="A19" s="179" t="s">
        <v>768</v>
      </c>
      <c r="B19" s="175"/>
      <c r="C19" s="178" t="s">
        <v>745</v>
      </c>
      <c r="D19" s="175"/>
      <c r="E19" s="180" t="s">
        <v>767</v>
      </c>
      <c r="F19" s="175"/>
    </row>
    <row r="20">
      <c r="A20" s="179" t="s">
        <v>769</v>
      </c>
      <c r="B20" s="175"/>
      <c r="C20" s="178" t="s">
        <v>745</v>
      </c>
      <c r="D20" s="175"/>
      <c r="E20" s="180" t="s">
        <v>763</v>
      </c>
      <c r="F20" s="175"/>
    </row>
    <row r="21">
      <c r="A21" s="179" t="s">
        <v>770</v>
      </c>
      <c r="B21" s="175"/>
      <c r="C21" s="178" t="s">
        <v>745</v>
      </c>
      <c r="D21" s="175"/>
      <c r="E21" s="180" t="s">
        <v>763</v>
      </c>
      <c r="F21" s="175"/>
    </row>
    <row r="22">
      <c r="A22" s="179" t="s">
        <v>771</v>
      </c>
      <c r="B22" s="175"/>
      <c r="C22" s="178" t="s">
        <v>745</v>
      </c>
      <c r="D22" s="175"/>
      <c r="E22" s="180" t="s">
        <v>767</v>
      </c>
      <c r="F22" s="175"/>
    </row>
    <row r="23">
      <c r="A23" s="179" t="s">
        <v>772</v>
      </c>
      <c r="B23" s="175"/>
      <c r="C23" s="178" t="s">
        <v>745</v>
      </c>
      <c r="D23" s="175"/>
      <c r="E23" s="180" t="s">
        <v>773</v>
      </c>
      <c r="F23" s="175"/>
    </row>
    <row r="24">
      <c r="A24" s="179" t="s">
        <v>774</v>
      </c>
      <c r="B24" s="175"/>
      <c r="C24" s="178" t="s">
        <v>745</v>
      </c>
      <c r="D24" s="175"/>
      <c r="E24" s="180" t="s">
        <v>773</v>
      </c>
      <c r="F24" s="175"/>
    </row>
    <row r="25">
      <c r="A25" s="179" t="s">
        <v>775</v>
      </c>
      <c r="B25" s="175"/>
      <c r="C25" s="178" t="s">
        <v>745</v>
      </c>
      <c r="D25" s="175"/>
      <c r="E25" s="180" t="s">
        <v>776</v>
      </c>
      <c r="F25" s="175"/>
    </row>
    <row r="26">
      <c r="A26" s="179" t="s">
        <v>777</v>
      </c>
      <c r="B26" s="183"/>
      <c r="C26" s="178" t="s">
        <v>745</v>
      </c>
      <c r="D26" s="183"/>
      <c r="E26" s="180" t="s">
        <v>776</v>
      </c>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row>
    <row r="27">
      <c r="A27" s="179" t="s">
        <v>778</v>
      </c>
      <c r="B27" s="183"/>
      <c r="C27" s="178" t="s">
        <v>745</v>
      </c>
      <c r="D27" s="183"/>
      <c r="E27" s="180" t="s">
        <v>776</v>
      </c>
      <c r="F27" s="183"/>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row>
    <row r="28">
      <c r="A28" s="179" t="s">
        <v>779</v>
      </c>
      <c r="B28" s="183"/>
      <c r="C28" s="178" t="s">
        <v>745</v>
      </c>
      <c r="D28" s="183"/>
      <c r="E28" s="180" t="s">
        <v>776</v>
      </c>
      <c r="F28" s="183"/>
      <c r="G28" s="184"/>
      <c r="H28" s="184"/>
      <c r="I28" s="184"/>
      <c r="J28" s="184"/>
      <c r="K28" s="184"/>
      <c r="L28" s="184"/>
      <c r="M28" s="184"/>
      <c r="N28" s="184"/>
      <c r="O28" s="184"/>
      <c r="P28" s="184"/>
      <c r="Q28" s="184"/>
      <c r="R28" s="184"/>
      <c r="S28" s="184"/>
      <c r="T28" s="184"/>
      <c r="U28" s="184"/>
      <c r="V28" s="184"/>
      <c r="W28" s="184"/>
      <c r="X28" s="184"/>
      <c r="Y28" s="184"/>
      <c r="Z28" s="184"/>
      <c r="AA28" s="184"/>
      <c r="AB28" s="184"/>
      <c r="AC28" s="184"/>
    </row>
    <row r="29">
      <c r="A29" s="179" t="s">
        <v>780</v>
      </c>
      <c r="B29" s="183"/>
      <c r="C29" s="178" t="s">
        <v>745</v>
      </c>
      <c r="D29" s="183"/>
      <c r="E29" s="180" t="s">
        <v>781</v>
      </c>
      <c r="F29" s="183"/>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row>
    <row r="30">
      <c r="A30" s="179" t="s">
        <v>782</v>
      </c>
      <c r="B30" s="183"/>
      <c r="C30" s="178" t="s">
        <v>745</v>
      </c>
      <c r="D30" s="183"/>
      <c r="E30" s="180" t="s">
        <v>781</v>
      </c>
      <c r="F30" s="183"/>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row>
    <row r="31">
      <c r="A31" s="179" t="s">
        <v>783</v>
      </c>
      <c r="B31" s="183"/>
      <c r="C31" s="178" t="s">
        <v>745</v>
      </c>
      <c r="D31" s="183"/>
      <c r="E31" s="180" t="s">
        <v>781</v>
      </c>
      <c r="F31" s="183"/>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row>
    <row r="32">
      <c r="A32" s="179" t="s">
        <v>784</v>
      </c>
      <c r="B32" s="183"/>
      <c r="C32" s="178" t="s">
        <v>745</v>
      </c>
      <c r="D32" s="183"/>
      <c r="E32" s="180" t="s">
        <v>785</v>
      </c>
      <c r="F32" s="183"/>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row>
    <row r="33">
      <c r="A33" s="179" t="s">
        <v>786</v>
      </c>
      <c r="B33" s="183"/>
      <c r="C33" s="178" t="s">
        <v>745</v>
      </c>
      <c r="D33" s="183"/>
      <c r="E33" s="180" t="s">
        <v>787</v>
      </c>
      <c r="F33" s="183"/>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row>
    <row r="34">
      <c r="A34" s="178" t="s">
        <v>788</v>
      </c>
      <c r="B34" s="185" t="s">
        <v>789</v>
      </c>
      <c r="C34" s="178" t="s">
        <v>745</v>
      </c>
      <c r="D34" s="185" t="s">
        <v>790</v>
      </c>
      <c r="E34" s="185"/>
      <c r="F34" s="183"/>
      <c r="G34" s="184"/>
      <c r="H34" s="184"/>
      <c r="I34" s="184"/>
      <c r="J34" s="184"/>
      <c r="K34" s="184"/>
      <c r="L34" s="184"/>
      <c r="M34" s="184"/>
      <c r="N34" s="184"/>
      <c r="O34" s="184"/>
      <c r="P34" s="184"/>
      <c r="Q34" s="184"/>
      <c r="R34" s="184"/>
      <c r="S34" s="184"/>
      <c r="T34" s="184"/>
      <c r="U34" s="184"/>
      <c r="V34" s="184"/>
      <c r="W34" s="184"/>
      <c r="X34" s="184"/>
      <c r="Y34" s="184"/>
      <c r="Z34" s="184"/>
      <c r="AA34" s="184"/>
      <c r="AB34" s="184"/>
      <c r="AC34" s="184"/>
    </row>
    <row r="35">
      <c r="A35" s="178" t="s">
        <v>791</v>
      </c>
      <c r="B35" s="178" t="s">
        <v>792</v>
      </c>
      <c r="C35" s="178" t="s">
        <v>745</v>
      </c>
      <c r="D35" s="185" t="s">
        <v>793</v>
      </c>
      <c r="E35" s="185"/>
      <c r="F35" s="175"/>
    </row>
    <row r="36">
      <c r="A36" s="178" t="s">
        <v>794</v>
      </c>
      <c r="B36" s="175"/>
      <c r="C36" s="178"/>
      <c r="D36" s="178"/>
      <c r="E36" s="185"/>
      <c r="F36" s="175"/>
    </row>
    <row r="37">
      <c r="A37" s="178" t="s">
        <v>795</v>
      </c>
      <c r="B37" s="178">
        <v>122.0</v>
      </c>
      <c r="C37" s="178" t="s">
        <v>745</v>
      </c>
      <c r="D37" s="178">
        <v>2000.0</v>
      </c>
      <c r="E37" s="185"/>
      <c r="F37" s="175"/>
    </row>
    <row r="38">
      <c r="A38" s="179" t="s">
        <v>796</v>
      </c>
      <c r="B38" s="178">
        <v>488.0</v>
      </c>
      <c r="C38" s="178" t="s">
        <v>745</v>
      </c>
      <c r="D38" s="178">
        <v>2000.0</v>
      </c>
      <c r="E38" s="185"/>
      <c r="F38" s="175"/>
    </row>
    <row r="39">
      <c r="A39" s="179" t="s">
        <v>797</v>
      </c>
      <c r="B39" s="178">
        <v>109.0</v>
      </c>
      <c r="C39" s="178" t="s">
        <v>745</v>
      </c>
      <c r="D39" s="178">
        <v>2000.0</v>
      </c>
      <c r="E39" s="185"/>
      <c r="F39" s="175"/>
    </row>
    <row r="40">
      <c r="A40" s="179" t="s">
        <v>798</v>
      </c>
      <c r="B40" s="178">
        <v>148.0</v>
      </c>
      <c r="C40" s="178" t="s">
        <v>745</v>
      </c>
      <c r="D40" s="178">
        <v>2000.0</v>
      </c>
      <c r="E40" s="185"/>
      <c r="F40" s="175"/>
    </row>
    <row r="41">
      <c r="A41" s="179" t="s">
        <v>799</v>
      </c>
      <c r="B41" s="178">
        <v>96.0</v>
      </c>
      <c r="C41" s="178" t="s">
        <v>745</v>
      </c>
      <c r="D41" s="178">
        <v>2000.0</v>
      </c>
      <c r="E41" s="185"/>
      <c r="F41" s="175"/>
    </row>
    <row r="42">
      <c r="A42" s="179" t="s">
        <v>800</v>
      </c>
      <c r="B42" s="178">
        <v>220.0</v>
      </c>
      <c r="C42" s="178" t="s">
        <v>745</v>
      </c>
      <c r="D42" s="178">
        <v>2000.0</v>
      </c>
      <c r="E42" s="185"/>
      <c r="F42" s="175"/>
    </row>
    <row r="43">
      <c r="A43" s="179" t="s">
        <v>801</v>
      </c>
      <c r="B43" s="178">
        <v>1181.0</v>
      </c>
      <c r="C43" s="178" t="s">
        <v>745</v>
      </c>
      <c r="D43" s="178">
        <v>2000.0</v>
      </c>
      <c r="E43" s="185"/>
      <c r="F43" s="175"/>
    </row>
    <row r="44">
      <c r="A44" s="178" t="s">
        <v>802</v>
      </c>
      <c r="B44" s="175"/>
      <c r="C44" s="178"/>
      <c r="D44" s="178"/>
      <c r="E44" s="185"/>
      <c r="F44" s="175"/>
    </row>
    <row r="45">
      <c r="A45" s="178" t="s">
        <v>795</v>
      </c>
      <c r="B45" s="178">
        <v>255.0</v>
      </c>
      <c r="C45" s="178" t="s">
        <v>745</v>
      </c>
      <c r="D45" s="178">
        <v>2005.0</v>
      </c>
      <c r="E45" s="185"/>
      <c r="F45" s="175"/>
    </row>
    <row r="46">
      <c r="A46" s="179" t="s">
        <v>796</v>
      </c>
      <c r="B46" s="178">
        <v>820.0</v>
      </c>
      <c r="C46" s="178" t="s">
        <v>745</v>
      </c>
      <c r="D46" s="178">
        <v>2005.0</v>
      </c>
      <c r="E46" s="185"/>
      <c r="F46" s="175"/>
    </row>
    <row r="47">
      <c r="A47" s="179" t="s">
        <v>797</v>
      </c>
      <c r="B47" s="178">
        <v>165.0</v>
      </c>
      <c r="C47" s="178" t="s">
        <v>745</v>
      </c>
      <c r="D47" s="178">
        <v>2005.0</v>
      </c>
      <c r="E47" s="185"/>
      <c r="F47" s="175"/>
    </row>
    <row r="48">
      <c r="A48" s="179" t="s">
        <v>798</v>
      </c>
      <c r="B48" s="178">
        <v>219.0</v>
      </c>
      <c r="C48" s="178" t="s">
        <v>745</v>
      </c>
      <c r="D48" s="178">
        <v>2005.0</v>
      </c>
      <c r="E48" s="185"/>
      <c r="F48" s="175"/>
    </row>
    <row r="49">
      <c r="A49" s="179" t="s">
        <v>799</v>
      </c>
      <c r="B49" s="178">
        <v>168.0</v>
      </c>
      <c r="C49" s="178" t="s">
        <v>745</v>
      </c>
      <c r="D49" s="178">
        <v>2005.0</v>
      </c>
      <c r="E49" s="185"/>
      <c r="F49" s="175"/>
    </row>
    <row r="50">
      <c r="A50" s="179" t="s">
        <v>800</v>
      </c>
      <c r="B50" s="178">
        <v>425.0</v>
      </c>
      <c r="C50" s="178" t="s">
        <v>745</v>
      </c>
      <c r="D50" s="178">
        <v>2005.0</v>
      </c>
      <c r="E50" s="185"/>
      <c r="F50" s="175"/>
    </row>
    <row r="51">
      <c r="A51" s="179" t="s">
        <v>801</v>
      </c>
      <c r="B51" s="178">
        <v>2051.0</v>
      </c>
      <c r="C51" s="178" t="s">
        <v>745</v>
      </c>
      <c r="D51" s="178">
        <v>2005.0</v>
      </c>
      <c r="E51" s="185"/>
      <c r="F51" s="175"/>
    </row>
    <row r="52">
      <c r="A52" s="179" t="s">
        <v>803</v>
      </c>
      <c r="B52" s="178" t="s">
        <v>804</v>
      </c>
      <c r="C52" s="178" t="s">
        <v>745</v>
      </c>
      <c r="D52" s="178">
        <v>2004.0</v>
      </c>
      <c r="E52" s="185" t="s">
        <v>805</v>
      </c>
      <c r="F52" s="175"/>
    </row>
    <row r="53">
      <c r="A53" s="179" t="s">
        <v>803</v>
      </c>
      <c r="B53" s="178" t="s">
        <v>806</v>
      </c>
      <c r="C53" s="178" t="s">
        <v>745</v>
      </c>
      <c r="D53" s="178">
        <v>2004.0</v>
      </c>
      <c r="E53" s="185" t="s">
        <v>805</v>
      </c>
      <c r="F53" s="175"/>
    </row>
    <row r="54">
      <c r="A54" s="179"/>
      <c r="B54" s="178"/>
      <c r="C54" s="178"/>
      <c r="D54" s="178"/>
      <c r="E54" s="185"/>
      <c r="F54" s="175"/>
    </row>
    <row r="55">
      <c r="A55" s="179" t="s">
        <v>807</v>
      </c>
      <c r="B55" s="178"/>
      <c r="C55" s="178" t="s">
        <v>808</v>
      </c>
      <c r="D55" s="178"/>
      <c r="E55" s="185"/>
      <c r="F55" s="175"/>
    </row>
    <row r="56">
      <c r="A56" s="179"/>
      <c r="B56" s="178"/>
      <c r="C56" s="178"/>
      <c r="D56" s="178"/>
      <c r="E56" s="185"/>
      <c r="F56" s="175"/>
    </row>
    <row r="57">
      <c r="A57" s="179"/>
      <c r="B57" s="178"/>
      <c r="C57" s="178"/>
      <c r="D57" s="178"/>
      <c r="E57" s="185"/>
      <c r="F57" s="175"/>
    </row>
    <row r="58">
      <c r="A58" s="186" t="s">
        <v>809</v>
      </c>
      <c r="B58" s="175"/>
      <c r="C58" s="175"/>
      <c r="D58" s="175"/>
      <c r="E58" s="185"/>
      <c r="F58" s="175"/>
    </row>
    <row r="59">
      <c r="A59" s="177" t="s">
        <v>738</v>
      </c>
      <c r="B59" s="177" t="s">
        <v>739</v>
      </c>
      <c r="C59" s="177" t="s">
        <v>725</v>
      </c>
      <c r="D59" s="177" t="s">
        <v>740</v>
      </c>
      <c r="E59" s="177" t="s">
        <v>741</v>
      </c>
      <c r="F59" s="177" t="s">
        <v>742</v>
      </c>
    </row>
    <row r="60">
      <c r="A60" s="16" t="s">
        <v>810</v>
      </c>
      <c r="B60" s="16" t="s">
        <v>811</v>
      </c>
      <c r="C60" s="16" t="s">
        <v>812</v>
      </c>
      <c r="D60" s="16">
        <v>1996.0</v>
      </c>
      <c r="E60" s="16" t="s">
        <v>134</v>
      </c>
      <c r="F60" s="175"/>
    </row>
    <row r="61">
      <c r="A61" s="178" t="s">
        <v>813</v>
      </c>
      <c r="B61" s="178" t="s">
        <v>814</v>
      </c>
      <c r="C61" s="16" t="s">
        <v>812</v>
      </c>
      <c r="D61" s="16">
        <v>1996.0</v>
      </c>
      <c r="E61" s="175"/>
      <c r="F61" s="175"/>
    </row>
    <row r="62">
      <c r="A62" s="178" t="s">
        <v>815</v>
      </c>
      <c r="B62" s="178" t="s">
        <v>816</v>
      </c>
      <c r="C62" s="16" t="s">
        <v>817</v>
      </c>
      <c r="D62" s="16">
        <v>1996.0</v>
      </c>
      <c r="E62" s="178" t="s">
        <v>77</v>
      </c>
      <c r="F62" s="178" t="s">
        <v>818</v>
      </c>
    </row>
    <row r="63">
      <c r="A63" s="178" t="s">
        <v>819</v>
      </c>
      <c r="B63" s="178" t="s">
        <v>820</v>
      </c>
      <c r="C63" s="16" t="s">
        <v>812</v>
      </c>
      <c r="D63" s="16">
        <v>1996.0</v>
      </c>
      <c r="E63" s="175"/>
      <c r="F63" s="175"/>
    </row>
    <row r="64">
      <c r="A64" s="178" t="s">
        <v>821</v>
      </c>
      <c r="B64" s="178" t="s">
        <v>822</v>
      </c>
      <c r="C64" s="16" t="s">
        <v>817</v>
      </c>
      <c r="D64" s="16">
        <v>1996.0</v>
      </c>
      <c r="E64" s="178" t="s">
        <v>823</v>
      </c>
      <c r="F64" s="175"/>
    </row>
    <row r="65">
      <c r="A65" s="178" t="s">
        <v>824</v>
      </c>
      <c r="B65" s="178" t="s">
        <v>825</v>
      </c>
      <c r="C65" s="16" t="s">
        <v>812</v>
      </c>
      <c r="D65" s="16">
        <v>1996.0</v>
      </c>
      <c r="E65" s="175"/>
      <c r="F65" s="175"/>
    </row>
    <row r="66">
      <c r="A66" s="178" t="s">
        <v>826</v>
      </c>
      <c r="B66" s="178" t="s">
        <v>827</v>
      </c>
      <c r="C66" s="178" t="s">
        <v>828</v>
      </c>
      <c r="D66" s="175"/>
      <c r="E66" s="175"/>
      <c r="F66" s="175"/>
    </row>
    <row r="67">
      <c r="A67" s="178" t="s">
        <v>829</v>
      </c>
      <c r="B67" s="178" t="s">
        <v>830</v>
      </c>
      <c r="C67" s="178" t="s">
        <v>831</v>
      </c>
      <c r="D67" s="175"/>
      <c r="E67" s="178" t="s">
        <v>258</v>
      </c>
      <c r="F67" s="175"/>
    </row>
    <row r="68">
      <c r="A68" s="178" t="s">
        <v>832</v>
      </c>
      <c r="B68" s="178" t="s">
        <v>833</v>
      </c>
      <c r="C68" s="178" t="s">
        <v>828</v>
      </c>
      <c r="D68" s="175"/>
      <c r="E68" s="175"/>
      <c r="F68" s="175"/>
    </row>
    <row r="69">
      <c r="A69" s="178" t="s">
        <v>834</v>
      </c>
      <c r="B69" s="178" t="s">
        <v>835</v>
      </c>
      <c r="C69" s="178" t="s">
        <v>831</v>
      </c>
      <c r="D69" s="175"/>
      <c r="E69" s="175"/>
      <c r="F69" s="175"/>
    </row>
    <row r="70">
      <c r="A70" s="178" t="s">
        <v>836</v>
      </c>
      <c r="B70" s="178" t="s">
        <v>837</v>
      </c>
      <c r="C70" s="178" t="s">
        <v>828</v>
      </c>
      <c r="D70" s="175"/>
      <c r="E70" s="175"/>
      <c r="F70" s="175"/>
    </row>
    <row r="71">
      <c r="A71" s="178" t="s">
        <v>838</v>
      </c>
      <c r="B71" s="178" t="s">
        <v>839</v>
      </c>
      <c r="C71" s="178" t="s">
        <v>840</v>
      </c>
      <c r="D71" s="175"/>
      <c r="E71" s="175"/>
      <c r="F71" s="175"/>
    </row>
    <row r="72">
      <c r="A72" s="53" t="s">
        <v>841</v>
      </c>
      <c r="B72" s="53" t="s">
        <v>842</v>
      </c>
      <c r="C72" s="53" t="s">
        <v>843</v>
      </c>
      <c r="D72" s="53" t="s">
        <v>844</v>
      </c>
      <c r="E72" s="187"/>
      <c r="F72" s="53" t="s">
        <v>845</v>
      </c>
      <c r="G72" s="187"/>
      <c r="H72" s="187"/>
      <c r="I72" s="187"/>
      <c r="J72" s="187"/>
      <c r="K72" s="187"/>
      <c r="L72" s="187"/>
      <c r="M72" s="187"/>
      <c r="N72" s="187"/>
      <c r="O72" s="187"/>
      <c r="P72" s="187"/>
      <c r="Q72" s="187"/>
      <c r="R72" s="187"/>
      <c r="S72" s="187"/>
      <c r="T72" s="187"/>
      <c r="U72" s="187"/>
      <c r="V72" s="187"/>
      <c r="W72" s="187"/>
      <c r="X72" s="187"/>
      <c r="Y72" s="187"/>
      <c r="Z72" s="187"/>
      <c r="AA72" s="187"/>
      <c r="AB72" s="187"/>
      <c r="AC72" s="187"/>
    </row>
    <row r="73">
      <c r="A73" s="53" t="s">
        <v>846</v>
      </c>
      <c r="B73" s="53" t="s">
        <v>847</v>
      </c>
      <c r="C73" s="53" t="s">
        <v>843</v>
      </c>
      <c r="D73" s="53" t="s">
        <v>844</v>
      </c>
      <c r="E73" s="187"/>
      <c r="F73" s="53" t="s">
        <v>845</v>
      </c>
      <c r="G73" s="187"/>
      <c r="H73" s="187"/>
      <c r="I73" s="187"/>
      <c r="J73" s="187"/>
      <c r="K73" s="187"/>
      <c r="L73" s="187"/>
      <c r="M73" s="187"/>
      <c r="N73" s="187"/>
      <c r="O73" s="187"/>
      <c r="P73" s="187"/>
      <c r="Q73" s="187"/>
      <c r="R73" s="187"/>
      <c r="S73" s="187"/>
      <c r="T73" s="187"/>
      <c r="U73" s="187"/>
      <c r="V73" s="187"/>
      <c r="W73" s="187"/>
      <c r="X73" s="187"/>
      <c r="Y73" s="187"/>
      <c r="Z73" s="187"/>
      <c r="AA73" s="187"/>
      <c r="AB73" s="187"/>
      <c r="AC73" s="187"/>
    </row>
    <row r="74">
      <c r="A74" s="53" t="s">
        <v>848</v>
      </c>
      <c r="B74" s="53" t="s">
        <v>849</v>
      </c>
      <c r="C74" s="53" t="s">
        <v>843</v>
      </c>
      <c r="D74" s="187"/>
      <c r="E74" s="53" t="s">
        <v>258</v>
      </c>
      <c r="F74" s="53" t="s">
        <v>850</v>
      </c>
      <c r="G74" s="187"/>
      <c r="H74" s="187"/>
      <c r="I74" s="187"/>
      <c r="J74" s="187"/>
      <c r="K74" s="187"/>
      <c r="L74" s="187"/>
      <c r="M74" s="187"/>
      <c r="N74" s="187"/>
      <c r="O74" s="187"/>
      <c r="P74" s="187"/>
      <c r="Q74" s="187"/>
      <c r="R74" s="187"/>
      <c r="S74" s="187"/>
      <c r="T74" s="187"/>
      <c r="U74" s="187"/>
      <c r="V74" s="187"/>
      <c r="W74" s="187"/>
      <c r="X74" s="187"/>
      <c r="Y74" s="187"/>
      <c r="Z74" s="187"/>
      <c r="AA74" s="187"/>
      <c r="AB74" s="187"/>
      <c r="AC74" s="187"/>
    </row>
    <row r="75">
      <c r="A75" s="53" t="s">
        <v>851</v>
      </c>
      <c r="B75" s="53" t="s">
        <v>852</v>
      </c>
      <c r="C75" s="53" t="s">
        <v>843</v>
      </c>
      <c r="D75" s="53" t="s">
        <v>853</v>
      </c>
      <c r="E75" s="187"/>
      <c r="F75" s="53" t="s">
        <v>854</v>
      </c>
      <c r="G75" s="187"/>
      <c r="H75" s="187"/>
      <c r="I75" s="187"/>
      <c r="J75" s="187"/>
      <c r="K75" s="187"/>
      <c r="L75" s="187"/>
      <c r="M75" s="187"/>
      <c r="N75" s="187"/>
      <c r="O75" s="187"/>
      <c r="P75" s="187"/>
      <c r="Q75" s="187"/>
      <c r="R75" s="187"/>
      <c r="S75" s="187"/>
      <c r="T75" s="187"/>
      <c r="U75" s="187"/>
      <c r="V75" s="187"/>
      <c r="W75" s="187"/>
      <c r="X75" s="187"/>
      <c r="Y75" s="187"/>
      <c r="Z75" s="187"/>
      <c r="AA75" s="187"/>
      <c r="AB75" s="187"/>
      <c r="AC75" s="187"/>
    </row>
    <row r="76">
      <c r="A76" s="53" t="s">
        <v>855</v>
      </c>
      <c r="B76" s="53" t="s">
        <v>856</v>
      </c>
      <c r="C76" s="53" t="s">
        <v>843</v>
      </c>
      <c r="D76" s="53" t="s">
        <v>853</v>
      </c>
      <c r="E76" s="187"/>
      <c r="F76" s="53" t="s">
        <v>854</v>
      </c>
      <c r="G76" s="187"/>
      <c r="H76" s="187"/>
      <c r="I76" s="187"/>
      <c r="J76" s="187"/>
      <c r="K76" s="187"/>
      <c r="L76" s="187"/>
      <c r="M76" s="187"/>
      <c r="N76" s="187"/>
      <c r="O76" s="187"/>
      <c r="P76" s="187"/>
      <c r="Q76" s="187"/>
      <c r="R76" s="187"/>
      <c r="S76" s="187"/>
      <c r="T76" s="187"/>
      <c r="U76" s="187"/>
      <c r="V76" s="187"/>
      <c r="W76" s="187"/>
      <c r="X76" s="187"/>
      <c r="Y76" s="187"/>
      <c r="Z76" s="187"/>
      <c r="AA76" s="187"/>
      <c r="AB76" s="187"/>
      <c r="AC76" s="187"/>
    </row>
    <row r="77">
      <c r="A77" s="53" t="s">
        <v>857</v>
      </c>
      <c r="B77" s="53" t="s">
        <v>858</v>
      </c>
      <c r="C77" s="53" t="s">
        <v>843</v>
      </c>
      <c r="D77" s="53" t="s">
        <v>853</v>
      </c>
      <c r="E77" s="187"/>
      <c r="F77" s="53" t="s">
        <v>854</v>
      </c>
      <c r="G77" s="187"/>
      <c r="H77" s="187"/>
      <c r="I77" s="187"/>
      <c r="J77" s="187"/>
      <c r="K77" s="187"/>
      <c r="L77" s="187"/>
      <c r="M77" s="187"/>
      <c r="N77" s="187"/>
      <c r="O77" s="187"/>
      <c r="P77" s="187"/>
      <c r="Q77" s="187"/>
      <c r="R77" s="187"/>
      <c r="S77" s="187"/>
      <c r="T77" s="187"/>
      <c r="U77" s="187"/>
      <c r="V77" s="187"/>
      <c r="W77" s="187"/>
      <c r="X77" s="187"/>
      <c r="Y77" s="187"/>
      <c r="Z77" s="187"/>
      <c r="AA77" s="187"/>
      <c r="AB77" s="187"/>
      <c r="AC77" s="187"/>
    </row>
    <row r="78">
      <c r="A78" s="53" t="s">
        <v>859</v>
      </c>
      <c r="B78" s="53" t="s">
        <v>860</v>
      </c>
      <c r="C78" s="53" t="s">
        <v>843</v>
      </c>
      <c r="D78" s="53" t="s">
        <v>853</v>
      </c>
      <c r="E78" s="187"/>
      <c r="F78" s="53" t="s">
        <v>854</v>
      </c>
      <c r="G78" s="187"/>
      <c r="H78" s="187"/>
      <c r="I78" s="187"/>
      <c r="J78" s="187"/>
      <c r="K78" s="187"/>
      <c r="L78" s="187"/>
      <c r="M78" s="187"/>
      <c r="N78" s="187"/>
      <c r="O78" s="187"/>
      <c r="P78" s="187"/>
      <c r="Q78" s="187"/>
      <c r="R78" s="187"/>
      <c r="S78" s="187"/>
      <c r="T78" s="187"/>
      <c r="U78" s="187"/>
      <c r="V78" s="187"/>
      <c r="W78" s="187"/>
      <c r="X78" s="187"/>
      <c r="Y78" s="187"/>
      <c r="Z78" s="187"/>
      <c r="AA78" s="187"/>
      <c r="AB78" s="187"/>
      <c r="AC78" s="187"/>
    </row>
    <row r="79">
      <c r="A79" s="53" t="s">
        <v>861</v>
      </c>
      <c r="B79" s="53" t="s">
        <v>862</v>
      </c>
      <c r="C79" s="53" t="s">
        <v>843</v>
      </c>
      <c r="D79" s="53" t="s">
        <v>853</v>
      </c>
      <c r="E79" s="187"/>
      <c r="F79" s="53" t="s">
        <v>854</v>
      </c>
      <c r="G79" s="187"/>
      <c r="H79" s="187"/>
      <c r="I79" s="187"/>
      <c r="J79" s="187"/>
      <c r="K79" s="187"/>
      <c r="L79" s="187"/>
      <c r="M79" s="187"/>
      <c r="N79" s="187"/>
      <c r="O79" s="187"/>
      <c r="P79" s="187"/>
      <c r="Q79" s="187"/>
      <c r="R79" s="187"/>
      <c r="S79" s="187"/>
      <c r="T79" s="187"/>
      <c r="U79" s="187"/>
      <c r="V79" s="187"/>
      <c r="W79" s="187"/>
      <c r="X79" s="187"/>
      <c r="Y79" s="187"/>
      <c r="Z79" s="187"/>
      <c r="AA79" s="187"/>
      <c r="AB79" s="187"/>
      <c r="AC79" s="187"/>
    </row>
    <row r="80">
      <c r="A80" s="53" t="s">
        <v>863</v>
      </c>
      <c r="B80" s="53" t="s">
        <v>864</v>
      </c>
      <c r="C80" s="53" t="s">
        <v>843</v>
      </c>
      <c r="D80" s="187"/>
      <c r="E80" s="187"/>
      <c r="F80" s="187"/>
      <c r="G80" s="187"/>
      <c r="H80" s="187"/>
      <c r="I80" s="187"/>
      <c r="J80" s="187"/>
      <c r="K80" s="187"/>
      <c r="L80" s="187"/>
      <c r="M80" s="187"/>
      <c r="N80" s="187"/>
      <c r="O80" s="187"/>
      <c r="P80" s="187"/>
      <c r="Q80" s="187"/>
      <c r="R80" s="187"/>
      <c r="S80" s="187"/>
      <c r="T80" s="187"/>
      <c r="U80" s="187"/>
      <c r="V80" s="187"/>
      <c r="W80" s="187"/>
      <c r="X80" s="187"/>
      <c r="Y80" s="187"/>
      <c r="Z80" s="187"/>
      <c r="AA80" s="187"/>
      <c r="AB80" s="187"/>
      <c r="AC80" s="187"/>
    </row>
    <row r="81">
      <c r="A81" s="53" t="s">
        <v>865</v>
      </c>
      <c r="B81" s="53" t="s">
        <v>866</v>
      </c>
      <c r="C81" s="53" t="s">
        <v>843</v>
      </c>
      <c r="D81" s="53" t="s">
        <v>853</v>
      </c>
      <c r="E81" s="187"/>
      <c r="F81" s="53" t="s">
        <v>854</v>
      </c>
      <c r="G81" s="187"/>
      <c r="H81" s="187"/>
      <c r="I81" s="187"/>
      <c r="J81" s="187"/>
      <c r="K81" s="187"/>
      <c r="L81" s="187"/>
      <c r="M81" s="187"/>
      <c r="N81" s="187"/>
      <c r="O81" s="187"/>
      <c r="P81" s="187"/>
      <c r="Q81" s="187"/>
      <c r="R81" s="187"/>
      <c r="S81" s="187"/>
      <c r="T81" s="187"/>
      <c r="U81" s="187"/>
      <c r="V81" s="187"/>
      <c r="W81" s="187"/>
      <c r="X81" s="187"/>
      <c r="Y81" s="187"/>
      <c r="Z81" s="187"/>
      <c r="AA81" s="187"/>
      <c r="AB81" s="187"/>
      <c r="AC81" s="187"/>
    </row>
    <row r="82">
      <c r="A82" s="53" t="s">
        <v>867</v>
      </c>
      <c r="B82" s="53" t="s">
        <v>868</v>
      </c>
      <c r="C82" s="53" t="s">
        <v>843</v>
      </c>
      <c r="D82" s="53">
        <v>1999.0</v>
      </c>
      <c r="E82" s="187"/>
      <c r="F82" s="53" t="s">
        <v>854</v>
      </c>
      <c r="G82" s="187"/>
      <c r="H82" s="187"/>
      <c r="I82" s="187"/>
      <c r="J82" s="187"/>
      <c r="K82" s="187"/>
      <c r="L82" s="187"/>
      <c r="M82" s="187"/>
      <c r="N82" s="187"/>
      <c r="O82" s="187"/>
      <c r="P82" s="187"/>
      <c r="Q82" s="187"/>
      <c r="R82" s="187"/>
      <c r="S82" s="187"/>
      <c r="T82" s="187"/>
      <c r="U82" s="187"/>
      <c r="V82" s="187"/>
      <c r="W82" s="187"/>
      <c r="X82" s="187"/>
      <c r="Y82" s="187"/>
      <c r="Z82" s="187"/>
      <c r="AA82" s="187"/>
      <c r="AB82" s="187"/>
      <c r="AC82" s="187"/>
    </row>
    <row r="83">
      <c r="A83" s="53" t="s">
        <v>869</v>
      </c>
      <c r="B83" s="53" t="s">
        <v>870</v>
      </c>
      <c r="C83" s="53" t="s">
        <v>843</v>
      </c>
      <c r="D83" s="53">
        <v>2001.0</v>
      </c>
      <c r="E83" s="187"/>
      <c r="F83" s="53" t="s">
        <v>854</v>
      </c>
      <c r="G83" s="187"/>
      <c r="H83" s="187"/>
      <c r="I83" s="187"/>
      <c r="J83" s="187"/>
      <c r="K83" s="187"/>
      <c r="L83" s="187"/>
      <c r="M83" s="187"/>
      <c r="N83" s="187"/>
      <c r="O83" s="187"/>
      <c r="P83" s="187"/>
      <c r="Q83" s="187"/>
      <c r="R83" s="187"/>
      <c r="S83" s="187"/>
      <c r="T83" s="187"/>
      <c r="U83" s="187"/>
      <c r="V83" s="187"/>
      <c r="W83" s="187"/>
      <c r="X83" s="187"/>
      <c r="Y83" s="187"/>
      <c r="Z83" s="187"/>
      <c r="AA83" s="187"/>
      <c r="AB83" s="187"/>
      <c r="AC83" s="187"/>
    </row>
    <row r="84">
      <c r="A84" s="53" t="s">
        <v>871</v>
      </c>
      <c r="B84" s="53" t="s">
        <v>872</v>
      </c>
      <c r="C84" s="53" t="s">
        <v>843</v>
      </c>
      <c r="D84" s="53"/>
      <c r="E84" s="187"/>
      <c r="F84" s="53" t="s">
        <v>854</v>
      </c>
      <c r="G84" s="187"/>
      <c r="H84" s="187"/>
      <c r="I84" s="187"/>
      <c r="J84" s="187"/>
      <c r="K84" s="187"/>
      <c r="L84" s="187"/>
      <c r="M84" s="187"/>
      <c r="N84" s="187"/>
      <c r="O84" s="187"/>
      <c r="P84" s="187"/>
      <c r="Q84" s="187"/>
      <c r="R84" s="187"/>
      <c r="S84" s="187"/>
      <c r="T84" s="187"/>
      <c r="U84" s="187"/>
      <c r="V84" s="187"/>
      <c r="W84" s="187"/>
      <c r="X84" s="187"/>
      <c r="Y84" s="187"/>
      <c r="Z84" s="187"/>
      <c r="AA84" s="187"/>
      <c r="AB84" s="187"/>
      <c r="AC84" s="187"/>
    </row>
    <row r="85">
      <c r="A85" s="53" t="s">
        <v>873</v>
      </c>
      <c r="B85" s="53" t="s">
        <v>874</v>
      </c>
      <c r="C85" s="53" t="s">
        <v>843</v>
      </c>
      <c r="D85" s="53"/>
      <c r="E85" s="187"/>
      <c r="F85" s="53" t="s">
        <v>854</v>
      </c>
      <c r="G85" s="187"/>
      <c r="H85" s="187"/>
      <c r="I85" s="187"/>
      <c r="J85" s="187"/>
      <c r="K85" s="187"/>
      <c r="L85" s="187"/>
      <c r="M85" s="187"/>
      <c r="N85" s="187"/>
      <c r="O85" s="187"/>
      <c r="P85" s="187"/>
      <c r="Q85" s="187"/>
      <c r="R85" s="187"/>
      <c r="S85" s="187"/>
      <c r="T85" s="187"/>
      <c r="U85" s="187"/>
      <c r="V85" s="187"/>
      <c r="W85" s="187"/>
      <c r="X85" s="187"/>
      <c r="Y85" s="187"/>
      <c r="Z85" s="187"/>
      <c r="AA85" s="187"/>
      <c r="AB85" s="187"/>
      <c r="AC85" s="187"/>
    </row>
    <row r="86">
      <c r="A86" s="53" t="s">
        <v>875</v>
      </c>
      <c r="B86" s="53" t="s">
        <v>876</v>
      </c>
      <c r="C86" s="53" t="s">
        <v>843</v>
      </c>
      <c r="D86" s="53"/>
      <c r="E86" s="187"/>
      <c r="F86" s="53" t="s">
        <v>854</v>
      </c>
      <c r="G86" s="187"/>
      <c r="H86" s="187"/>
      <c r="I86" s="187"/>
      <c r="J86" s="187"/>
      <c r="K86" s="187"/>
      <c r="L86" s="187"/>
      <c r="M86" s="187"/>
      <c r="N86" s="187"/>
      <c r="O86" s="187"/>
      <c r="P86" s="187"/>
      <c r="Q86" s="187"/>
      <c r="R86" s="187"/>
      <c r="S86" s="187"/>
      <c r="T86" s="187"/>
      <c r="U86" s="187"/>
      <c r="V86" s="187"/>
      <c r="W86" s="187"/>
      <c r="X86" s="187"/>
      <c r="Y86" s="187"/>
      <c r="Z86" s="187"/>
      <c r="AA86" s="187"/>
      <c r="AB86" s="187"/>
      <c r="AC86" s="187"/>
    </row>
    <row r="87">
      <c r="A87" s="53" t="s">
        <v>877</v>
      </c>
      <c r="B87" s="53" t="s">
        <v>878</v>
      </c>
      <c r="C87" s="53" t="s">
        <v>843</v>
      </c>
      <c r="D87" s="53"/>
      <c r="E87" s="187"/>
      <c r="F87" s="53" t="s">
        <v>854</v>
      </c>
      <c r="G87" s="187"/>
      <c r="H87" s="187"/>
      <c r="I87" s="187"/>
      <c r="J87" s="187"/>
      <c r="K87" s="187"/>
      <c r="L87" s="187"/>
      <c r="M87" s="187"/>
      <c r="N87" s="187"/>
      <c r="O87" s="187"/>
      <c r="P87" s="187"/>
      <c r="Q87" s="187"/>
      <c r="R87" s="187"/>
      <c r="S87" s="187"/>
      <c r="T87" s="187"/>
      <c r="U87" s="187"/>
      <c r="V87" s="187"/>
      <c r="W87" s="187"/>
      <c r="X87" s="187"/>
      <c r="Y87" s="187"/>
      <c r="Z87" s="187"/>
      <c r="AA87" s="187"/>
      <c r="AB87" s="187"/>
      <c r="AC87" s="187"/>
    </row>
    <row r="88">
      <c r="A88" s="53" t="s">
        <v>879</v>
      </c>
      <c r="B88" s="53" t="s">
        <v>880</v>
      </c>
      <c r="C88" s="53" t="s">
        <v>843</v>
      </c>
      <c r="D88" s="53"/>
      <c r="E88" s="187"/>
      <c r="F88" s="53" t="s">
        <v>854</v>
      </c>
      <c r="G88" s="187"/>
      <c r="H88" s="187"/>
      <c r="I88" s="187"/>
      <c r="J88" s="187"/>
      <c r="K88" s="187"/>
      <c r="L88" s="187"/>
      <c r="M88" s="187"/>
      <c r="N88" s="187"/>
      <c r="O88" s="187"/>
      <c r="P88" s="187"/>
      <c r="Q88" s="187"/>
      <c r="R88" s="187"/>
      <c r="S88" s="187"/>
      <c r="T88" s="187"/>
      <c r="U88" s="187"/>
      <c r="V88" s="187"/>
      <c r="W88" s="187"/>
      <c r="X88" s="187"/>
      <c r="Y88" s="187"/>
      <c r="Z88" s="187"/>
      <c r="AA88" s="187"/>
      <c r="AB88" s="187"/>
      <c r="AC88" s="187"/>
    </row>
    <row r="89" ht="10.5" customHeight="1">
      <c r="A89" s="53" t="s">
        <v>881</v>
      </c>
      <c r="B89" s="53" t="s">
        <v>882</v>
      </c>
      <c r="C89" s="53" t="s">
        <v>843</v>
      </c>
      <c r="D89" s="53"/>
      <c r="E89" s="187"/>
      <c r="F89" s="53" t="s">
        <v>854</v>
      </c>
      <c r="G89" s="187"/>
      <c r="H89" s="187"/>
      <c r="I89" s="187"/>
      <c r="J89" s="187"/>
      <c r="K89" s="187"/>
      <c r="L89" s="187"/>
      <c r="M89" s="187"/>
      <c r="N89" s="187"/>
      <c r="O89" s="187"/>
      <c r="P89" s="187"/>
      <c r="Q89" s="187"/>
      <c r="R89" s="187"/>
      <c r="S89" s="187"/>
      <c r="T89" s="187"/>
      <c r="U89" s="187"/>
      <c r="V89" s="187"/>
      <c r="W89" s="187"/>
      <c r="X89" s="187"/>
      <c r="Y89" s="187"/>
      <c r="Z89" s="187"/>
      <c r="AA89" s="187"/>
      <c r="AB89" s="187"/>
      <c r="AC89" s="187"/>
    </row>
    <row r="90">
      <c r="A90" s="53" t="s">
        <v>883</v>
      </c>
      <c r="B90" s="53" t="s">
        <v>884</v>
      </c>
      <c r="C90" s="53" t="s">
        <v>843</v>
      </c>
      <c r="D90" s="187"/>
      <c r="E90" s="187"/>
      <c r="F90" s="53" t="s">
        <v>854</v>
      </c>
      <c r="G90" s="187"/>
      <c r="H90" s="187"/>
      <c r="I90" s="187"/>
      <c r="J90" s="187"/>
      <c r="K90" s="187"/>
      <c r="L90" s="187"/>
      <c r="M90" s="187"/>
      <c r="N90" s="187"/>
      <c r="O90" s="187"/>
      <c r="P90" s="187"/>
      <c r="Q90" s="187"/>
      <c r="R90" s="187"/>
      <c r="S90" s="187"/>
      <c r="T90" s="187"/>
      <c r="U90" s="187"/>
      <c r="V90" s="187"/>
      <c r="W90" s="187"/>
      <c r="X90" s="187"/>
      <c r="Y90" s="187"/>
      <c r="Z90" s="187"/>
      <c r="AA90" s="187"/>
      <c r="AB90" s="187"/>
      <c r="AC90" s="187"/>
    </row>
    <row r="91">
      <c r="A91" s="53" t="s">
        <v>885</v>
      </c>
      <c r="B91" s="53" t="s">
        <v>886</v>
      </c>
      <c r="C91" s="53" t="s">
        <v>843</v>
      </c>
      <c r="D91" s="187"/>
      <c r="E91" s="187"/>
      <c r="F91" s="53" t="s">
        <v>887</v>
      </c>
      <c r="G91" s="187"/>
      <c r="H91" s="187"/>
      <c r="I91" s="187"/>
      <c r="J91" s="187"/>
      <c r="K91" s="187"/>
      <c r="L91" s="187"/>
      <c r="M91" s="187"/>
      <c r="N91" s="187"/>
      <c r="O91" s="187"/>
      <c r="P91" s="187"/>
      <c r="Q91" s="187"/>
      <c r="R91" s="187"/>
      <c r="S91" s="187"/>
      <c r="T91" s="187"/>
      <c r="U91" s="187"/>
      <c r="V91" s="187"/>
      <c r="W91" s="187"/>
      <c r="X91" s="187"/>
      <c r="Y91" s="187"/>
      <c r="Z91" s="187"/>
      <c r="AA91" s="187"/>
      <c r="AB91" s="187"/>
      <c r="AC91" s="187"/>
    </row>
    <row r="92">
      <c r="A92" s="53" t="s">
        <v>888</v>
      </c>
      <c r="B92" s="53" t="s">
        <v>889</v>
      </c>
      <c r="C92" s="53" t="s">
        <v>843</v>
      </c>
      <c r="D92" s="187"/>
      <c r="E92" s="187"/>
      <c r="F92" s="53"/>
      <c r="G92" s="187"/>
      <c r="H92" s="187"/>
      <c r="I92" s="187"/>
      <c r="J92" s="187"/>
      <c r="K92" s="187"/>
      <c r="L92" s="187"/>
      <c r="M92" s="187"/>
      <c r="N92" s="187"/>
      <c r="O92" s="187"/>
      <c r="P92" s="187"/>
      <c r="Q92" s="187"/>
      <c r="R92" s="187"/>
      <c r="S92" s="187"/>
      <c r="T92" s="187"/>
      <c r="U92" s="187"/>
      <c r="V92" s="187"/>
      <c r="W92" s="187"/>
      <c r="X92" s="187"/>
      <c r="Y92" s="187"/>
      <c r="Z92" s="187"/>
      <c r="AA92" s="187"/>
      <c r="AB92" s="187"/>
      <c r="AC92" s="187"/>
    </row>
    <row r="93">
      <c r="A93" s="53" t="s">
        <v>890</v>
      </c>
      <c r="B93" s="53" t="s">
        <v>891</v>
      </c>
      <c r="C93" s="53" t="s">
        <v>843</v>
      </c>
      <c r="D93" s="187"/>
      <c r="E93" s="187"/>
      <c r="F93" s="18" t="s">
        <v>892</v>
      </c>
      <c r="G93" s="187"/>
      <c r="H93" s="187"/>
      <c r="I93" s="187"/>
      <c r="J93" s="187"/>
      <c r="K93" s="187"/>
      <c r="L93" s="187"/>
      <c r="M93" s="187"/>
      <c r="N93" s="187"/>
      <c r="O93" s="187"/>
      <c r="P93" s="187"/>
      <c r="Q93" s="187"/>
      <c r="R93" s="187"/>
      <c r="S93" s="187"/>
      <c r="T93" s="187"/>
      <c r="U93" s="187"/>
      <c r="V93" s="187"/>
      <c r="W93" s="187"/>
      <c r="X93" s="187"/>
      <c r="Y93" s="187"/>
      <c r="Z93" s="187"/>
      <c r="AA93" s="187"/>
      <c r="AB93" s="187"/>
      <c r="AC93" s="187"/>
    </row>
    <row r="94">
      <c r="A94" s="53" t="s">
        <v>893</v>
      </c>
      <c r="B94" s="53" t="s">
        <v>894</v>
      </c>
      <c r="C94" s="53" t="s">
        <v>843</v>
      </c>
      <c r="D94" s="187"/>
      <c r="E94" s="187"/>
      <c r="F94" s="53" t="s">
        <v>895</v>
      </c>
      <c r="G94" s="187"/>
      <c r="H94" s="187"/>
      <c r="I94" s="187"/>
      <c r="J94" s="187"/>
      <c r="K94" s="187"/>
      <c r="L94" s="187"/>
      <c r="M94" s="187"/>
      <c r="N94" s="187"/>
      <c r="O94" s="187"/>
      <c r="P94" s="187"/>
      <c r="Q94" s="187"/>
      <c r="R94" s="187"/>
      <c r="S94" s="187"/>
      <c r="T94" s="187"/>
      <c r="U94" s="187"/>
      <c r="V94" s="187"/>
      <c r="W94" s="187"/>
      <c r="X94" s="187"/>
      <c r="Y94" s="187"/>
      <c r="Z94" s="187"/>
      <c r="AA94" s="187"/>
      <c r="AB94" s="187"/>
      <c r="AC94" s="187"/>
    </row>
    <row r="95">
      <c r="A95" s="53" t="s">
        <v>896</v>
      </c>
      <c r="B95" s="53" t="s">
        <v>897</v>
      </c>
      <c r="C95" s="53" t="s">
        <v>843</v>
      </c>
      <c r="D95" s="187"/>
      <c r="E95" s="187"/>
      <c r="F95" s="53" t="s">
        <v>898</v>
      </c>
      <c r="G95" s="187"/>
      <c r="H95" s="187"/>
      <c r="I95" s="187"/>
      <c r="J95" s="187"/>
      <c r="K95" s="187"/>
      <c r="L95" s="187"/>
      <c r="M95" s="187"/>
      <c r="N95" s="187"/>
      <c r="O95" s="187"/>
      <c r="P95" s="187"/>
      <c r="Q95" s="187"/>
      <c r="R95" s="187"/>
      <c r="S95" s="187"/>
      <c r="T95" s="187"/>
      <c r="U95" s="187"/>
      <c r="V95" s="187"/>
      <c r="W95" s="187"/>
      <c r="X95" s="187"/>
      <c r="Y95" s="187"/>
      <c r="Z95" s="187"/>
      <c r="AA95" s="187"/>
      <c r="AB95" s="187"/>
      <c r="AC95" s="187"/>
    </row>
    <row r="96">
      <c r="A96" s="53" t="s">
        <v>899</v>
      </c>
      <c r="B96" s="53" t="s">
        <v>900</v>
      </c>
      <c r="C96" s="53" t="s">
        <v>843</v>
      </c>
      <c r="D96" s="187"/>
      <c r="E96" s="187"/>
      <c r="F96" s="53" t="s">
        <v>901</v>
      </c>
      <c r="G96" s="187"/>
      <c r="H96" s="187"/>
      <c r="I96" s="187"/>
      <c r="J96" s="187"/>
      <c r="K96" s="187"/>
      <c r="L96" s="187"/>
      <c r="M96" s="187"/>
      <c r="N96" s="187"/>
      <c r="O96" s="187"/>
      <c r="P96" s="187"/>
      <c r="Q96" s="187"/>
      <c r="R96" s="187"/>
      <c r="S96" s="187"/>
      <c r="T96" s="187"/>
      <c r="U96" s="187"/>
      <c r="V96" s="187"/>
      <c r="W96" s="187"/>
      <c r="X96" s="187"/>
      <c r="Y96" s="187"/>
      <c r="Z96" s="187"/>
      <c r="AA96" s="187"/>
      <c r="AB96" s="187"/>
      <c r="AC96" s="187"/>
    </row>
    <row r="97">
      <c r="A97" s="53" t="s">
        <v>902</v>
      </c>
      <c r="B97" s="53" t="s">
        <v>903</v>
      </c>
      <c r="C97" s="53" t="s">
        <v>843</v>
      </c>
      <c r="D97" s="187"/>
      <c r="E97" s="187"/>
      <c r="F97" s="53" t="s">
        <v>904</v>
      </c>
      <c r="G97" s="187"/>
      <c r="H97" s="187"/>
      <c r="I97" s="187"/>
      <c r="J97" s="187"/>
      <c r="K97" s="187"/>
      <c r="L97" s="187"/>
      <c r="M97" s="187"/>
      <c r="N97" s="187"/>
      <c r="O97" s="187"/>
      <c r="P97" s="187"/>
      <c r="Q97" s="187"/>
      <c r="R97" s="187"/>
      <c r="S97" s="187"/>
      <c r="T97" s="187"/>
      <c r="U97" s="187"/>
      <c r="V97" s="187"/>
      <c r="W97" s="187"/>
      <c r="X97" s="187"/>
      <c r="Y97" s="187"/>
      <c r="Z97" s="187"/>
      <c r="AA97" s="187"/>
      <c r="AB97" s="187"/>
      <c r="AC97" s="187"/>
    </row>
    <row r="98">
      <c r="A98" s="53" t="s">
        <v>905</v>
      </c>
      <c r="B98" s="53" t="s">
        <v>906</v>
      </c>
      <c r="C98" s="53" t="s">
        <v>843</v>
      </c>
      <c r="D98" s="187"/>
      <c r="E98" s="187"/>
      <c r="F98" s="53"/>
      <c r="G98" s="187"/>
      <c r="H98" s="187"/>
      <c r="I98" s="187"/>
      <c r="J98" s="187"/>
      <c r="K98" s="187"/>
      <c r="L98" s="187"/>
      <c r="M98" s="187"/>
      <c r="N98" s="187"/>
      <c r="O98" s="187"/>
      <c r="P98" s="187"/>
      <c r="Q98" s="187"/>
      <c r="R98" s="187"/>
      <c r="S98" s="187"/>
      <c r="T98" s="187"/>
      <c r="U98" s="187"/>
      <c r="V98" s="187"/>
      <c r="W98" s="187"/>
      <c r="X98" s="187"/>
      <c r="Y98" s="187"/>
      <c r="Z98" s="187"/>
      <c r="AA98" s="187"/>
      <c r="AB98" s="187"/>
      <c r="AC98" s="187"/>
    </row>
    <row r="99">
      <c r="A99" s="53" t="s">
        <v>907</v>
      </c>
      <c r="B99" s="53" t="s">
        <v>908</v>
      </c>
      <c r="C99" s="53" t="s">
        <v>843</v>
      </c>
      <c r="D99" s="187"/>
      <c r="E99" s="187"/>
      <c r="F99" s="53" t="s">
        <v>909</v>
      </c>
      <c r="G99" s="187"/>
      <c r="H99" s="187"/>
      <c r="I99" s="187"/>
      <c r="J99" s="187"/>
      <c r="K99" s="187"/>
      <c r="L99" s="187"/>
      <c r="M99" s="187"/>
      <c r="N99" s="187"/>
      <c r="O99" s="187"/>
      <c r="P99" s="187"/>
      <c r="Q99" s="187"/>
      <c r="R99" s="187"/>
      <c r="S99" s="187"/>
      <c r="T99" s="187"/>
      <c r="U99" s="187"/>
      <c r="V99" s="187"/>
      <c r="W99" s="187"/>
      <c r="X99" s="187"/>
      <c r="Y99" s="187"/>
      <c r="Z99" s="187"/>
      <c r="AA99" s="187"/>
      <c r="AB99" s="187"/>
      <c r="AC99" s="187"/>
    </row>
    <row r="100">
      <c r="A100" s="53" t="s">
        <v>910</v>
      </c>
      <c r="B100" s="53" t="s">
        <v>911</v>
      </c>
      <c r="C100" s="53" t="s">
        <v>843</v>
      </c>
      <c r="D100" s="187"/>
      <c r="E100" s="187"/>
      <c r="F100" s="53" t="s">
        <v>912</v>
      </c>
      <c r="G100" s="187"/>
      <c r="H100" s="187"/>
      <c r="I100" s="187"/>
      <c r="J100" s="187"/>
      <c r="K100" s="187"/>
      <c r="L100" s="187"/>
      <c r="M100" s="187"/>
      <c r="N100" s="187"/>
      <c r="O100" s="187"/>
      <c r="P100" s="187"/>
      <c r="Q100" s="187"/>
      <c r="R100" s="187"/>
      <c r="S100" s="187"/>
      <c r="T100" s="187"/>
      <c r="U100" s="187"/>
      <c r="V100" s="187"/>
      <c r="W100" s="187"/>
      <c r="X100" s="187"/>
      <c r="Y100" s="187"/>
      <c r="Z100" s="187"/>
      <c r="AA100" s="187"/>
      <c r="AB100" s="187"/>
      <c r="AC100" s="187"/>
    </row>
    <row r="101">
      <c r="A101" s="53" t="s">
        <v>913</v>
      </c>
      <c r="B101" s="53" t="s">
        <v>914</v>
      </c>
      <c r="C101" s="53" t="s">
        <v>843</v>
      </c>
      <c r="D101" s="187"/>
      <c r="E101" s="187"/>
      <c r="F101" s="53" t="s">
        <v>915</v>
      </c>
      <c r="G101" s="187"/>
      <c r="H101" s="187"/>
      <c r="I101" s="187"/>
      <c r="J101" s="187"/>
      <c r="K101" s="187"/>
      <c r="L101" s="187"/>
      <c r="M101" s="187"/>
      <c r="N101" s="187"/>
      <c r="O101" s="187"/>
      <c r="P101" s="187"/>
      <c r="Q101" s="187"/>
      <c r="R101" s="187"/>
      <c r="S101" s="187"/>
      <c r="T101" s="187"/>
      <c r="U101" s="187"/>
      <c r="V101" s="187"/>
      <c r="W101" s="187"/>
      <c r="X101" s="187"/>
      <c r="Y101" s="187"/>
      <c r="Z101" s="187"/>
      <c r="AA101" s="187"/>
      <c r="AB101" s="187"/>
      <c r="AC101" s="187"/>
    </row>
    <row r="102">
      <c r="A102" s="53" t="s">
        <v>916</v>
      </c>
      <c r="B102" s="53" t="s">
        <v>917</v>
      </c>
      <c r="C102" s="53" t="s">
        <v>843</v>
      </c>
      <c r="D102" s="187"/>
      <c r="E102" s="187"/>
      <c r="F102" s="53" t="s">
        <v>918</v>
      </c>
      <c r="G102" s="187"/>
      <c r="H102" s="187"/>
      <c r="I102" s="187"/>
      <c r="J102" s="187"/>
      <c r="K102" s="187"/>
      <c r="L102" s="187"/>
      <c r="M102" s="187"/>
      <c r="N102" s="187"/>
      <c r="O102" s="187"/>
      <c r="P102" s="187"/>
      <c r="Q102" s="187"/>
      <c r="R102" s="187"/>
      <c r="S102" s="187"/>
      <c r="T102" s="187"/>
      <c r="U102" s="187"/>
      <c r="V102" s="187"/>
      <c r="W102" s="187"/>
      <c r="X102" s="187"/>
      <c r="Y102" s="187"/>
      <c r="Z102" s="187"/>
      <c r="AA102" s="187"/>
      <c r="AB102" s="187"/>
      <c r="AC102" s="187"/>
    </row>
    <row r="103">
      <c r="A103" s="53" t="s">
        <v>919</v>
      </c>
      <c r="B103" s="53" t="s">
        <v>880</v>
      </c>
      <c r="C103" s="53" t="s">
        <v>843</v>
      </c>
      <c r="D103" s="187"/>
      <c r="E103" s="187"/>
      <c r="F103" s="53"/>
      <c r="G103" s="187"/>
      <c r="H103" s="187"/>
      <c r="I103" s="187"/>
      <c r="J103" s="187"/>
      <c r="K103" s="187"/>
      <c r="L103" s="187"/>
      <c r="M103" s="187"/>
      <c r="N103" s="187"/>
      <c r="O103" s="187"/>
      <c r="P103" s="187"/>
      <c r="Q103" s="187"/>
      <c r="R103" s="187"/>
      <c r="S103" s="187"/>
      <c r="T103" s="187"/>
      <c r="U103" s="187"/>
      <c r="V103" s="187"/>
      <c r="W103" s="187"/>
      <c r="X103" s="187"/>
      <c r="Y103" s="187"/>
      <c r="Z103" s="187"/>
      <c r="AA103" s="187"/>
      <c r="AB103" s="187"/>
      <c r="AC103" s="187"/>
    </row>
    <row r="104">
      <c r="A104" s="53" t="s">
        <v>920</v>
      </c>
      <c r="B104" s="53" t="s">
        <v>917</v>
      </c>
      <c r="C104" s="53" t="s">
        <v>843</v>
      </c>
      <c r="D104" s="187"/>
      <c r="E104" s="187"/>
      <c r="F104" s="53" t="s">
        <v>921</v>
      </c>
      <c r="G104" s="187"/>
      <c r="H104" s="187"/>
      <c r="I104" s="187"/>
      <c r="J104" s="187"/>
      <c r="K104" s="187"/>
      <c r="L104" s="187"/>
      <c r="M104" s="187"/>
      <c r="N104" s="187"/>
      <c r="O104" s="187"/>
      <c r="P104" s="187"/>
      <c r="Q104" s="187"/>
      <c r="R104" s="187"/>
      <c r="S104" s="187"/>
      <c r="T104" s="187"/>
      <c r="U104" s="187"/>
      <c r="V104" s="187"/>
      <c r="W104" s="187"/>
      <c r="X104" s="187"/>
      <c r="Y104" s="187"/>
      <c r="Z104" s="187"/>
      <c r="AA104" s="187"/>
      <c r="AB104" s="187"/>
      <c r="AC104" s="187"/>
    </row>
    <row r="105">
      <c r="A105" s="53" t="s">
        <v>922</v>
      </c>
      <c r="B105" s="53" t="s">
        <v>876</v>
      </c>
      <c r="C105" s="53" t="s">
        <v>843</v>
      </c>
      <c r="D105" s="187"/>
      <c r="E105" s="187"/>
      <c r="F105" s="53" t="s">
        <v>923</v>
      </c>
      <c r="G105" s="187"/>
      <c r="H105" s="187"/>
      <c r="I105" s="187"/>
      <c r="J105" s="187"/>
      <c r="K105" s="187"/>
      <c r="L105" s="187"/>
      <c r="M105" s="187"/>
      <c r="N105" s="187"/>
      <c r="O105" s="187"/>
      <c r="P105" s="187"/>
      <c r="Q105" s="187"/>
      <c r="R105" s="187"/>
      <c r="S105" s="187"/>
      <c r="T105" s="187"/>
      <c r="U105" s="187"/>
      <c r="V105" s="187"/>
      <c r="W105" s="187"/>
      <c r="X105" s="187"/>
      <c r="Y105" s="187"/>
      <c r="Z105" s="187"/>
      <c r="AA105" s="187"/>
      <c r="AB105" s="187"/>
      <c r="AC105" s="187"/>
    </row>
    <row r="106">
      <c r="A106" s="53" t="s">
        <v>924</v>
      </c>
      <c r="B106" s="53" t="s">
        <v>878</v>
      </c>
      <c r="C106" s="53" t="s">
        <v>843</v>
      </c>
      <c r="D106" s="187"/>
      <c r="E106" s="187"/>
      <c r="F106" s="53" t="s">
        <v>925</v>
      </c>
      <c r="G106" s="187"/>
      <c r="H106" s="187"/>
      <c r="I106" s="187"/>
      <c r="J106" s="187"/>
      <c r="K106" s="187"/>
      <c r="L106" s="187"/>
      <c r="M106" s="187"/>
      <c r="N106" s="187"/>
      <c r="O106" s="187"/>
      <c r="P106" s="187"/>
      <c r="Q106" s="187"/>
      <c r="R106" s="187"/>
      <c r="S106" s="187"/>
      <c r="T106" s="187"/>
      <c r="U106" s="187"/>
      <c r="V106" s="187"/>
      <c r="W106" s="187"/>
      <c r="X106" s="187"/>
      <c r="Y106" s="187"/>
      <c r="Z106" s="187"/>
      <c r="AA106" s="187"/>
      <c r="AB106" s="187"/>
      <c r="AC106" s="187"/>
    </row>
    <row r="107">
      <c r="A107" s="53" t="s">
        <v>926</v>
      </c>
      <c r="B107" s="53" t="s">
        <v>927</v>
      </c>
      <c r="C107" s="53" t="s">
        <v>843</v>
      </c>
      <c r="D107" s="187"/>
      <c r="E107" s="187"/>
      <c r="F107" s="53" t="s">
        <v>928</v>
      </c>
      <c r="G107" s="187"/>
      <c r="H107" s="187"/>
      <c r="I107" s="187"/>
      <c r="J107" s="187"/>
      <c r="K107" s="187"/>
      <c r="L107" s="187"/>
      <c r="M107" s="187"/>
      <c r="N107" s="187"/>
      <c r="O107" s="187"/>
      <c r="P107" s="187"/>
      <c r="Q107" s="187"/>
      <c r="R107" s="187"/>
      <c r="S107" s="187"/>
      <c r="T107" s="187"/>
      <c r="U107" s="187"/>
      <c r="V107" s="187"/>
      <c r="W107" s="187"/>
      <c r="X107" s="187"/>
      <c r="Y107" s="187"/>
      <c r="Z107" s="187"/>
      <c r="AA107" s="187"/>
      <c r="AB107" s="187"/>
      <c r="AC107" s="187"/>
    </row>
    <row r="108">
      <c r="A108" s="53" t="s">
        <v>929</v>
      </c>
      <c r="B108" s="53" t="s">
        <v>878</v>
      </c>
      <c r="C108" s="53" t="s">
        <v>843</v>
      </c>
      <c r="D108" s="187"/>
      <c r="E108" s="187"/>
      <c r="F108" s="53" t="s">
        <v>930</v>
      </c>
      <c r="G108" s="187"/>
      <c r="H108" s="187"/>
      <c r="I108" s="187"/>
      <c r="J108" s="187"/>
      <c r="K108" s="187"/>
      <c r="L108" s="187"/>
      <c r="M108" s="187"/>
      <c r="N108" s="187"/>
      <c r="O108" s="187"/>
      <c r="P108" s="187"/>
      <c r="Q108" s="187"/>
      <c r="R108" s="187"/>
      <c r="S108" s="187"/>
      <c r="T108" s="187"/>
      <c r="U108" s="187"/>
      <c r="V108" s="187"/>
      <c r="W108" s="187"/>
      <c r="X108" s="187"/>
      <c r="Y108" s="187"/>
      <c r="Z108" s="187"/>
      <c r="AA108" s="187"/>
      <c r="AB108" s="187"/>
      <c r="AC108" s="187"/>
    </row>
    <row r="109">
      <c r="A109" s="53" t="s">
        <v>931</v>
      </c>
      <c r="B109" s="53" t="s">
        <v>878</v>
      </c>
      <c r="C109" s="53" t="s">
        <v>843</v>
      </c>
      <c r="D109" s="187"/>
      <c r="E109" s="187"/>
      <c r="F109" s="53"/>
      <c r="G109" s="187"/>
      <c r="H109" s="187"/>
      <c r="I109" s="187"/>
      <c r="J109" s="187"/>
      <c r="K109" s="187"/>
      <c r="L109" s="187"/>
      <c r="M109" s="187"/>
      <c r="N109" s="187"/>
      <c r="O109" s="187"/>
      <c r="P109" s="187"/>
      <c r="Q109" s="187"/>
      <c r="R109" s="187"/>
      <c r="S109" s="187"/>
      <c r="T109" s="187"/>
      <c r="U109" s="187"/>
      <c r="V109" s="187"/>
      <c r="W109" s="187"/>
      <c r="X109" s="187"/>
      <c r="Y109" s="187"/>
      <c r="Z109" s="187"/>
      <c r="AA109" s="187"/>
      <c r="AB109" s="187"/>
      <c r="AC109" s="187"/>
    </row>
    <row r="110">
      <c r="A110" s="53" t="s">
        <v>932</v>
      </c>
      <c r="B110" s="53" t="s">
        <v>933</v>
      </c>
      <c r="C110" s="53" t="s">
        <v>843</v>
      </c>
      <c r="D110" s="187"/>
      <c r="E110" s="187"/>
      <c r="F110" s="53"/>
      <c r="G110" s="187"/>
      <c r="H110" s="187"/>
      <c r="I110" s="187"/>
      <c r="J110" s="187"/>
      <c r="K110" s="187"/>
      <c r="L110" s="187"/>
      <c r="M110" s="187"/>
      <c r="N110" s="187"/>
      <c r="O110" s="187"/>
      <c r="P110" s="187"/>
      <c r="Q110" s="187"/>
      <c r="R110" s="187"/>
      <c r="S110" s="187"/>
      <c r="T110" s="187"/>
      <c r="U110" s="187"/>
      <c r="V110" s="187"/>
      <c r="W110" s="187"/>
      <c r="X110" s="187"/>
      <c r="Y110" s="187"/>
      <c r="Z110" s="187"/>
      <c r="AA110" s="187"/>
      <c r="AB110" s="187"/>
      <c r="AC110" s="187"/>
    </row>
    <row r="111">
      <c r="A111" s="53" t="s">
        <v>934</v>
      </c>
      <c r="B111" s="53" t="s">
        <v>935</v>
      </c>
      <c r="C111" s="53" t="s">
        <v>843</v>
      </c>
      <c r="D111" s="187"/>
      <c r="E111" s="187"/>
      <c r="F111" s="53" t="s">
        <v>936</v>
      </c>
      <c r="G111" s="187"/>
      <c r="H111" s="187"/>
      <c r="I111" s="187"/>
      <c r="J111" s="187"/>
      <c r="K111" s="187"/>
      <c r="L111" s="187"/>
      <c r="M111" s="187"/>
      <c r="N111" s="187"/>
      <c r="O111" s="187"/>
      <c r="P111" s="187"/>
      <c r="Q111" s="187"/>
      <c r="R111" s="187"/>
      <c r="S111" s="187"/>
      <c r="T111" s="187"/>
      <c r="U111" s="187"/>
      <c r="V111" s="187"/>
      <c r="W111" s="187"/>
      <c r="X111" s="187"/>
      <c r="Y111" s="187"/>
      <c r="Z111" s="187"/>
      <c r="AA111" s="187"/>
      <c r="AB111" s="187"/>
      <c r="AC111" s="187"/>
    </row>
    <row r="112">
      <c r="A112" s="53" t="s">
        <v>937</v>
      </c>
      <c r="B112" s="53" t="s">
        <v>938</v>
      </c>
      <c r="C112" s="53" t="s">
        <v>843</v>
      </c>
      <c r="D112" s="187"/>
      <c r="E112" s="187"/>
      <c r="F112" s="53" t="s">
        <v>939</v>
      </c>
      <c r="G112" s="187"/>
      <c r="H112" s="187"/>
      <c r="I112" s="187"/>
      <c r="J112" s="187"/>
      <c r="K112" s="187"/>
      <c r="L112" s="187"/>
      <c r="M112" s="187"/>
      <c r="N112" s="187"/>
      <c r="O112" s="187"/>
      <c r="P112" s="187"/>
      <c r="Q112" s="187"/>
      <c r="R112" s="187"/>
      <c r="S112" s="187"/>
      <c r="T112" s="187"/>
      <c r="U112" s="187"/>
      <c r="V112" s="187"/>
      <c r="W112" s="187"/>
      <c r="X112" s="187"/>
      <c r="Y112" s="187"/>
      <c r="Z112" s="187"/>
      <c r="AA112" s="187"/>
      <c r="AB112" s="187"/>
      <c r="AC112" s="187"/>
    </row>
    <row r="113">
      <c r="A113" s="53" t="s">
        <v>940</v>
      </c>
      <c r="B113" s="53" t="s">
        <v>941</v>
      </c>
      <c r="C113" s="53" t="s">
        <v>843</v>
      </c>
      <c r="D113" s="187"/>
      <c r="E113" s="187"/>
      <c r="F113" s="53" t="s">
        <v>942</v>
      </c>
      <c r="G113" s="187"/>
      <c r="H113" s="187"/>
      <c r="I113" s="187"/>
      <c r="J113" s="187"/>
      <c r="K113" s="187"/>
      <c r="L113" s="187"/>
      <c r="M113" s="187"/>
      <c r="N113" s="187"/>
      <c r="O113" s="187"/>
      <c r="P113" s="187"/>
      <c r="Q113" s="187"/>
      <c r="R113" s="187"/>
      <c r="S113" s="187"/>
      <c r="T113" s="187"/>
      <c r="U113" s="187"/>
      <c r="V113" s="187"/>
      <c r="W113" s="187"/>
      <c r="X113" s="187"/>
      <c r="Y113" s="187"/>
      <c r="Z113" s="187"/>
      <c r="AA113" s="187"/>
      <c r="AB113" s="187"/>
      <c r="AC113" s="187"/>
    </row>
    <row r="114">
      <c r="A114" s="53" t="s">
        <v>926</v>
      </c>
      <c r="B114" s="53" t="s">
        <v>943</v>
      </c>
      <c r="C114" s="53" t="s">
        <v>843</v>
      </c>
      <c r="D114" s="187"/>
      <c r="E114" s="187"/>
      <c r="F114" s="53"/>
      <c r="G114" s="187"/>
      <c r="H114" s="187"/>
      <c r="I114" s="187"/>
      <c r="J114" s="187"/>
      <c r="K114" s="187"/>
      <c r="L114" s="187"/>
      <c r="M114" s="187"/>
      <c r="N114" s="187"/>
      <c r="O114" s="187"/>
      <c r="P114" s="187"/>
      <c r="Q114" s="187"/>
      <c r="R114" s="187"/>
      <c r="S114" s="187"/>
      <c r="T114" s="187"/>
      <c r="U114" s="187"/>
      <c r="V114" s="187"/>
      <c r="W114" s="187"/>
      <c r="X114" s="187"/>
      <c r="Y114" s="187"/>
      <c r="Z114" s="187"/>
      <c r="AA114" s="187"/>
      <c r="AB114" s="187"/>
      <c r="AC114" s="187"/>
    </row>
    <row r="115">
      <c r="A115" s="53" t="s">
        <v>944</v>
      </c>
      <c r="B115" s="53" t="s">
        <v>945</v>
      </c>
      <c r="C115" s="53" t="s">
        <v>843</v>
      </c>
      <c r="D115" s="187"/>
      <c r="E115" s="187"/>
      <c r="F115" s="53"/>
      <c r="G115" s="187"/>
      <c r="H115" s="187"/>
      <c r="I115" s="187"/>
      <c r="J115" s="187"/>
      <c r="K115" s="187"/>
      <c r="L115" s="187"/>
      <c r="M115" s="187"/>
      <c r="N115" s="187"/>
      <c r="O115" s="187"/>
      <c r="P115" s="187"/>
      <c r="Q115" s="187"/>
      <c r="R115" s="187"/>
      <c r="S115" s="187"/>
      <c r="T115" s="187"/>
      <c r="U115" s="187"/>
      <c r="V115" s="187"/>
      <c r="W115" s="187"/>
      <c r="X115" s="187"/>
      <c r="Y115" s="187"/>
      <c r="Z115" s="187"/>
      <c r="AA115" s="187"/>
      <c r="AB115" s="187"/>
      <c r="AC115" s="187"/>
    </row>
    <row r="116">
      <c r="A116" s="53" t="s">
        <v>946</v>
      </c>
      <c r="B116" s="53" t="s">
        <v>947</v>
      </c>
      <c r="C116" s="53" t="s">
        <v>843</v>
      </c>
      <c r="D116" s="187"/>
      <c r="E116" s="187"/>
      <c r="F116" s="53" t="s">
        <v>948</v>
      </c>
      <c r="G116" s="187"/>
      <c r="H116" s="187"/>
      <c r="I116" s="187"/>
      <c r="J116" s="187"/>
      <c r="K116" s="187"/>
      <c r="L116" s="187"/>
      <c r="M116" s="187"/>
      <c r="N116" s="187"/>
      <c r="O116" s="187"/>
      <c r="P116" s="187"/>
      <c r="Q116" s="187"/>
      <c r="R116" s="187"/>
      <c r="S116" s="187"/>
      <c r="T116" s="187"/>
      <c r="U116" s="187"/>
      <c r="V116" s="187"/>
      <c r="W116" s="187"/>
      <c r="X116" s="187"/>
      <c r="Y116" s="187"/>
      <c r="Z116" s="187"/>
      <c r="AA116" s="187"/>
      <c r="AB116" s="187"/>
      <c r="AC116" s="187"/>
    </row>
    <row r="117">
      <c r="A117" s="53" t="s">
        <v>949</v>
      </c>
      <c r="B117" s="53" t="s">
        <v>950</v>
      </c>
      <c r="C117" s="53" t="s">
        <v>843</v>
      </c>
      <c r="D117" s="187"/>
      <c r="E117" s="187"/>
      <c r="F117" s="53"/>
      <c r="G117" s="187"/>
      <c r="H117" s="187"/>
      <c r="I117" s="187"/>
      <c r="J117" s="187"/>
      <c r="K117" s="187"/>
      <c r="L117" s="187"/>
      <c r="M117" s="187"/>
      <c r="N117" s="187"/>
      <c r="O117" s="187"/>
      <c r="P117" s="187"/>
      <c r="Q117" s="187"/>
      <c r="R117" s="187"/>
      <c r="S117" s="187"/>
      <c r="T117" s="187"/>
      <c r="U117" s="187"/>
      <c r="V117" s="187"/>
      <c r="W117" s="187"/>
      <c r="X117" s="187"/>
      <c r="Y117" s="187"/>
      <c r="Z117" s="187"/>
      <c r="AA117" s="187"/>
      <c r="AB117" s="187"/>
      <c r="AC117" s="187"/>
    </row>
    <row r="118">
      <c r="A118" s="53" t="s">
        <v>951</v>
      </c>
      <c r="B118" s="53" t="s">
        <v>952</v>
      </c>
      <c r="C118" s="53" t="s">
        <v>843</v>
      </c>
      <c r="D118" s="187"/>
      <c r="E118" s="187"/>
      <c r="F118" s="53" t="s">
        <v>953</v>
      </c>
      <c r="G118" s="187"/>
      <c r="H118" s="187"/>
      <c r="I118" s="187"/>
      <c r="J118" s="187"/>
      <c r="K118" s="187"/>
      <c r="L118" s="187"/>
      <c r="M118" s="187"/>
      <c r="N118" s="187"/>
      <c r="O118" s="187"/>
      <c r="P118" s="187"/>
      <c r="Q118" s="187"/>
      <c r="R118" s="187"/>
      <c r="S118" s="187"/>
      <c r="T118" s="187"/>
      <c r="U118" s="187"/>
      <c r="V118" s="187"/>
      <c r="W118" s="187"/>
      <c r="X118" s="187"/>
      <c r="Y118" s="187"/>
      <c r="Z118" s="187"/>
      <c r="AA118" s="187"/>
      <c r="AB118" s="187"/>
      <c r="AC118" s="187"/>
    </row>
    <row r="119">
      <c r="A119" s="53" t="s">
        <v>954</v>
      </c>
      <c r="B119" s="53" t="s">
        <v>955</v>
      </c>
      <c r="C119" s="53" t="s">
        <v>843</v>
      </c>
      <c r="D119" s="187"/>
      <c r="E119" s="187"/>
      <c r="F119" s="53" t="s">
        <v>956</v>
      </c>
      <c r="G119" s="187"/>
      <c r="H119" s="187"/>
      <c r="I119" s="187"/>
      <c r="J119" s="187"/>
      <c r="K119" s="187"/>
      <c r="L119" s="187"/>
      <c r="M119" s="187"/>
      <c r="N119" s="187"/>
      <c r="O119" s="187"/>
      <c r="P119" s="187"/>
      <c r="Q119" s="187"/>
      <c r="R119" s="187"/>
      <c r="S119" s="187"/>
      <c r="T119" s="187"/>
      <c r="U119" s="187"/>
      <c r="V119" s="187"/>
      <c r="W119" s="187"/>
      <c r="X119" s="187"/>
      <c r="Y119" s="187"/>
      <c r="Z119" s="187"/>
      <c r="AA119" s="187"/>
      <c r="AB119" s="187"/>
      <c r="AC119" s="187"/>
    </row>
    <row r="120">
      <c r="A120" s="53" t="s">
        <v>957</v>
      </c>
      <c r="B120" s="53" t="s">
        <v>958</v>
      </c>
      <c r="C120" s="53" t="s">
        <v>843</v>
      </c>
      <c r="D120" s="187"/>
      <c r="E120" s="187"/>
      <c r="F120" s="53"/>
      <c r="G120" s="187"/>
      <c r="H120" s="187"/>
      <c r="I120" s="187"/>
      <c r="J120" s="187"/>
      <c r="K120" s="187"/>
      <c r="L120" s="187"/>
      <c r="M120" s="187"/>
      <c r="N120" s="187"/>
      <c r="O120" s="187"/>
      <c r="P120" s="187"/>
      <c r="Q120" s="187"/>
      <c r="R120" s="187"/>
      <c r="S120" s="187"/>
      <c r="T120" s="187"/>
      <c r="U120" s="187"/>
      <c r="V120" s="187"/>
      <c r="W120" s="187"/>
      <c r="X120" s="187"/>
      <c r="Y120" s="187"/>
      <c r="Z120" s="187"/>
      <c r="AA120" s="187"/>
      <c r="AB120" s="187"/>
      <c r="AC120" s="187"/>
    </row>
    <row r="121">
      <c r="A121" s="53" t="s">
        <v>959</v>
      </c>
      <c r="B121" s="53" t="s">
        <v>960</v>
      </c>
      <c r="C121" s="53" t="s">
        <v>843</v>
      </c>
      <c r="D121" s="187"/>
      <c r="E121" s="187"/>
      <c r="F121" s="53"/>
      <c r="G121" s="187"/>
      <c r="H121" s="187"/>
      <c r="I121" s="187"/>
      <c r="J121" s="187"/>
      <c r="K121" s="187"/>
      <c r="L121" s="187"/>
      <c r="M121" s="187"/>
      <c r="N121" s="187"/>
      <c r="O121" s="187"/>
      <c r="P121" s="187"/>
      <c r="Q121" s="187"/>
      <c r="R121" s="187"/>
      <c r="S121" s="187"/>
      <c r="T121" s="187"/>
      <c r="U121" s="187"/>
      <c r="V121" s="187"/>
      <c r="W121" s="187"/>
      <c r="X121" s="187"/>
      <c r="Y121" s="187"/>
      <c r="Z121" s="187"/>
      <c r="AA121" s="187"/>
      <c r="AB121" s="187"/>
      <c r="AC121" s="187"/>
    </row>
    <row r="122">
      <c r="A122" s="53" t="s">
        <v>961</v>
      </c>
      <c r="B122" s="53" t="s">
        <v>962</v>
      </c>
      <c r="C122" s="53" t="s">
        <v>843</v>
      </c>
      <c r="D122" s="187"/>
      <c r="E122" s="187"/>
      <c r="F122" s="53"/>
      <c r="G122" s="187"/>
      <c r="H122" s="187"/>
      <c r="I122" s="187"/>
      <c r="J122" s="187"/>
      <c r="K122" s="187"/>
      <c r="L122" s="187"/>
      <c r="M122" s="187"/>
      <c r="N122" s="187"/>
      <c r="O122" s="187"/>
      <c r="P122" s="187"/>
      <c r="Q122" s="187"/>
      <c r="R122" s="187"/>
      <c r="S122" s="187"/>
      <c r="T122" s="187"/>
      <c r="U122" s="187"/>
      <c r="V122" s="187"/>
      <c r="W122" s="187"/>
      <c r="X122" s="187"/>
      <c r="Y122" s="187"/>
      <c r="Z122" s="187"/>
      <c r="AA122" s="187"/>
      <c r="AB122" s="187"/>
      <c r="AC122" s="187"/>
    </row>
    <row r="123">
      <c r="A123" s="53" t="s">
        <v>963</v>
      </c>
      <c r="B123" s="53" t="s">
        <v>964</v>
      </c>
      <c r="C123" s="53" t="s">
        <v>843</v>
      </c>
      <c r="D123" s="187"/>
      <c r="E123" s="187"/>
      <c r="F123" s="53" t="s">
        <v>965</v>
      </c>
      <c r="G123" s="187"/>
      <c r="H123" s="187"/>
      <c r="I123" s="187"/>
      <c r="J123" s="187"/>
      <c r="K123" s="187"/>
      <c r="L123" s="187"/>
      <c r="M123" s="187"/>
      <c r="N123" s="187"/>
      <c r="O123" s="187"/>
      <c r="P123" s="187"/>
      <c r="Q123" s="187"/>
      <c r="R123" s="187"/>
      <c r="S123" s="187"/>
      <c r="T123" s="187"/>
      <c r="U123" s="187"/>
      <c r="V123" s="187"/>
      <c r="W123" s="187"/>
      <c r="X123" s="187"/>
      <c r="Y123" s="187"/>
      <c r="Z123" s="187"/>
      <c r="AA123" s="187"/>
      <c r="AB123" s="187"/>
      <c r="AC123" s="187"/>
    </row>
    <row r="124">
      <c r="A124" s="53" t="s">
        <v>966</v>
      </c>
      <c r="B124" s="53" t="s">
        <v>967</v>
      </c>
      <c r="C124" s="53" t="s">
        <v>843</v>
      </c>
      <c r="D124" s="187"/>
      <c r="E124" s="187"/>
      <c r="F124" s="53" t="s">
        <v>968</v>
      </c>
      <c r="G124" s="187"/>
      <c r="H124" s="187"/>
      <c r="I124" s="187"/>
      <c r="J124" s="187"/>
      <c r="K124" s="187"/>
      <c r="L124" s="187"/>
      <c r="M124" s="187"/>
      <c r="N124" s="187"/>
      <c r="O124" s="187"/>
      <c r="P124" s="187"/>
      <c r="Q124" s="187"/>
      <c r="R124" s="187"/>
      <c r="S124" s="187"/>
      <c r="T124" s="187"/>
      <c r="U124" s="187"/>
      <c r="V124" s="187"/>
      <c r="W124" s="187"/>
      <c r="X124" s="187"/>
      <c r="Y124" s="187"/>
      <c r="Z124" s="187"/>
      <c r="AA124" s="187"/>
      <c r="AB124" s="187"/>
      <c r="AC124" s="187"/>
    </row>
    <row r="125">
      <c r="A125" s="53" t="s">
        <v>969</v>
      </c>
      <c r="B125" s="53" t="s">
        <v>970</v>
      </c>
      <c r="C125" s="53" t="s">
        <v>843</v>
      </c>
      <c r="D125" s="187"/>
      <c r="E125" s="53" t="s">
        <v>971</v>
      </c>
      <c r="F125" s="53"/>
      <c r="G125" s="187"/>
      <c r="H125" s="187"/>
      <c r="I125" s="187"/>
      <c r="J125" s="187"/>
      <c r="K125" s="187"/>
      <c r="L125" s="187"/>
      <c r="M125" s="187"/>
      <c r="N125" s="187"/>
      <c r="O125" s="187"/>
      <c r="P125" s="187"/>
      <c r="Q125" s="187"/>
      <c r="R125" s="187"/>
      <c r="S125" s="187"/>
      <c r="T125" s="187"/>
      <c r="U125" s="187"/>
      <c r="V125" s="187"/>
      <c r="W125" s="187"/>
      <c r="X125" s="187"/>
      <c r="Y125" s="187"/>
      <c r="Z125" s="187"/>
      <c r="AA125" s="187"/>
      <c r="AB125" s="187"/>
      <c r="AC125" s="187"/>
    </row>
    <row r="126">
      <c r="A126" s="53" t="s">
        <v>972</v>
      </c>
      <c r="B126" s="53" t="s">
        <v>973</v>
      </c>
      <c r="C126" s="53" t="s">
        <v>843</v>
      </c>
      <c r="D126" s="187"/>
      <c r="E126" s="187"/>
      <c r="F126" s="53"/>
      <c r="G126" s="187"/>
      <c r="H126" s="187"/>
      <c r="I126" s="187"/>
      <c r="J126" s="187"/>
      <c r="K126" s="187"/>
      <c r="L126" s="187"/>
      <c r="M126" s="187"/>
      <c r="N126" s="187"/>
      <c r="O126" s="187"/>
      <c r="P126" s="187"/>
      <c r="Q126" s="187"/>
      <c r="R126" s="187"/>
      <c r="S126" s="187"/>
      <c r="T126" s="187"/>
      <c r="U126" s="187"/>
      <c r="V126" s="187"/>
      <c r="W126" s="187"/>
      <c r="X126" s="187"/>
      <c r="Y126" s="187"/>
      <c r="Z126" s="187"/>
      <c r="AA126" s="187"/>
      <c r="AB126" s="187"/>
      <c r="AC126" s="187"/>
    </row>
    <row r="127">
      <c r="A127" s="53" t="s">
        <v>974</v>
      </c>
      <c r="B127" s="53" t="s">
        <v>975</v>
      </c>
      <c r="C127" s="53" t="s">
        <v>843</v>
      </c>
      <c r="D127" s="187"/>
      <c r="E127" s="187"/>
      <c r="F127" s="53" t="s">
        <v>976</v>
      </c>
      <c r="G127" s="187"/>
      <c r="H127" s="187"/>
      <c r="I127" s="187"/>
      <c r="J127" s="187"/>
      <c r="K127" s="187"/>
      <c r="L127" s="187"/>
      <c r="M127" s="187"/>
      <c r="N127" s="187"/>
      <c r="O127" s="187"/>
      <c r="P127" s="187"/>
      <c r="Q127" s="187"/>
      <c r="R127" s="187"/>
      <c r="S127" s="187"/>
      <c r="T127" s="187"/>
      <c r="U127" s="187"/>
      <c r="V127" s="187"/>
      <c r="W127" s="187"/>
      <c r="X127" s="187"/>
      <c r="Y127" s="187"/>
      <c r="Z127" s="187"/>
      <c r="AA127" s="187"/>
      <c r="AB127" s="187"/>
      <c r="AC127" s="187"/>
    </row>
    <row r="128">
      <c r="A128" s="53" t="s">
        <v>977</v>
      </c>
      <c r="B128" s="53" t="s">
        <v>978</v>
      </c>
      <c r="C128" s="53" t="s">
        <v>843</v>
      </c>
      <c r="D128" s="187"/>
      <c r="E128" s="187"/>
      <c r="F128" s="53" t="s">
        <v>979</v>
      </c>
      <c r="G128" s="187"/>
      <c r="H128" s="187"/>
      <c r="I128" s="187"/>
      <c r="J128" s="187"/>
      <c r="K128" s="187"/>
      <c r="L128" s="187"/>
      <c r="M128" s="187"/>
      <c r="N128" s="187"/>
      <c r="O128" s="187"/>
      <c r="P128" s="187"/>
      <c r="Q128" s="187"/>
      <c r="R128" s="187"/>
      <c r="S128" s="187"/>
      <c r="T128" s="187"/>
      <c r="U128" s="187"/>
      <c r="V128" s="187"/>
      <c r="W128" s="187"/>
      <c r="X128" s="187"/>
      <c r="Y128" s="187"/>
      <c r="Z128" s="187"/>
      <c r="AA128" s="187"/>
      <c r="AB128" s="187"/>
      <c r="AC128" s="187"/>
    </row>
    <row r="129">
      <c r="A129" s="53" t="s">
        <v>539</v>
      </c>
      <c r="B129" s="53" t="s">
        <v>980</v>
      </c>
      <c r="C129" s="53" t="s">
        <v>843</v>
      </c>
      <c r="D129" s="187"/>
      <c r="E129" s="187"/>
      <c r="F129" s="53" t="s">
        <v>981</v>
      </c>
      <c r="G129" s="187"/>
      <c r="H129" s="187"/>
      <c r="I129" s="187"/>
      <c r="J129" s="187"/>
      <c r="K129" s="187"/>
      <c r="L129" s="187"/>
      <c r="M129" s="187"/>
      <c r="N129" s="187"/>
      <c r="O129" s="187"/>
      <c r="P129" s="187"/>
      <c r="Q129" s="187"/>
      <c r="R129" s="187"/>
      <c r="S129" s="187"/>
      <c r="T129" s="187"/>
      <c r="U129" s="187"/>
      <c r="V129" s="187"/>
      <c r="W129" s="187"/>
      <c r="X129" s="187"/>
      <c r="Y129" s="187"/>
      <c r="Z129" s="187"/>
      <c r="AA129" s="187"/>
      <c r="AB129" s="187"/>
      <c r="AC129" s="187"/>
    </row>
    <row r="130">
      <c r="A130" s="53" t="s">
        <v>982</v>
      </c>
      <c r="B130" s="16" t="s">
        <v>983</v>
      </c>
      <c r="C130" s="53" t="s">
        <v>843</v>
      </c>
      <c r="D130" s="187"/>
      <c r="E130" s="187"/>
      <c r="F130" s="53" t="s">
        <v>984</v>
      </c>
      <c r="G130" s="187"/>
      <c r="H130" s="187"/>
      <c r="I130" s="187"/>
      <c r="J130" s="187"/>
      <c r="K130" s="187"/>
      <c r="L130" s="187"/>
      <c r="M130" s="187"/>
      <c r="N130" s="187"/>
      <c r="O130" s="187"/>
      <c r="P130" s="187"/>
      <c r="Q130" s="187"/>
      <c r="R130" s="187"/>
      <c r="S130" s="187"/>
      <c r="T130" s="187"/>
      <c r="U130" s="187"/>
      <c r="V130" s="187"/>
      <c r="W130" s="187"/>
      <c r="X130" s="187"/>
      <c r="Y130" s="187"/>
      <c r="Z130" s="187"/>
      <c r="AA130" s="187"/>
      <c r="AB130" s="187"/>
      <c r="AC130" s="187"/>
    </row>
    <row r="131">
      <c r="A131" s="53" t="s">
        <v>985</v>
      </c>
      <c r="B131" s="53" t="s">
        <v>986</v>
      </c>
      <c r="C131" s="53" t="s">
        <v>843</v>
      </c>
      <c r="D131" s="187"/>
      <c r="E131" s="187"/>
      <c r="F131" s="53"/>
      <c r="G131" s="187"/>
      <c r="H131" s="187"/>
      <c r="I131" s="187"/>
      <c r="J131" s="187"/>
      <c r="K131" s="187"/>
      <c r="L131" s="187"/>
      <c r="M131" s="187"/>
      <c r="N131" s="187"/>
      <c r="O131" s="187"/>
      <c r="P131" s="187"/>
      <c r="Q131" s="187"/>
      <c r="R131" s="187"/>
      <c r="S131" s="187"/>
      <c r="T131" s="187"/>
      <c r="U131" s="187"/>
      <c r="V131" s="187"/>
      <c r="W131" s="187"/>
      <c r="X131" s="187"/>
      <c r="Y131" s="187"/>
      <c r="Z131" s="187"/>
      <c r="AA131" s="187"/>
      <c r="AB131" s="187"/>
      <c r="AC131" s="187"/>
    </row>
    <row r="132">
      <c r="A132" s="53" t="s">
        <v>987</v>
      </c>
      <c r="B132" s="53" t="s">
        <v>988</v>
      </c>
      <c r="C132" s="53" t="s">
        <v>843</v>
      </c>
      <c r="D132" s="187"/>
      <c r="E132" s="187"/>
      <c r="F132" s="53"/>
      <c r="G132" s="187"/>
      <c r="H132" s="187"/>
      <c r="I132" s="187"/>
      <c r="J132" s="187"/>
      <c r="K132" s="187"/>
      <c r="L132" s="187"/>
      <c r="M132" s="187"/>
      <c r="N132" s="187"/>
      <c r="O132" s="187"/>
      <c r="P132" s="187"/>
      <c r="Q132" s="187"/>
      <c r="R132" s="187"/>
      <c r="S132" s="187"/>
      <c r="T132" s="187"/>
      <c r="U132" s="187"/>
      <c r="V132" s="187"/>
      <c r="W132" s="187"/>
      <c r="X132" s="187"/>
      <c r="Y132" s="187"/>
      <c r="Z132" s="187"/>
      <c r="AA132" s="187"/>
      <c r="AB132" s="187"/>
      <c r="AC132" s="187"/>
    </row>
    <row r="133">
      <c r="A133" s="53" t="s">
        <v>989</v>
      </c>
      <c r="B133" s="53" t="s">
        <v>990</v>
      </c>
      <c r="C133" s="53" t="s">
        <v>843</v>
      </c>
      <c r="D133" s="187"/>
      <c r="E133" s="187"/>
      <c r="F133" s="53" t="s">
        <v>991</v>
      </c>
      <c r="G133" s="187"/>
      <c r="H133" s="187"/>
      <c r="I133" s="187"/>
      <c r="J133" s="187"/>
      <c r="K133" s="187"/>
      <c r="L133" s="187"/>
      <c r="M133" s="187"/>
      <c r="N133" s="187"/>
      <c r="O133" s="187"/>
      <c r="P133" s="187"/>
      <c r="Q133" s="187"/>
      <c r="R133" s="187"/>
      <c r="S133" s="187"/>
      <c r="T133" s="187"/>
      <c r="U133" s="187"/>
      <c r="V133" s="187"/>
      <c r="W133" s="187"/>
      <c r="X133" s="187"/>
      <c r="Y133" s="187"/>
      <c r="Z133" s="187"/>
      <c r="AA133" s="187"/>
      <c r="AB133" s="187"/>
      <c r="AC133" s="187"/>
    </row>
    <row r="134">
      <c r="A134" s="53" t="s">
        <v>992</v>
      </c>
      <c r="B134" s="53" t="s">
        <v>993</v>
      </c>
      <c r="C134" s="53" t="s">
        <v>843</v>
      </c>
      <c r="D134" s="187"/>
      <c r="E134" s="187"/>
      <c r="F134" s="53" t="s">
        <v>994</v>
      </c>
      <c r="G134" s="187"/>
      <c r="H134" s="187"/>
      <c r="I134" s="187"/>
      <c r="J134" s="187"/>
      <c r="K134" s="187"/>
      <c r="L134" s="187"/>
      <c r="M134" s="187"/>
      <c r="N134" s="187"/>
      <c r="O134" s="187"/>
      <c r="P134" s="187"/>
      <c r="Q134" s="187"/>
      <c r="R134" s="187"/>
      <c r="S134" s="187"/>
      <c r="T134" s="187"/>
      <c r="U134" s="187"/>
      <c r="V134" s="187"/>
      <c r="W134" s="187"/>
      <c r="X134" s="187"/>
      <c r="Y134" s="187"/>
      <c r="Z134" s="187"/>
      <c r="AA134" s="187"/>
      <c r="AB134" s="187"/>
      <c r="AC134" s="187"/>
    </row>
    <row r="135">
      <c r="A135" s="53" t="s">
        <v>995</v>
      </c>
      <c r="B135" s="53" t="s">
        <v>996</v>
      </c>
      <c r="C135" s="53" t="s">
        <v>843</v>
      </c>
      <c r="D135" s="187"/>
      <c r="E135" s="187"/>
      <c r="F135" s="53"/>
      <c r="G135" s="187"/>
      <c r="H135" s="187"/>
      <c r="I135" s="187"/>
      <c r="J135" s="187"/>
      <c r="K135" s="187"/>
      <c r="L135" s="187"/>
      <c r="M135" s="187"/>
      <c r="N135" s="187"/>
      <c r="O135" s="187"/>
      <c r="P135" s="187"/>
      <c r="Q135" s="187"/>
      <c r="R135" s="187"/>
      <c r="S135" s="187"/>
      <c r="T135" s="187"/>
      <c r="U135" s="187"/>
      <c r="V135" s="187"/>
      <c r="W135" s="187"/>
      <c r="X135" s="187"/>
      <c r="Y135" s="187"/>
      <c r="Z135" s="187"/>
      <c r="AA135" s="187"/>
      <c r="AB135" s="187"/>
      <c r="AC135" s="187"/>
    </row>
    <row r="136">
      <c r="A136" s="53" t="s">
        <v>997</v>
      </c>
      <c r="B136" s="53" t="s">
        <v>998</v>
      </c>
      <c r="C136" s="53" t="s">
        <v>843</v>
      </c>
      <c r="D136" s="187"/>
      <c r="E136" s="187"/>
      <c r="F136" s="53"/>
      <c r="G136" s="187"/>
      <c r="H136" s="187"/>
      <c r="I136" s="187"/>
      <c r="J136" s="187"/>
      <c r="K136" s="187"/>
      <c r="L136" s="187"/>
      <c r="M136" s="187"/>
      <c r="N136" s="187"/>
      <c r="O136" s="187"/>
      <c r="P136" s="187"/>
      <c r="Q136" s="187"/>
      <c r="R136" s="187"/>
      <c r="S136" s="187"/>
      <c r="T136" s="187"/>
      <c r="U136" s="187"/>
      <c r="V136" s="187"/>
      <c r="W136" s="187"/>
      <c r="X136" s="187"/>
      <c r="Y136" s="187"/>
      <c r="Z136" s="187"/>
      <c r="AA136" s="187"/>
      <c r="AB136" s="187"/>
      <c r="AC136" s="187"/>
    </row>
    <row r="137">
      <c r="A137" s="53" t="s">
        <v>999</v>
      </c>
      <c r="B137" s="53" t="s">
        <v>1000</v>
      </c>
      <c r="C137" s="53" t="s">
        <v>843</v>
      </c>
      <c r="D137" s="187"/>
      <c r="E137" s="187"/>
      <c r="F137" s="53" t="s">
        <v>1001</v>
      </c>
      <c r="G137" s="187"/>
      <c r="H137" s="187"/>
      <c r="I137" s="187"/>
      <c r="J137" s="187"/>
      <c r="K137" s="187"/>
      <c r="L137" s="187"/>
      <c r="M137" s="187"/>
      <c r="N137" s="187"/>
      <c r="O137" s="187"/>
      <c r="P137" s="187"/>
      <c r="Q137" s="187"/>
      <c r="R137" s="187"/>
      <c r="S137" s="187"/>
      <c r="T137" s="187"/>
      <c r="U137" s="187"/>
      <c r="V137" s="187"/>
      <c r="W137" s="187"/>
      <c r="X137" s="187"/>
      <c r="Y137" s="187"/>
      <c r="Z137" s="187"/>
      <c r="AA137" s="187"/>
      <c r="AB137" s="187"/>
      <c r="AC137" s="187"/>
    </row>
    <row r="138">
      <c r="A138" s="53" t="s">
        <v>1002</v>
      </c>
      <c r="B138" s="53" t="s">
        <v>1003</v>
      </c>
      <c r="C138" s="53" t="s">
        <v>843</v>
      </c>
      <c r="D138" s="187"/>
      <c r="E138" s="187"/>
      <c r="F138" s="53"/>
      <c r="G138" s="187"/>
      <c r="H138" s="187"/>
      <c r="I138" s="187"/>
      <c r="J138" s="187"/>
      <c r="K138" s="187"/>
      <c r="L138" s="187"/>
      <c r="M138" s="187"/>
      <c r="N138" s="187"/>
      <c r="O138" s="187"/>
      <c r="P138" s="187"/>
      <c r="Q138" s="187"/>
      <c r="R138" s="187"/>
      <c r="S138" s="187"/>
      <c r="T138" s="187"/>
      <c r="U138" s="187"/>
      <c r="V138" s="187"/>
      <c r="W138" s="187"/>
      <c r="X138" s="187"/>
      <c r="Y138" s="187"/>
      <c r="Z138" s="187"/>
      <c r="AA138" s="187"/>
      <c r="AB138" s="187"/>
      <c r="AC138" s="187"/>
    </row>
    <row r="139">
      <c r="A139" s="53" t="s">
        <v>1004</v>
      </c>
      <c r="B139" s="53" t="s">
        <v>1005</v>
      </c>
      <c r="C139" s="53" t="s">
        <v>843</v>
      </c>
      <c r="D139" s="187"/>
      <c r="E139" s="187"/>
      <c r="F139" s="53" t="s">
        <v>1006</v>
      </c>
      <c r="G139" s="187"/>
      <c r="H139" s="187"/>
      <c r="I139" s="187"/>
      <c r="J139" s="187"/>
      <c r="K139" s="187"/>
      <c r="L139" s="187"/>
      <c r="M139" s="187"/>
      <c r="N139" s="187"/>
      <c r="O139" s="187"/>
      <c r="P139" s="187"/>
      <c r="Q139" s="187"/>
      <c r="R139" s="187"/>
      <c r="S139" s="187"/>
      <c r="T139" s="187"/>
      <c r="U139" s="187"/>
      <c r="V139" s="187"/>
      <c r="W139" s="187"/>
      <c r="X139" s="187"/>
      <c r="Y139" s="187"/>
      <c r="Z139" s="187"/>
      <c r="AA139" s="187"/>
      <c r="AB139" s="187"/>
      <c r="AC139" s="187"/>
    </row>
    <row r="140">
      <c r="A140" s="53" t="s">
        <v>1007</v>
      </c>
      <c r="B140" s="53" t="s">
        <v>1008</v>
      </c>
      <c r="C140" s="53" t="s">
        <v>843</v>
      </c>
      <c r="D140" s="187"/>
      <c r="E140" s="187"/>
      <c r="F140" s="53"/>
      <c r="G140" s="187"/>
      <c r="H140" s="187"/>
      <c r="I140" s="187"/>
      <c r="J140" s="187"/>
      <c r="K140" s="187"/>
      <c r="L140" s="187"/>
      <c r="M140" s="187"/>
      <c r="N140" s="187"/>
      <c r="O140" s="187"/>
      <c r="P140" s="187"/>
      <c r="Q140" s="187"/>
      <c r="R140" s="187"/>
      <c r="S140" s="187"/>
      <c r="T140" s="187"/>
      <c r="U140" s="187"/>
      <c r="V140" s="187"/>
      <c r="W140" s="187"/>
      <c r="X140" s="187"/>
      <c r="Y140" s="187"/>
      <c r="Z140" s="187"/>
      <c r="AA140" s="187"/>
      <c r="AB140" s="187"/>
      <c r="AC140" s="187"/>
    </row>
    <row r="141">
      <c r="A141" s="53" t="s">
        <v>1009</v>
      </c>
      <c r="B141" s="53" t="s">
        <v>1010</v>
      </c>
      <c r="C141" s="53" t="s">
        <v>843</v>
      </c>
      <c r="D141" s="187"/>
      <c r="E141" s="187"/>
      <c r="F141" s="53" t="s">
        <v>1006</v>
      </c>
      <c r="G141" s="187"/>
      <c r="H141" s="187"/>
      <c r="I141" s="187"/>
      <c r="J141" s="187"/>
      <c r="K141" s="187"/>
      <c r="L141" s="187"/>
      <c r="M141" s="187"/>
      <c r="N141" s="187"/>
      <c r="O141" s="187"/>
      <c r="P141" s="187"/>
      <c r="Q141" s="187"/>
      <c r="R141" s="187"/>
      <c r="S141" s="187"/>
      <c r="T141" s="187"/>
      <c r="U141" s="187"/>
      <c r="V141" s="187"/>
      <c r="W141" s="187"/>
      <c r="X141" s="187"/>
      <c r="Y141" s="187"/>
      <c r="Z141" s="187"/>
      <c r="AA141" s="187"/>
      <c r="AB141" s="187"/>
      <c r="AC141" s="187"/>
    </row>
    <row r="142">
      <c r="A142" s="53" t="s">
        <v>1011</v>
      </c>
      <c r="B142" s="53" t="s">
        <v>1012</v>
      </c>
      <c r="C142" s="53" t="s">
        <v>843</v>
      </c>
      <c r="D142" s="187"/>
      <c r="E142" s="187"/>
      <c r="F142" s="53"/>
      <c r="G142" s="187"/>
      <c r="H142" s="187"/>
      <c r="I142" s="187"/>
      <c r="J142" s="187"/>
      <c r="K142" s="187"/>
      <c r="L142" s="187"/>
      <c r="M142" s="187"/>
      <c r="N142" s="187"/>
      <c r="O142" s="187"/>
      <c r="P142" s="187"/>
      <c r="Q142" s="187"/>
      <c r="R142" s="187"/>
      <c r="S142" s="187"/>
      <c r="T142" s="187"/>
      <c r="U142" s="187"/>
      <c r="V142" s="187"/>
      <c r="W142" s="187"/>
      <c r="X142" s="187"/>
      <c r="Y142" s="187"/>
      <c r="Z142" s="187"/>
      <c r="AA142" s="187"/>
      <c r="AB142" s="187"/>
      <c r="AC142" s="187"/>
    </row>
    <row r="143">
      <c r="A143" s="53" t="s">
        <v>1013</v>
      </c>
      <c r="B143" s="53" t="s">
        <v>1014</v>
      </c>
      <c r="C143" s="53" t="s">
        <v>843</v>
      </c>
      <c r="D143" s="187"/>
      <c r="E143" s="187"/>
      <c r="F143" s="53"/>
      <c r="G143" s="187"/>
      <c r="H143" s="187"/>
      <c r="I143" s="187"/>
      <c r="J143" s="187"/>
      <c r="K143" s="187"/>
      <c r="L143" s="187"/>
      <c r="M143" s="187"/>
      <c r="N143" s="187"/>
      <c r="O143" s="187"/>
      <c r="P143" s="187"/>
      <c r="Q143" s="187"/>
      <c r="R143" s="187"/>
      <c r="S143" s="187"/>
      <c r="T143" s="187"/>
      <c r="U143" s="187"/>
      <c r="V143" s="187"/>
      <c r="W143" s="187"/>
      <c r="X143" s="187"/>
      <c r="Y143" s="187"/>
      <c r="Z143" s="187"/>
      <c r="AA143" s="187"/>
      <c r="AB143" s="187"/>
      <c r="AC143" s="187"/>
    </row>
    <row r="144">
      <c r="A144" s="53" t="s">
        <v>1015</v>
      </c>
      <c r="B144" s="53" t="s">
        <v>1016</v>
      </c>
      <c r="C144" s="53" t="s">
        <v>843</v>
      </c>
      <c r="D144" s="187"/>
      <c r="E144" s="187"/>
      <c r="F144" s="53"/>
      <c r="G144" s="187"/>
      <c r="H144" s="187"/>
      <c r="I144" s="187"/>
      <c r="J144" s="187"/>
      <c r="K144" s="187"/>
      <c r="L144" s="187"/>
      <c r="M144" s="187"/>
      <c r="N144" s="187"/>
      <c r="O144" s="187"/>
      <c r="P144" s="187"/>
      <c r="Q144" s="187"/>
      <c r="R144" s="187"/>
      <c r="S144" s="187"/>
      <c r="T144" s="187"/>
      <c r="U144" s="187"/>
      <c r="V144" s="187"/>
      <c r="W144" s="187"/>
      <c r="X144" s="187"/>
      <c r="Y144" s="187"/>
      <c r="Z144" s="187"/>
      <c r="AA144" s="187"/>
      <c r="AB144" s="187"/>
      <c r="AC144" s="187"/>
    </row>
    <row r="145">
      <c r="A145" s="53" t="s">
        <v>1017</v>
      </c>
      <c r="B145" s="53" t="s">
        <v>1018</v>
      </c>
      <c r="C145" s="53" t="s">
        <v>843</v>
      </c>
      <c r="D145" s="187"/>
      <c r="E145" s="187"/>
      <c r="F145" s="53"/>
      <c r="G145" s="187"/>
      <c r="H145" s="187"/>
      <c r="I145" s="187"/>
      <c r="J145" s="187"/>
      <c r="K145" s="187"/>
      <c r="L145" s="187"/>
      <c r="M145" s="187"/>
      <c r="N145" s="187"/>
      <c r="O145" s="187"/>
      <c r="P145" s="187"/>
      <c r="Q145" s="187"/>
      <c r="R145" s="187"/>
      <c r="S145" s="187"/>
      <c r="T145" s="187"/>
      <c r="U145" s="187"/>
      <c r="V145" s="187"/>
      <c r="W145" s="187"/>
      <c r="X145" s="187"/>
      <c r="Y145" s="187"/>
      <c r="Z145" s="187"/>
      <c r="AA145" s="187"/>
      <c r="AB145" s="187"/>
      <c r="AC145" s="187"/>
    </row>
    <row r="146">
      <c r="A146" s="53" t="s">
        <v>1019</v>
      </c>
      <c r="B146" s="53" t="s">
        <v>1020</v>
      </c>
      <c r="C146" s="53" t="s">
        <v>843</v>
      </c>
      <c r="D146" s="187"/>
      <c r="E146" s="187"/>
      <c r="F146" s="53" t="s">
        <v>1021</v>
      </c>
      <c r="G146" s="187"/>
      <c r="H146" s="187"/>
      <c r="I146" s="187"/>
      <c r="J146" s="187"/>
      <c r="K146" s="187"/>
      <c r="L146" s="187"/>
      <c r="M146" s="187"/>
      <c r="N146" s="187"/>
      <c r="O146" s="187"/>
      <c r="P146" s="187"/>
      <c r="Q146" s="187"/>
      <c r="R146" s="187"/>
      <c r="S146" s="187"/>
      <c r="T146" s="187"/>
      <c r="U146" s="187"/>
      <c r="V146" s="187"/>
      <c r="W146" s="187"/>
      <c r="X146" s="187"/>
      <c r="Y146" s="187"/>
      <c r="Z146" s="187"/>
      <c r="AA146" s="187"/>
      <c r="AB146" s="187"/>
      <c r="AC146" s="187"/>
    </row>
    <row r="147">
      <c r="A147" s="53" t="s">
        <v>1022</v>
      </c>
      <c r="B147" s="53" t="s">
        <v>1023</v>
      </c>
      <c r="C147" s="53" t="s">
        <v>843</v>
      </c>
      <c r="D147" s="187"/>
      <c r="E147" s="187"/>
      <c r="F147" s="53" t="s">
        <v>1024</v>
      </c>
      <c r="G147" s="187"/>
      <c r="H147" s="187"/>
      <c r="I147" s="187"/>
      <c r="J147" s="187"/>
      <c r="K147" s="187"/>
      <c r="L147" s="187"/>
      <c r="M147" s="187"/>
      <c r="N147" s="187"/>
      <c r="O147" s="187"/>
      <c r="P147" s="187"/>
      <c r="Q147" s="187"/>
      <c r="R147" s="187"/>
      <c r="S147" s="187"/>
      <c r="T147" s="187"/>
      <c r="U147" s="187"/>
      <c r="V147" s="187"/>
      <c r="W147" s="187"/>
      <c r="X147" s="187"/>
      <c r="Y147" s="187"/>
      <c r="Z147" s="187"/>
      <c r="AA147" s="187"/>
      <c r="AB147" s="187"/>
      <c r="AC147" s="187"/>
    </row>
    <row r="148">
      <c r="A148" s="53" t="s">
        <v>1025</v>
      </c>
      <c r="B148" s="53" t="s">
        <v>1026</v>
      </c>
      <c r="C148" s="53" t="s">
        <v>843</v>
      </c>
      <c r="D148" s="187"/>
      <c r="E148" s="187"/>
      <c r="F148" s="53" t="s">
        <v>1027</v>
      </c>
      <c r="G148" s="187"/>
      <c r="H148" s="187"/>
      <c r="I148" s="187"/>
      <c r="J148" s="187"/>
      <c r="K148" s="187"/>
      <c r="L148" s="187"/>
      <c r="M148" s="187"/>
      <c r="N148" s="187"/>
      <c r="O148" s="187"/>
      <c r="P148" s="187"/>
      <c r="Q148" s="187"/>
      <c r="R148" s="187"/>
      <c r="S148" s="187"/>
      <c r="T148" s="187"/>
      <c r="U148" s="187"/>
      <c r="V148" s="187"/>
      <c r="W148" s="187"/>
      <c r="X148" s="187"/>
      <c r="Y148" s="187"/>
      <c r="Z148" s="187"/>
      <c r="AA148" s="187"/>
      <c r="AB148" s="187"/>
      <c r="AC148" s="187"/>
    </row>
    <row r="149">
      <c r="A149" s="53" t="s">
        <v>1028</v>
      </c>
      <c r="B149" s="53" t="s">
        <v>1029</v>
      </c>
      <c r="C149" s="53" t="s">
        <v>843</v>
      </c>
      <c r="D149" s="187"/>
      <c r="E149" s="187"/>
      <c r="F149" s="53" t="s">
        <v>1030</v>
      </c>
      <c r="G149" s="187"/>
      <c r="H149" s="187"/>
      <c r="I149" s="187"/>
      <c r="J149" s="187"/>
      <c r="K149" s="187"/>
      <c r="L149" s="187"/>
      <c r="M149" s="187"/>
      <c r="N149" s="187"/>
      <c r="O149" s="187"/>
      <c r="P149" s="187"/>
      <c r="Q149" s="187"/>
      <c r="R149" s="187"/>
      <c r="S149" s="187"/>
      <c r="T149" s="187"/>
      <c r="U149" s="187"/>
      <c r="V149" s="187"/>
      <c r="W149" s="187"/>
      <c r="X149" s="187"/>
      <c r="Y149" s="187"/>
      <c r="Z149" s="187"/>
      <c r="AA149" s="187"/>
      <c r="AB149" s="187"/>
      <c r="AC149" s="187"/>
    </row>
    <row r="150">
      <c r="A150" s="53" t="s">
        <v>1031</v>
      </c>
      <c r="B150" s="53" t="s">
        <v>1032</v>
      </c>
      <c r="C150" s="53" t="s">
        <v>843</v>
      </c>
      <c r="D150" s="187"/>
      <c r="E150" s="187"/>
      <c r="F150" s="53"/>
      <c r="G150" s="187"/>
      <c r="H150" s="187"/>
      <c r="I150" s="187"/>
      <c r="J150" s="187"/>
      <c r="K150" s="187"/>
      <c r="L150" s="187"/>
      <c r="M150" s="187"/>
      <c r="N150" s="187"/>
      <c r="O150" s="187"/>
      <c r="P150" s="187"/>
      <c r="Q150" s="187"/>
      <c r="R150" s="187"/>
      <c r="S150" s="187"/>
      <c r="T150" s="187"/>
      <c r="U150" s="187"/>
      <c r="V150" s="187"/>
      <c r="W150" s="187"/>
      <c r="X150" s="187"/>
      <c r="Y150" s="187"/>
      <c r="Z150" s="187"/>
      <c r="AA150" s="187"/>
      <c r="AB150" s="187"/>
      <c r="AC150" s="187"/>
    </row>
    <row r="151">
      <c r="A151" s="53" t="s">
        <v>1033</v>
      </c>
      <c r="B151" s="53" t="s">
        <v>1034</v>
      </c>
      <c r="C151" s="53" t="s">
        <v>843</v>
      </c>
      <c r="D151" s="187"/>
      <c r="E151" s="187"/>
      <c r="F151" s="53"/>
      <c r="G151" s="187"/>
      <c r="H151" s="187"/>
      <c r="I151" s="187"/>
      <c r="J151" s="187"/>
      <c r="K151" s="187"/>
      <c r="L151" s="187"/>
      <c r="M151" s="187"/>
      <c r="N151" s="187"/>
      <c r="O151" s="187"/>
      <c r="P151" s="187"/>
      <c r="Q151" s="187"/>
      <c r="R151" s="187"/>
      <c r="S151" s="187"/>
      <c r="T151" s="187"/>
      <c r="U151" s="187"/>
      <c r="V151" s="187"/>
      <c r="W151" s="187"/>
      <c r="X151" s="187"/>
      <c r="Y151" s="187"/>
      <c r="Z151" s="187"/>
      <c r="AA151" s="187"/>
      <c r="AB151" s="187"/>
      <c r="AC151" s="187"/>
    </row>
    <row r="152">
      <c r="A152" s="53" t="s">
        <v>1035</v>
      </c>
      <c r="B152" s="53" t="s">
        <v>1036</v>
      </c>
      <c r="C152" s="53" t="s">
        <v>843</v>
      </c>
      <c r="D152" s="187"/>
      <c r="E152" s="187"/>
      <c r="F152" s="53"/>
      <c r="G152" s="187"/>
      <c r="H152" s="187"/>
      <c r="I152" s="187"/>
      <c r="J152" s="187"/>
      <c r="K152" s="187"/>
      <c r="L152" s="187"/>
      <c r="M152" s="187"/>
      <c r="N152" s="187"/>
      <c r="O152" s="187"/>
      <c r="P152" s="187"/>
      <c r="Q152" s="187"/>
      <c r="R152" s="187"/>
      <c r="S152" s="187"/>
      <c r="T152" s="187"/>
      <c r="U152" s="187"/>
      <c r="V152" s="187"/>
      <c r="W152" s="187"/>
      <c r="X152" s="187"/>
      <c r="Y152" s="187"/>
      <c r="Z152" s="187"/>
      <c r="AA152" s="187"/>
      <c r="AB152" s="187"/>
      <c r="AC152" s="187"/>
    </row>
    <row r="153">
      <c r="A153" s="53" t="s">
        <v>1037</v>
      </c>
      <c r="B153" s="53" t="s">
        <v>1038</v>
      </c>
      <c r="C153" s="53" t="s">
        <v>843</v>
      </c>
      <c r="D153" s="187"/>
      <c r="E153" s="187"/>
      <c r="F153" s="53"/>
      <c r="G153" s="187"/>
      <c r="H153" s="187"/>
      <c r="I153" s="187"/>
      <c r="J153" s="187"/>
      <c r="K153" s="187"/>
      <c r="L153" s="187"/>
      <c r="M153" s="187"/>
      <c r="N153" s="187"/>
      <c r="O153" s="187"/>
      <c r="P153" s="187"/>
      <c r="Q153" s="187"/>
      <c r="R153" s="187"/>
      <c r="S153" s="187"/>
      <c r="T153" s="187"/>
      <c r="U153" s="187"/>
      <c r="V153" s="187"/>
      <c r="W153" s="187"/>
      <c r="X153" s="187"/>
      <c r="Y153" s="187"/>
      <c r="Z153" s="187"/>
      <c r="AA153" s="187"/>
      <c r="AB153" s="187"/>
      <c r="AC153" s="187"/>
    </row>
    <row r="154">
      <c r="A154" s="53" t="s">
        <v>1039</v>
      </c>
      <c r="B154" s="53" t="s">
        <v>1040</v>
      </c>
      <c r="C154" s="53" t="s">
        <v>843</v>
      </c>
      <c r="D154" s="187"/>
      <c r="E154" s="187"/>
      <c r="F154" s="53"/>
      <c r="G154" s="187"/>
      <c r="H154" s="187"/>
      <c r="I154" s="187"/>
      <c r="J154" s="187"/>
      <c r="K154" s="187"/>
      <c r="L154" s="187"/>
      <c r="M154" s="187"/>
      <c r="N154" s="187"/>
      <c r="O154" s="187"/>
      <c r="P154" s="187"/>
      <c r="Q154" s="187"/>
      <c r="R154" s="187"/>
      <c r="S154" s="187"/>
      <c r="T154" s="187"/>
      <c r="U154" s="187"/>
      <c r="V154" s="187"/>
      <c r="W154" s="187"/>
      <c r="X154" s="187"/>
      <c r="Y154" s="187"/>
      <c r="Z154" s="187"/>
      <c r="AA154" s="187"/>
      <c r="AB154" s="187"/>
      <c r="AC154" s="187"/>
    </row>
    <row r="155">
      <c r="A155" s="53" t="s">
        <v>1041</v>
      </c>
      <c r="B155" s="53" t="s">
        <v>1042</v>
      </c>
      <c r="C155" s="53" t="s">
        <v>843</v>
      </c>
      <c r="D155" s="187"/>
      <c r="E155" s="187"/>
      <c r="F155" s="53"/>
      <c r="G155" s="187"/>
      <c r="H155" s="187"/>
      <c r="I155" s="187"/>
      <c r="J155" s="187"/>
      <c r="K155" s="187"/>
      <c r="L155" s="187"/>
      <c r="M155" s="187"/>
      <c r="N155" s="187"/>
      <c r="O155" s="187"/>
      <c r="P155" s="187"/>
      <c r="Q155" s="187"/>
      <c r="R155" s="187"/>
      <c r="S155" s="187"/>
      <c r="T155" s="187"/>
      <c r="U155" s="187"/>
      <c r="V155" s="187"/>
      <c r="W155" s="187"/>
      <c r="X155" s="187"/>
      <c r="Y155" s="187"/>
      <c r="Z155" s="187"/>
      <c r="AA155" s="187"/>
      <c r="AB155" s="187"/>
      <c r="AC155" s="187"/>
    </row>
    <row r="156">
      <c r="A156" s="53" t="s">
        <v>142</v>
      </c>
      <c r="B156" s="53" t="s">
        <v>1043</v>
      </c>
      <c r="C156" s="53" t="s">
        <v>843</v>
      </c>
      <c r="D156" s="187"/>
      <c r="E156" s="187"/>
      <c r="F156" s="53"/>
      <c r="G156" s="187"/>
      <c r="H156" s="187"/>
      <c r="I156" s="187"/>
      <c r="J156" s="187"/>
      <c r="K156" s="187"/>
      <c r="L156" s="187"/>
      <c r="M156" s="187"/>
      <c r="N156" s="187"/>
      <c r="O156" s="187"/>
      <c r="P156" s="187"/>
      <c r="Q156" s="187"/>
      <c r="R156" s="187"/>
      <c r="S156" s="187"/>
      <c r="T156" s="187"/>
      <c r="U156" s="187"/>
      <c r="V156" s="187"/>
      <c r="W156" s="187"/>
      <c r="X156" s="187"/>
      <c r="Y156" s="187"/>
      <c r="Z156" s="187"/>
      <c r="AA156" s="187"/>
      <c r="AB156" s="187"/>
      <c r="AC156" s="187"/>
    </row>
    <row r="157">
      <c r="A157" s="53" t="s">
        <v>1044</v>
      </c>
      <c r="B157" s="53" t="s">
        <v>1045</v>
      </c>
      <c r="C157" s="53" t="s">
        <v>843</v>
      </c>
      <c r="D157" s="187"/>
      <c r="E157" s="187"/>
      <c r="F157" s="53"/>
      <c r="G157" s="187"/>
      <c r="H157" s="187"/>
      <c r="I157" s="187"/>
      <c r="J157" s="187"/>
      <c r="K157" s="187"/>
      <c r="L157" s="187"/>
      <c r="M157" s="187"/>
      <c r="N157" s="187"/>
      <c r="O157" s="187"/>
      <c r="P157" s="187"/>
      <c r="Q157" s="187"/>
      <c r="R157" s="187"/>
      <c r="S157" s="187"/>
      <c r="T157" s="187"/>
      <c r="U157" s="187"/>
      <c r="V157" s="187"/>
      <c r="W157" s="187"/>
      <c r="X157" s="187"/>
      <c r="Y157" s="187"/>
      <c r="Z157" s="187"/>
      <c r="AA157" s="187"/>
      <c r="AB157" s="187"/>
      <c r="AC157" s="187"/>
    </row>
    <row r="158">
      <c r="A158" s="53" t="s">
        <v>1046</v>
      </c>
      <c r="B158" s="53" t="s">
        <v>1047</v>
      </c>
      <c r="C158" s="53" t="s">
        <v>843</v>
      </c>
      <c r="D158" s="187"/>
      <c r="E158" s="187"/>
      <c r="F158" s="53"/>
      <c r="G158" s="187"/>
      <c r="H158" s="187"/>
      <c r="I158" s="187"/>
      <c r="J158" s="187"/>
      <c r="K158" s="187"/>
      <c r="L158" s="187"/>
      <c r="M158" s="187"/>
      <c r="N158" s="187"/>
      <c r="O158" s="187"/>
      <c r="P158" s="187"/>
      <c r="Q158" s="187"/>
      <c r="R158" s="187"/>
      <c r="S158" s="187"/>
      <c r="T158" s="187"/>
      <c r="U158" s="187"/>
      <c r="V158" s="187"/>
      <c r="W158" s="187"/>
      <c r="X158" s="187"/>
      <c r="Y158" s="187"/>
      <c r="Z158" s="187"/>
      <c r="AA158" s="187"/>
      <c r="AB158" s="187"/>
      <c r="AC158" s="187"/>
    </row>
    <row r="159">
      <c r="A159" s="53" t="s">
        <v>1048</v>
      </c>
      <c r="B159" s="53" t="s">
        <v>1049</v>
      </c>
      <c r="C159" s="53" t="s">
        <v>843</v>
      </c>
      <c r="D159" s="187"/>
      <c r="E159" s="187"/>
      <c r="F159" s="53"/>
      <c r="G159" s="187"/>
      <c r="H159" s="187"/>
      <c r="I159" s="187"/>
      <c r="J159" s="187"/>
      <c r="K159" s="187"/>
      <c r="L159" s="187"/>
      <c r="M159" s="187"/>
      <c r="N159" s="187"/>
      <c r="O159" s="187"/>
      <c r="P159" s="187"/>
      <c r="Q159" s="187"/>
      <c r="R159" s="187"/>
      <c r="S159" s="187"/>
      <c r="T159" s="187"/>
      <c r="U159" s="187"/>
      <c r="V159" s="187"/>
      <c r="W159" s="187"/>
      <c r="X159" s="187"/>
      <c r="Y159" s="187"/>
      <c r="Z159" s="187"/>
      <c r="AA159" s="187"/>
      <c r="AB159" s="187"/>
      <c r="AC159" s="187"/>
    </row>
    <row r="160">
      <c r="A160" s="53" t="s">
        <v>1050</v>
      </c>
      <c r="B160" s="53" t="s">
        <v>1051</v>
      </c>
      <c r="C160" s="53" t="s">
        <v>843</v>
      </c>
      <c r="D160" s="187"/>
      <c r="E160" s="187"/>
      <c r="F160" s="53"/>
      <c r="G160" s="187"/>
      <c r="H160" s="187"/>
      <c r="I160" s="187"/>
      <c r="J160" s="187"/>
      <c r="K160" s="187"/>
      <c r="L160" s="187"/>
      <c r="M160" s="187"/>
      <c r="N160" s="187"/>
      <c r="O160" s="187"/>
      <c r="P160" s="187"/>
      <c r="Q160" s="187"/>
      <c r="R160" s="187"/>
      <c r="S160" s="187"/>
      <c r="T160" s="187"/>
      <c r="U160" s="187"/>
      <c r="V160" s="187"/>
      <c r="W160" s="187"/>
      <c r="X160" s="187"/>
      <c r="Y160" s="187"/>
      <c r="Z160" s="187"/>
      <c r="AA160" s="187"/>
      <c r="AB160" s="187"/>
      <c r="AC160" s="187"/>
    </row>
    <row r="161">
      <c r="A161" s="53" t="s">
        <v>1052</v>
      </c>
      <c r="B161" s="53" t="s">
        <v>1053</v>
      </c>
      <c r="C161" s="53" t="s">
        <v>843</v>
      </c>
      <c r="D161" s="187"/>
      <c r="E161" s="187"/>
      <c r="F161" s="53"/>
      <c r="G161" s="187"/>
      <c r="H161" s="187"/>
      <c r="I161" s="187"/>
      <c r="J161" s="187"/>
      <c r="K161" s="187"/>
      <c r="L161" s="187"/>
      <c r="M161" s="187"/>
      <c r="N161" s="187"/>
      <c r="O161" s="187"/>
      <c r="P161" s="187"/>
      <c r="Q161" s="187"/>
      <c r="R161" s="187"/>
      <c r="S161" s="187"/>
      <c r="T161" s="187"/>
      <c r="U161" s="187"/>
      <c r="V161" s="187"/>
      <c r="W161" s="187"/>
      <c r="X161" s="187"/>
      <c r="Y161" s="187"/>
      <c r="Z161" s="187"/>
      <c r="AA161" s="187"/>
      <c r="AB161" s="187"/>
      <c r="AC161" s="187"/>
    </row>
    <row r="162">
      <c r="A162" s="53" t="s">
        <v>1054</v>
      </c>
      <c r="B162" s="53" t="s">
        <v>1055</v>
      </c>
      <c r="C162" s="53" t="s">
        <v>843</v>
      </c>
      <c r="D162" s="187"/>
      <c r="E162" s="187"/>
      <c r="F162" s="53"/>
      <c r="G162" s="187"/>
      <c r="H162" s="187"/>
      <c r="I162" s="187"/>
      <c r="J162" s="187"/>
      <c r="K162" s="187"/>
      <c r="L162" s="187"/>
      <c r="M162" s="187"/>
      <c r="N162" s="187"/>
      <c r="O162" s="187"/>
      <c r="P162" s="187"/>
      <c r="Q162" s="187"/>
      <c r="R162" s="187"/>
      <c r="S162" s="187"/>
      <c r="T162" s="187"/>
      <c r="U162" s="187"/>
      <c r="V162" s="187"/>
      <c r="W162" s="187"/>
      <c r="X162" s="187"/>
      <c r="Y162" s="187"/>
      <c r="Z162" s="187"/>
      <c r="AA162" s="187"/>
      <c r="AB162" s="187"/>
      <c r="AC162" s="187"/>
    </row>
    <row r="163">
      <c r="A163" s="53" t="s">
        <v>1056</v>
      </c>
      <c r="B163" s="53" t="s">
        <v>1057</v>
      </c>
      <c r="C163" s="53" t="s">
        <v>843</v>
      </c>
      <c r="D163" s="187"/>
      <c r="E163" s="187"/>
      <c r="F163" s="53"/>
      <c r="G163" s="187"/>
      <c r="H163" s="187"/>
      <c r="I163" s="187"/>
      <c r="J163" s="187"/>
      <c r="K163" s="187"/>
      <c r="L163" s="187"/>
      <c r="M163" s="187"/>
      <c r="N163" s="187"/>
      <c r="O163" s="187"/>
      <c r="P163" s="187"/>
      <c r="Q163" s="187"/>
      <c r="R163" s="187"/>
      <c r="S163" s="187"/>
      <c r="T163" s="187"/>
      <c r="U163" s="187"/>
      <c r="V163" s="187"/>
      <c r="W163" s="187"/>
      <c r="X163" s="187"/>
      <c r="Y163" s="187"/>
      <c r="Z163" s="187"/>
      <c r="AA163" s="187"/>
      <c r="AB163" s="187"/>
      <c r="AC163" s="187"/>
    </row>
    <row r="164">
      <c r="A164" s="53" t="s">
        <v>1058</v>
      </c>
      <c r="B164" s="53" t="s">
        <v>1059</v>
      </c>
      <c r="C164" s="53" t="s">
        <v>843</v>
      </c>
      <c r="D164" s="187"/>
      <c r="E164" s="187"/>
      <c r="F164" s="53"/>
      <c r="G164" s="187"/>
      <c r="H164" s="187"/>
      <c r="I164" s="187"/>
      <c r="J164" s="187"/>
      <c r="K164" s="187"/>
      <c r="L164" s="187"/>
      <c r="M164" s="187"/>
      <c r="N164" s="187"/>
      <c r="O164" s="187"/>
      <c r="P164" s="187"/>
      <c r="Q164" s="187"/>
      <c r="R164" s="187"/>
      <c r="S164" s="187"/>
      <c r="T164" s="187"/>
      <c r="U164" s="187"/>
      <c r="V164" s="187"/>
      <c r="W164" s="187"/>
      <c r="X164" s="187"/>
      <c r="Y164" s="187"/>
      <c r="Z164" s="187"/>
      <c r="AA164" s="187"/>
      <c r="AB164" s="187"/>
      <c r="AC164" s="187"/>
    </row>
    <row r="165">
      <c r="A165" s="53" t="s">
        <v>1060</v>
      </c>
      <c r="B165" s="53" t="s">
        <v>1061</v>
      </c>
      <c r="C165" s="53" t="s">
        <v>843</v>
      </c>
      <c r="D165" s="187"/>
      <c r="E165" s="187"/>
      <c r="F165" s="53"/>
      <c r="G165" s="187"/>
      <c r="H165" s="187"/>
      <c r="I165" s="187"/>
      <c r="J165" s="187"/>
      <c r="K165" s="187"/>
      <c r="L165" s="187"/>
      <c r="M165" s="187"/>
      <c r="N165" s="187"/>
      <c r="O165" s="187"/>
      <c r="P165" s="187"/>
      <c r="Q165" s="187"/>
      <c r="R165" s="187"/>
      <c r="S165" s="187"/>
      <c r="T165" s="187"/>
      <c r="U165" s="187"/>
      <c r="V165" s="187"/>
      <c r="W165" s="187"/>
      <c r="X165" s="187"/>
      <c r="Y165" s="187"/>
      <c r="Z165" s="187"/>
      <c r="AA165" s="187"/>
      <c r="AB165" s="187"/>
      <c r="AC165" s="187"/>
    </row>
    <row r="166">
      <c r="A166" s="53" t="s">
        <v>1062</v>
      </c>
      <c r="B166" s="53" t="s">
        <v>1063</v>
      </c>
      <c r="C166" s="53" t="s">
        <v>843</v>
      </c>
      <c r="D166" s="187"/>
      <c r="E166" s="187"/>
      <c r="F166" s="53"/>
      <c r="G166" s="187"/>
      <c r="H166" s="187"/>
      <c r="I166" s="187"/>
      <c r="J166" s="187"/>
      <c r="K166" s="187"/>
      <c r="L166" s="187"/>
      <c r="M166" s="187"/>
      <c r="N166" s="187"/>
      <c r="O166" s="187"/>
      <c r="P166" s="187"/>
      <c r="Q166" s="187"/>
      <c r="R166" s="187"/>
      <c r="S166" s="187"/>
      <c r="T166" s="187"/>
      <c r="U166" s="187"/>
      <c r="V166" s="187"/>
      <c r="W166" s="187"/>
      <c r="X166" s="187"/>
      <c r="Y166" s="187"/>
      <c r="Z166" s="187"/>
      <c r="AA166" s="187"/>
      <c r="AB166" s="187"/>
      <c r="AC166" s="187"/>
    </row>
    <row r="167">
      <c r="A167" s="53" t="s">
        <v>1064</v>
      </c>
      <c r="B167" s="53" t="s">
        <v>1065</v>
      </c>
      <c r="C167" s="53" t="s">
        <v>843</v>
      </c>
      <c r="D167" s="187"/>
      <c r="E167" s="187"/>
      <c r="F167" s="53"/>
      <c r="G167" s="187"/>
      <c r="H167" s="187"/>
      <c r="I167" s="187"/>
      <c r="J167" s="187"/>
      <c r="K167" s="187"/>
      <c r="L167" s="187"/>
      <c r="M167" s="187"/>
      <c r="N167" s="187"/>
      <c r="O167" s="187"/>
      <c r="P167" s="187"/>
      <c r="Q167" s="187"/>
      <c r="R167" s="187"/>
      <c r="S167" s="187"/>
      <c r="T167" s="187"/>
      <c r="U167" s="187"/>
      <c r="V167" s="187"/>
      <c r="W167" s="187"/>
      <c r="X167" s="187"/>
      <c r="Y167" s="187"/>
      <c r="Z167" s="187"/>
      <c r="AA167" s="187"/>
      <c r="AB167" s="187"/>
      <c r="AC167" s="187"/>
    </row>
    <row r="168">
      <c r="A168" s="53" t="s">
        <v>1066</v>
      </c>
      <c r="B168" s="53" t="s">
        <v>1067</v>
      </c>
      <c r="C168" s="53" t="s">
        <v>843</v>
      </c>
      <c r="D168" s="187"/>
      <c r="E168" s="187"/>
      <c r="F168" s="53"/>
      <c r="G168" s="187"/>
      <c r="H168" s="187"/>
      <c r="I168" s="187"/>
      <c r="J168" s="187"/>
      <c r="K168" s="187"/>
      <c r="L168" s="187"/>
      <c r="M168" s="187"/>
      <c r="N168" s="187"/>
      <c r="O168" s="187"/>
      <c r="P168" s="187"/>
      <c r="Q168" s="187"/>
      <c r="R168" s="187"/>
      <c r="S168" s="187"/>
      <c r="T168" s="187"/>
      <c r="U168" s="187"/>
      <c r="V168" s="187"/>
      <c r="W168" s="187"/>
      <c r="X168" s="187"/>
      <c r="Y168" s="187"/>
      <c r="Z168" s="187"/>
      <c r="AA168" s="187"/>
      <c r="AB168" s="187"/>
      <c r="AC168" s="187"/>
    </row>
    <row r="169">
      <c r="A169" s="53"/>
      <c r="B169" s="53"/>
      <c r="C169" s="53"/>
      <c r="D169" s="187"/>
      <c r="E169" s="187"/>
      <c r="F169" s="53"/>
      <c r="G169" s="187"/>
      <c r="H169" s="187"/>
      <c r="I169" s="187"/>
      <c r="J169" s="187"/>
      <c r="K169" s="187"/>
      <c r="L169" s="187"/>
      <c r="M169" s="187"/>
      <c r="N169" s="187"/>
      <c r="O169" s="187"/>
      <c r="P169" s="187"/>
      <c r="Q169" s="187"/>
      <c r="R169" s="187"/>
      <c r="S169" s="187"/>
      <c r="T169" s="187"/>
      <c r="U169" s="187"/>
      <c r="V169" s="187"/>
      <c r="W169" s="187"/>
      <c r="X169" s="187"/>
      <c r="Y169" s="187"/>
      <c r="Z169" s="187"/>
      <c r="AA169" s="187"/>
      <c r="AB169" s="187"/>
      <c r="AC169" s="187"/>
    </row>
    <row r="170">
      <c r="A170" s="186" t="s">
        <v>1068</v>
      </c>
      <c r="B170" s="175"/>
      <c r="C170" s="175"/>
      <c r="D170" s="175"/>
      <c r="E170" s="175"/>
      <c r="F170" s="175"/>
    </row>
    <row r="171">
      <c r="A171" s="177" t="s">
        <v>738</v>
      </c>
      <c r="B171" s="177" t="s">
        <v>739</v>
      </c>
      <c r="C171" s="177" t="s">
        <v>725</v>
      </c>
      <c r="D171" s="177" t="s">
        <v>740</v>
      </c>
      <c r="E171" s="177" t="s">
        <v>741</v>
      </c>
      <c r="F171" s="177" t="s">
        <v>742</v>
      </c>
    </row>
    <row r="172">
      <c r="A172" s="188" t="s">
        <v>1069</v>
      </c>
      <c r="B172" s="51" t="s">
        <v>1070</v>
      </c>
      <c r="C172" s="51" t="s">
        <v>274</v>
      </c>
      <c r="D172" s="51" t="s">
        <v>1071</v>
      </c>
      <c r="E172" s="175"/>
      <c r="F172" s="175"/>
    </row>
    <row r="173">
      <c r="B173" s="51" t="s">
        <v>1072</v>
      </c>
      <c r="C173" s="51" t="s">
        <v>1073</v>
      </c>
      <c r="D173" s="51"/>
      <c r="E173" s="51"/>
      <c r="F173" s="175"/>
    </row>
    <row r="174">
      <c r="A174" s="188" t="s">
        <v>1074</v>
      </c>
      <c r="B174" s="51" t="s">
        <v>1075</v>
      </c>
      <c r="C174" s="51" t="s">
        <v>266</v>
      </c>
      <c r="D174" s="51" t="s">
        <v>1076</v>
      </c>
      <c r="E174" s="51" t="s">
        <v>258</v>
      </c>
      <c r="F174" s="175"/>
    </row>
    <row r="175">
      <c r="B175" s="51" t="s">
        <v>1077</v>
      </c>
      <c r="C175" s="51" t="s">
        <v>1073</v>
      </c>
      <c r="E175" s="51" t="s">
        <v>1078</v>
      </c>
      <c r="F175" s="175"/>
    </row>
    <row r="176">
      <c r="B176" s="51" t="s">
        <v>552</v>
      </c>
      <c r="C176" s="51" t="s">
        <v>1079</v>
      </c>
      <c r="D176" s="178">
        <v>2010.0</v>
      </c>
      <c r="E176" s="175"/>
      <c r="F176" s="175"/>
    </row>
    <row r="177">
      <c r="B177" s="51" t="s">
        <v>1080</v>
      </c>
      <c r="C177" s="51" t="s">
        <v>1081</v>
      </c>
      <c r="D177" s="178"/>
      <c r="E177" s="175"/>
      <c r="F177" s="175"/>
    </row>
    <row r="178">
      <c r="A178" s="188" t="s">
        <v>1082</v>
      </c>
      <c r="B178" s="51" t="s">
        <v>1083</v>
      </c>
      <c r="C178" s="51" t="s">
        <v>1079</v>
      </c>
      <c r="D178" s="178">
        <v>2010.0</v>
      </c>
      <c r="E178" s="175"/>
      <c r="F178" s="175"/>
    </row>
    <row r="179">
      <c r="B179" s="51" t="s">
        <v>1084</v>
      </c>
      <c r="C179" s="51" t="s">
        <v>1073</v>
      </c>
      <c r="D179" s="178"/>
      <c r="E179" s="175"/>
      <c r="F179" s="175"/>
    </row>
    <row r="180">
      <c r="A180" s="188" t="s">
        <v>1085</v>
      </c>
      <c r="B180" s="51" t="s">
        <v>1086</v>
      </c>
      <c r="C180" s="51" t="s">
        <v>266</v>
      </c>
      <c r="D180" s="51" t="s">
        <v>1071</v>
      </c>
      <c r="E180" s="175"/>
      <c r="F180" s="175"/>
    </row>
    <row r="181">
      <c r="B181" s="51" t="s">
        <v>1087</v>
      </c>
      <c r="C181" s="51" t="s">
        <v>1073</v>
      </c>
      <c r="D181" s="51" t="s">
        <v>1088</v>
      </c>
      <c r="E181" s="175"/>
      <c r="F181" s="175"/>
    </row>
    <row r="182">
      <c r="B182" s="51" t="s">
        <v>1089</v>
      </c>
      <c r="C182" s="51" t="s">
        <v>1081</v>
      </c>
      <c r="D182" s="175"/>
      <c r="E182" s="175"/>
      <c r="F182" s="175"/>
    </row>
    <row r="183">
      <c r="A183" s="51" t="s">
        <v>1090</v>
      </c>
      <c r="B183" s="51" t="s">
        <v>1091</v>
      </c>
      <c r="C183" s="51" t="s">
        <v>1073</v>
      </c>
      <c r="D183" s="175"/>
      <c r="E183" s="178" t="s">
        <v>1092</v>
      </c>
      <c r="F183" s="175"/>
    </row>
    <row r="184">
      <c r="A184" s="188" t="s">
        <v>1093</v>
      </c>
      <c r="B184" s="51" t="s">
        <v>1094</v>
      </c>
      <c r="C184" s="51" t="s">
        <v>1073</v>
      </c>
      <c r="D184" s="175"/>
      <c r="E184" s="178" t="s">
        <v>1095</v>
      </c>
      <c r="F184" s="175"/>
    </row>
    <row r="185">
      <c r="B185" s="51" t="s">
        <v>1096</v>
      </c>
      <c r="C185" s="51" t="s">
        <v>1081</v>
      </c>
      <c r="D185" s="51"/>
      <c r="E185" s="175"/>
      <c r="F185" s="175"/>
    </row>
    <row r="186">
      <c r="A186" s="51" t="s">
        <v>434</v>
      </c>
      <c r="B186" s="51" t="s">
        <v>1097</v>
      </c>
      <c r="C186" s="51" t="s">
        <v>1073</v>
      </c>
      <c r="D186" s="51"/>
      <c r="E186" s="175"/>
      <c r="F186" s="175"/>
    </row>
    <row r="187">
      <c r="A187" s="51" t="s">
        <v>1098</v>
      </c>
      <c r="B187" s="51" t="s">
        <v>1099</v>
      </c>
      <c r="C187" s="51" t="s">
        <v>266</v>
      </c>
      <c r="D187" s="51" t="s">
        <v>1071</v>
      </c>
      <c r="E187" s="175"/>
      <c r="F187" s="175"/>
    </row>
    <row r="188">
      <c r="A188" s="188" t="s">
        <v>1100</v>
      </c>
      <c r="B188" s="51" t="s">
        <v>1101</v>
      </c>
      <c r="C188" s="51" t="s">
        <v>266</v>
      </c>
      <c r="D188" s="51" t="s">
        <v>1071</v>
      </c>
      <c r="E188" s="175"/>
      <c r="F188" s="175"/>
    </row>
    <row r="189">
      <c r="B189" s="51" t="s">
        <v>1102</v>
      </c>
      <c r="C189" s="51" t="s">
        <v>1073</v>
      </c>
      <c r="D189" s="51"/>
      <c r="E189" s="175"/>
      <c r="F189" s="175"/>
    </row>
    <row r="190">
      <c r="A190" s="51" t="s">
        <v>1103</v>
      </c>
      <c r="B190" s="51" t="s">
        <v>1104</v>
      </c>
      <c r="C190" s="51" t="s">
        <v>266</v>
      </c>
      <c r="D190" s="51" t="s">
        <v>1071</v>
      </c>
      <c r="E190" s="175"/>
      <c r="F190" s="175"/>
    </row>
    <row r="191">
      <c r="B191" s="51" t="s">
        <v>1105</v>
      </c>
      <c r="C191" s="51" t="s">
        <v>1073</v>
      </c>
      <c r="D191" s="51"/>
      <c r="E191" s="175"/>
      <c r="F191" s="175"/>
    </row>
    <row r="192">
      <c r="A192" s="51" t="s">
        <v>1106</v>
      </c>
      <c r="B192" s="51" t="s">
        <v>1107</v>
      </c>
      <c r="C192" s="51" t="s">
        <v>266</v>
      </c>
      <c r="D192" s="51" t="s">
        <v>1071</v>
      </c>
      <c r="E192" s="175"/>
      <c r="F192" s="175"/>
    </row>
    <row r="193">
      <c r="B193" s="51" t="s">
        <v>1108</v>
      </c>
      <c r="C193" s="51" t="s">
        <v>1073</v>
      </c>
      <c r="D193" s="51"/>
      <c r="E193" s="175"/>
      <c r="F193" s="175"/>
    </row>
    <row r="194">
      <c r="A194" s="51" t="s">
        <v>663</v>
      </c>
      <c r="B194" s="51" t="s">
        <v>1109</v>
      </c>
      <c r="C194" s="51" t="s">
        <v>266</v>
      </c>
      <c r="D194" s="51" t="s">
        <v>1071</v>
      </c>
      <c r="E194" s="175"/>
      <c r="F194" s="175"/>
    </row>
    <row r="195">
      <c r="B195" s="51" t="s">
        <v>1110</v>
      </c>
      <c r="C195" s="51" t="s">
        <v>1073</v>
      </c>
      <c r="D195" s="51"/>
      <c r="E195" s="175"/>
      <c r="F195" s="175"/>
    </row>
    <row r="196">
      <c r="A196" s="188" t="s">
        <v>1111</v>
      </c>
      <c r="B196" s="51" t="s">
        <v>1112</v>
      </c>
      <c r="C196" s="51" t="s">
        <v>1113</v>
      </c>
      <c r="D196" s="178" t="s">
        <v>1114</v>
      </c>
      <c r="E196" s="178"/>
      <c r="F196" s="178" t="s">
        <v>1115</v>
      </c>
    </row>
    <row r="197">
      <c r="B197" s="51" t="s">
        <v>1116</v>
      </c>
      <c r="C197" s="51" t="s">
        <v>1081</v>
      </c>
      <c r="D197" s="178"/>
      <c r="E197" s="178"/>
      <c r="F197" s="178"/>
    </row>
    <row r="198">
      <c r="B198" s="51" t="s">
        <v>1117</v>
      </c>
      <c r="C198" s="51" t="s">
        <v>1081</v>
      </c>
      <c r="D198" s="178"/>
      <c r="E198" s="178"/>
      <c r="F198" s="178"/>
    </row>
    <row r="199">
      <c r="B199" s="51" t="s">
        <v>1118</v>
      </c>
      <c r="C199" s="51" t="s">
        <v>1081</v>
      </c>
      <c r="D199" s="178"/>
      <c r="E199" s="178"/>
      <c r="F199" s="178"/>
    </row>
    <row r="200">
      <c r="A200" s="188" t="s">
        <v>1119</v>
      </c>
      <c r="B200" s="51" t="s">
        <v>1120</v>
      </c>
      <c r="C200" s="51" t="s">
        <v>1113</v>
      </c>
      <c r="D200" s="178" t="s">
        <v>1114</v>
      </c>
      <c r="E200" s="178"/>
      <c r="F200" s="178" t="s">
        <v>1115</v>
      </c>
    </row>
    <row r="201">
      <c r="B201" s="51" t="s">
        <v>1121</v>
      </c>
      <c r="C201" s="51" t="s">
        <v>1081</v>
      </c>
      <c r="D201" s="178"/>
      <c r="E201" s="178"/>
      <c r="F201" s="178"/>
    </row>
    <row r="202">
      <c r="A202" s="51" t="s">
        <v>1122</v>
      </c>
      <c r="B202" s="51" t="s">
        <v>1123</v>
      </c>
      <c r="C202" s="51" t="s">
        <v>1073</v>
      </c>
      <c r="D202" s="189"/>
      <c r="E202" s="175"/>
      <c r="F202" s="175"/>
    </row>
    <row r="203">
      <c r="A203" s="51" t="s">
        <v>1124</v>
      </c>
      <c r="B203" s="51" t="s">
        <v>1125</v>
      </c>
      <c r="C203" s="51" t="s">
        <v>1073</v>
      </c>
      <c r="D203" s="189">
        <v>2001.0</v>
      </c>
      <c r="E203" s="175"/>
      <c r="F203" s="175"/>
    </row>
    <row r="204">
      <c r="A204" s="51" t="s">
        <v>1126</v>
      </c>
      <c r="B204" s="51" t="s">
        <v>1127</v>
      </c>
      <c r="C204" s="51" t="s">
        <v>1073</v>
      </c>
      <c r="D204" s="175"/>
      <c r="E204" s="175"/>
      <c r="F204" s="175"/>
    </row>
    <row r="205">
      <c r="A205" s="51" t="s">
        <v>1128</v>
      </c>
      <c r="B205" s="51" t="s">
        <v>1129</v>
      </c>
      <c r="C205" s="51" t="s">
        <v>1073</v>
      </c>
      <c r="D205" s="175"/>
      <c r="E205" s="175"/>
      <c r="F205" s="175"/>
    </row>
    <row r="206">
      <c r="A206" s="51" t="s">
        <v>1130</v>
      </c>
      <c r="B206" s="51" t="s">
        <v>1131</v>
      </c>
      <c r="C206" s="51" t="s">
        <v>1073</v>
      </c>
      <c r="D206" s="175"/>
      <c r="E206" s="175"/>
      <c r="F206" s="175"/>
    </row>
    <row r="207">
      <c r="A207" s="188" t="s">
        <v>1132</v>
      </c>
      <c r="B207" s="51" t="s">
        <v>1133</v>
      </c>
      <c r="C207" s="51" t="s">
        <v>1073</v>
      </c>
      <c r="D207" s="51" t="s">
        <v>1134</v>
      </c>
      <c r="E207" s="175"/>
      <c r="F207" s="175"/>
    </row>
    <row r="208">
      <c r="B208" s="51" t="s">
        <v>1135</v>
      </c>
      <c r="C208" s="51" t="s">
        <v>1136</v>
      </c>
      <c r="D208" s="178">
        <v>2010.0</v>
      </c>
      <c r="E208" s="178"/>
      <c r="F208" s="178" t="s">
        <v>1115</v>
      </c>
    </row>
    <row r="209">
      <c r="A209" s="188" t="s">
        <v>1137</v>
      </c>
      <c r="B209" s="51" t="s">
        <v>1138</v>
      </c>
      <c r="C209" s="51" t="s">
        <v>1139</v>
      </c>
      <c r="D209" s="178">
        <v>2009.0</v>
      </c>
      <c r="E209" s="178"/>
      <c r="F209" s="178" t="s">
        <v>1115</v>
      </c>
    </row>
    <row r="210">
      <c r="B210" s="51" t="s">
        <v>1140</v>
      </c>
      <c r="C210" s="51" t="s">
        <v>1081</v>
      </c>
      <c r="D210" s="175"/>
      <c r="E210" s="175"/>
      <c r="F210" s="175"/>
    </row>
    <row r="211">
      <c r="B211" s="51" t="s">
        <v>1141</v>
      </c>
      <c r="C211" s="51" t="s">
        <v>1081</v>
      </c>
      <c r="D211" s="175"/>
      <c r="E211" s="175"/>
      <c r="F211" s="175"/>
    </row>
    <row r="212">
      <c r="B212" s="51" t="s">
        <v>1142</v>
      </c>
      <c r="C212" s="51" t="s">
        <v>1081</v>
      </c>
      <c r="D212" s="175"/>
      <c r="E212" s="175"/>
      <c r="F212" s="175"/>
    </row>
    <row r="213">
      <c r="B213" s="51" t="s">
        <v>1143</v>
      </c>
      <c r="C213" s="51" t="s">
        <v>1081</v>
      </c>
      <c r="D213" s="175"/>
      <c r="E213" s="175"/>
      <c r="F213" s="175"/>
    </row>
    <row r="214">
      <c r="B214" s="51" t="s">
        <v>1144</v>
      </c>
      <c r="C214" s="51" t="s">
        <v>1073</v>
      </c>
      <c r="D214" s="175"/>
      <c r="E214" s="175"/>
      <c r="F214" s="175"/>
    </row>
    <row r="215">
      <c r="A215" s="51" t="s">
        <v>1145</v>
      </c>
      <c r="B215" s="51" t="s">
        <v>1146</v>
      </c>
      <c r="C215" s="51" t="s">
        <v>1073</v>
      </c>
      <c r="D215" s="175"/>
      <c r="E215" s="178" t="s">
        <v>1147</v>
      </c>
      <c r="F215" s="175"/>
    </row>
    <row r="216">
      <c r="A216" s="51" t="s">
        <v>1148</v>
      </c>
      <c r="B216" s="51" t="s">
        <v>1149</v>
      </c>
      <c r="C216" s="51" t="s">
        <v>1073</v>
      </c>
      <c r="D216" s="175"/>
      <c r="E216" s="178" t="s">
        <v>1147</v>
      </c>
      <c r="F216" s="175"/>
    </row>
    <row r="217">
      <c r="A217" s="188" t="s">
        <v>1150</v>
      </c>
      <c r="B217" s="51" t="s">
        <v>1151</v>
      </c>
      <c r="C217" s="51" t="s">
        <v>1081</v>
      </c>
      <c r="D217" s="178"/>
      <c r="E217" s="178"/>
      <c r="F217" s="175"/>
    </row>
    <row r="218">
      <c r="B218" s="51" t="s">
        <v>1152</v>
      </c>
      <c r="C218" s="51" t="s">
        <v>1081</v>
      </c>
      <c r="D218" s="178"/>
      <c r="E218" s="178"/>
      <c r="F218" s="175"/>
    </row>
    <row r="219">
      <c r="B219" s="178" t="s">
        <v>1153</v>
      </c>
      <c r="C219" s="178" t="s">
        <v>1154</v>
      </c>
      <c r="D219" s="178">
        <v>2012.0</v>
      </c>
      <c r="E219" s="178"/>
      <c r="F219" s="178" t="s">
        <v>1115</v>
      </c>
    </row>
    <row r="220">
      <c r="B220" s="178" t="s">
        <v>1155</v>
      </c>
      <c r="C220" s="178"/>
      <c r="D220" s="178"/>
      <c r="E220" s="178"/>
      <c r="F220" s="178"/>
    </row>
    <row r="221">
      <c r="A221" s="51" t="s">
        <v>1156</v>
      </c>
      <c r="B221" s="51" t="s">
        <v>1083</v>
      </c>
      <c r="C221" s="51" t="s">
        <v>1157</v>
      </c>
      <c r="D221" s="178">
        <v>2010.0</v>
      </c>
      <c r="E221" s="178"/>
      <c r="F221" s="178" t="s">
        <v>1115</v>
      </c>
    </row>
    <row r="222">
      <c r="B222" s="51" t="s">
        <v>1158</v>
      </c>
      <c r="C222" s="51" t="s">
        <v>1073</v>
      </c>
      <c r="D222" s="178"/>
      <c r="E222" s="178"/>
      <c r="F222" s="178"/>
    </row>
    <row r="223">
      <c r="A223" s="51" t="s">
        <v>1159</v>
      </c>
      <c r="B223" s="51" t="s">
        <v>1160</v>
      </c>
      <c r="C223" s="51" t="s">
        <v>1161</v>
      </c>
      <c r="D223" s="178" t="s">
        <v>1162</v>
      </c>
      <c r="E223" s="178"/>
      <c r="F223" s="178" t="s">
        <v>1115</v>
      </c>
    </row>
    <row r="224">
      <c r="A224" s="188" t="s">
        <v>1163</v>
      </c>
      <c r="B224" s="51" t="s">
        <v>1164</v>
      </c>
      <c r="C224" s="51" t="s">
        <v>1113</v>
      </c>
      <c r="D224" s="178" t="s">
        <v>1165</v>
      </c>
      <c r="E224" s="178"/>
      <c r="F224" s="178" t="s">
        <v>1115</v>
      </c>
    </row>
    <row r="225">
      <c r="B225" s="51" t="s">
        <v>1166</v>
      </c>
      <c r="C225" s="51" t="s">
        <v>1081</v>
      </c>
      <c r="D225" s="178"/>
      <c r="E225" s="175"/>
      <c r="F225" s="175"/>
    </row>
    <row r="226">
      <c r="A226" s="51" t="s">
        <v>487</v>
      </c>
      <c r="B226" s="51" t="s">
        <v>1167</v>
      </c>
      <c r="C226" s="51"/>
      <c r="D226" s="175"/>
      <c r="E226" s="175"/>
      <c r="F226" s="175"/>
    </row>
    <row r="227">
      <c r="A227" s="51" t="s">
        <v>490</v>
      </c>
      <c r="B227" s="51" t="s">
        <v>1168</v>
      </c>
      <c r="C227" s="51"/>
      <c r="D227" s="175"/>
      <c r="E227" s="175"/>
      <c r="F227" s="175"/>
    </row>
    <row r="228">
      <c r="A228" s="51"/>
      <c r="B228" s="51"/>
      <c r="C228" s="51"/>
      <c r="D228" s="175"/>
      <c r="E228" s="175"/>
      <c r="F228" s="175"/>
    </row>
    <row r="229">
      <c r="A229" s="51" t="s">
        <v>492</v>
      </c>
      <c r="B229" s="51" t="s">
        <v>1169</v>
      </c>
      <c r="C229" s="51" t="s">
        <v>1073</v>
      </c>
      <c r="D229" s="175"/>
      <c r="E229" s="175"/>
      <c r="F229" s="175"/>
    </row>
    <row r="230">
      <c r="A230" s="51" t="s">
        <v>1170</v>
      </c>
      <c r="B230" s="51" t="s">
        <v>1171</v>
      </c>
      <c r="C230" s="51" t="s">
        <v>1073</v>
      </c>
      <c r="D230" s="175"/>
      <c r="E230" s="175"/>
      <c r="F230" s="175"/>
    </row>
    <row r="231">
      <c r="A231" s="51" t="s">
        <v>1172</v>
      </c>
      <c r="B231" s="51" t="s">
        <v>1173</v>
      </c>
      <c r="C231" s="51" t="s">
        <v>1073</v>
      </c>
      <c r="D231" s="175"/>
      <c r="E231" s="175"/>
      <c r="F231" s="175"/>
    </row>
    <row r="232">
      <c r="A232" s="51" t="s">
        <v>1174</v>
      </c>
      <c r="B232" s="51" t="s">
        <v>1175</v>
      </c>
      <c r="C232" s="51" t="s">
        <v>1073</v>
      </c>
      <c r="D232" s="175"/>
      <c r="E232" s="175"/>
      <c r="F232" s="175"/>
    </row>
    <row r="233">
      <c r="A233" s="51" t="s">
        <v>1176</v>
      </c>
      <c r="B233" s="51" t="s">
        <v>1177</v>
      </c>
      <c r="C233" s="51" t="s">
        <v>1073</v>
      </c>
      <c r="D233" s="175"/>
      <c r="E233" s="175"/>
      <c r="F233" s="175"/>
    </row>
    <row r="234">
      <c r="A234" s="51" t="s">
        <v>1178</v>
      </c>
      <c r="B234" s="51" t="s">
        <v>1177</v>
      </c>
      <c r="C234" s="51" t="s">
        <v>1073</v>
      </c>
      <c r="D234" s="175"/>
      <c r="E234" s="175"/>
      <c r="F234" s="175"/>
    </row>
    <row r="235">
      <c r="A235" s="51" t="s">
        <v>1179</v>
      </c>
      <c r="B235" s="51" t="s">
        <v>1177</v>
      </c>
      <c r="C235" s="51" t="s">
        <v>1073</v>
      </c>
      <c r="D235" s="175"/>
      <c r="E235" s="175"/>
      <c r="F235" s="175"/>
    </row>
    <row r="236">
      <c r="A236" s="51" t="s">
        <v>1180</v>
      </c>
      <c r="B236" s="51" t="s">
        <v>1181</v>
      </c>
      <c r="C236" s="51" t="s">
        <v>1073</v>
      </c>
      <c r="D236" s="175"/>
      <c r="E236" s="175"/>
      <c r="F236" s="175"/>
    </row>
    <row r="237">
      <c r="A237" s="51" t="s">
        <v>1182</v>
      </c>
      <c r="B237" s="51" t="s">
        <v>1177</v>
      </c>
      <c r="C237" s="51" t="s">
        <v>1073</v>
      </c>
      <c r="D237" s="175"/>
      <c r="E237" s="175"/>
      <c r="F237" s="175"/>
    </row>
    <row r="238">
      <c r="A238" s="51" t="s">
        <v>1183</v>
      </c>
      <c r="B238" s="51" t="s">
        <v>1184</v>
      </c>
      <c r="C238" s="51" t="s">
        <v>1073</v>
      </c>
      <c r="D238" s="175"/>
      <c r="E238" s="175"/>
      <c r="F238" s="175"/>
    </row>
    <row r="239">
      <c r="A239" s="51" t="s">
        <v>1185</v>
      </c>
      <c r="B239" s="16" t="s">
        <v>1186</v>
      </c>
      <c r="C239" s="51" t="s">
        <v>1073</v>
      </c>
      <c r="D239" s="175"/>
      <c r="E239" s="175"/>
      <c r="F239" s="175"/>
    </row>
    <row r="240">
      <c r="A240" s="51" t="s">
        <v>1187</v>
      </c>
      <c r="B240" s="16" t="s">
        <v>1184</v>
      </c>
      <c r="C240" s="51" t="s">
        <v>1073</v>
      </c>
      <c r="D240" s="175"/>
      <c r="E240" s="175"/>
      <c r="F240" s="175"/>
    </row>
    <row r="241">
      <c r="A241" s="51" t="s">
        <v>1188</v>
      </c>
      <c r="B241" s="16" t="s">
        <v>1184</v>
      </c>
      <c r="C241" s="51" t="s">
        <v>1073</v>
      </c>
      <c r="D241" s="175"/>
      <c r="E241" s="175"/>
      <c r="F241" s="175"/>
    </row>
    <row r="242">
      <c r="A242" s="51" t="s">
        <v>1189</v>
      </c>
      <c r="B242" s="51" t="s">
        <v>1184</v>
      </c>
      <c r="C242" s="51" t="s">
        <v>1073</v>
      </c>
      <c r="D242" s="175"/>
      <c r="E242" s="175"/>
      <c r="F242" s="175"/>
    </row>
    <row r="243">
      <c r="A243" s="16" t="s">
        <v>1190</v>
      </c>
      <c r="B243" s="16" t="s">
        <v>1191</v>
      </c>
      <c r="C243" s="51" t="s">
        <v>1073</v>
      </c>
      <c r="D243" s="175"/>
      <c r="E243" s="175"/>
      <c r="F243" s="175"/>
    </row>
    <row r="244">
      <c r="A244" s="51" t="s">
        <v>539</v>
      </c>
      <c r="B244" s="51" t="s">
        <v>1191</v>
      </c>
      <c r="C244" s="51" t="s">
        <v>1073</v>
      </c>
      <c r="D244" s="175"/>
      <c r="E244" s="175"/>
      <c r="F244" s="175"/>
    </row>
    <row r="245">
      <c r="A245" s="51" t="s">
        <v>1192</v>
      </c>
      <c r="B245" s="51" t="s">
        <v>1193</v>
      </c>
      <c r="C245" s="51" t="s">
        <v>1073</v>
      </c>
      <c r="D245" s="175"/>
      <c r="E245" s="175"/>
      <c r="F245" s="175"/>
    </row>
    <row r="246">
      <c r="A246" s="188" t="s">
        <v>1194</v>
      </c>
      <c r="B246" s="51" t="s">
        <v>1191</v>
      </c>
      <c r="C246" s="51" t="s">
        <v>1073</v>
      </c>
      <c r="D246" s="175"/>
      <c r="E246" s="175"/>
      <c r="F246" s="175"/>
    </row>
    <row r="247">
      <c r="B247" s="16" t="s">
        <v>1195</v>
      </c>
      <c r="C247" s="51" t="s">
        <v>1196</v>
      </c>
      <c r="D247" s="175"/>
      <c r="E247" s="175"/>
      <c r="F247" s="175"/>
    </row>
    <row r="248">
      <c r="A248" s="51" t="s">
        <v>1197</v>
      </c>
      <c r="B248" s="16" t="s">
        <v>1198</v>
      </c>
      <c r="C248" s="51" t="s">
        <v>1073</v>
      </c>
      <c r="D248" s="175"/>
      <c r="E248" s="175"/>
      <c r="F248" s="175"/>
    </row>
    <row r="249">
      <c r="A249" s="51" t="s">
        <v>1199</v>
      </c>
      <c r="B249" s="51" t="s">
        <v>1200</v>
      </c>
      <c r="C249" s="51" t="s">
        <v>1073</v>
      </c>
      <c r="D249" s="175"/>
      <c r="E249" s="175"/>
      <c r="F249" s="175"/>
    </row>
    <row r="250">
      <c r="A250" s="51" t="s">
        <v>1201</v>
      </c>
      <c r="B250" s="51" t="s">
        <v>1202</v>
      </c>
      <c r="C250" s="51" t="s">
        <v>1073</v>
      </c>
      <c r="D250" s="175"/>
      <c r="E250" s="175"/>
      <c r="F250" s="175"/>
    </row>
    <row r="251">
      <c r="A251" s="16" t="s">
        <v>1203</v>
      </c>
      <c r="B251" s="51" t="s">
        <v>1204</v>
      </c>
      <c r="C251" s="51" t="s">
        <v>1073</v>
      </c>
      <c r="D251" s="175"/>
      <c r="E251" s="175"/>
      <c r="F251" s="175"/>
    </row>
    <row r="252">
      <c r="A252" s="51" t="s">
        <v>1205</v>
      </c>
      <c r="B252" s="51" t="s">
        <v>1206</v>
      </c>
      <c r="C252" s="51" t="s">
        <v>1073</v>
      </c>
      <c r="D252" s="175"/>
      <c r="E252" s="175"/>
      <c r="F252" s="175"/>
    </row>
    <row r="253">
      <c r="A253" s="51" t="s">
        <v>1207</v>
      </c>
      <c r="B253" s="51" t="s">
        <v>1208</v>
      </c>
      <c r="C253" s="51" t="s">
        <v>1209</v>
      </c>
      <c r="D253" s="175"/>
      <c r="E253" s="175"/>
      <c r="F253" s="175"/>
    </row>
    <row r="254">
      <c r="A254" s="51" t="s">
        <v>1210</v>
      </c>
      <c r="B254" s="51" t="s">
        <v>1211</v>
      </c>
      <c r="C254" s="51" t="s">
        <v>1212</v>
      </c>
      <c r="D254" s="175"/>
      <c r="E254" s="175"/>
      <c r="F254" s="175"/>
    </row>
    <row r="255">
      <c r="A255" s="51" t="s">
        <v>1213</v>
      </c>
      <c r="B255" s="51" t="s">
        <v>1214</v>
      </c>
      <c r="C255" s="51" t="s">
        <v>1073</v>
      </c>
      <c r="D255" s="175"/>
      <c r="E255" s="175"/>
      <c r="F255" s="175"/>
    </row>
    <row r="256">
      <c r="A256" s="51" t="s">
        <v>1215</v>
      </c>
      <c r="B256" s="51" t="s">
        <v>1216</v>
      </c>
      <c r="C256" s="51" t="s">
        <v>1217</v>
      </c>
      <c r="D256" s="175"/>
      <c r="E256" s="175"/>
      <c r="F256" s="175"/>
    </row>
    <row r="257">
      <c r="A257" s="175"/>
      <c r="B257" s="175"/>
      <c r="C257" s="175"/>
      <c r="D257" s="175"/>
      <c r="E257" s="175"/>
      <c r="F257" s="175"/>
    </row>
    <row r="258">
      <c r="A258" s="178" t="s">
        <v>1218</v>
      </c>
      <c r="B258" s="178" t="s">
        <v>1219</v>
      </c>
      <c r="C258" s="178" t="s">
        <v>1220</v>
      </c>
      <c r="D258" s="178">
        <v>2012.0</v>
      </c>
      <c r="E258" s="175"/>
      <c r="F258" s="175"/>
    </row>
    <row r="259">
      <c r="B259" s="16" t="s">
        <v>1221</v>
      </c>
      <c r="F259" s="175"/>
    </row>
    <row r="260">
      <c r="A260" s="16" t="s">
        <v>1222</v>
      </c>
      <c r="B260" s="16" t="s">
        <v>1223</v>
      </c>
      <c r="F260" s="175"/>
    </row>
    <row r="261">
      <c r="A261" s="16" t="s">
        <v>1224</v>
      </c>
      <c r="B261" s="16" t="s">
        <v>1225</v>
      </c>
      <c r="C261" s="16" t="s">
        <v>1226</v>
      </c>
      <c r="D261" s="16">
        <v>1995.0</v>
      </c>
      <c r="F261" s="178" t="s">
        <v>1227</v>
      </c>
    </row>
    <row r="262">
      <c r="F262" s="175"/>
    </row>
    <row r="263">
      <c r="A263" s="125" t="s">
        <v>1228</v>
      </c>
      <c r="B263" s="125"/>
      <c r="C263" s="126"/>
      <c r="D263" s="126"/>
      <c r="E263" s="125" t="s">
        <v>1229</v>
      </c>
      <c r="F263" s="190" t="s">
        <v>1230</v>
      </c>
      <c r="G263" s="126"/>
      <c r="H263" s="126"/>
      <c r="I263" s="126"/>
      <c r="J263" s="126"/>
      <c r="K263" s="126"/>
      <c r="L263" s="126"/>
      <c r="M263" s="126"/>
      <c r="N263" s="126"/>
      <c r="O263" s="126"/>
      <c r="P263" s="126"/>
      <c r="Q263" s="126"/>
      <c r="R263" s="126"/>
      <c r="S263" s="126"/>
      <c r="T263" s="126"/>
      <c r="U263" s="126"/>
      <c r="V263" s="126"/>
      <c r="W263" s="126"/>
      <c r="X263" s="126"/>
      <c r="Y263" s="126"/>
      <c r="Z263" s="126"/>
      <c r="AA263" s="126"/>
      <c r="AB263" s="126"/>
      <c r="AC263" s="126"/>
    </row>
    <row r="264">
      <c r="A264" s="191" t="s">
        <v>711</v>
      </c>
      <c r="B264" s="16" t="s">
        <v>1231</v>
      </c>
      <c r="C264" s="51" t="s">
        <v>274</v>
      </c>
      <c r="F264" s="175"/>
    </row>
    <row r="265">
      <c r="B265" s="16" t="s">
        <v>1232</v>
      </c>
      <c r="C265" s="51" t="s">
        <v>1233</v>
      </c>
      <c r="E265" s="16">
        <v>22.0</v>
      </c>
      <c r="F265" s="175"/>
    </row>
    <row r="266">
      <c r="A266" s="16" t="s">
        <v>1234</v>
      </c>
      <c r="B266" s="16" t="s">
        <v>1235</v>
      </c>
      <c r="C266" s="51" t="s">
        <v>274</v>
      </c>
      <c r="F266" s="175"/>
    </row>
    <row r="267">
      <c r="A267" s="16" t="s">
        <v>1236</v>
      </c>
      <c r="B267" s="16" t="s">
        <v>1237</v>
      </c>
      <c r="C267" s="51" t="s">
        <v>1233</v>
      </c>
      <c r="E267" s="16">
        <v>10.0</v>
      </c>
      <c r="F267" s="175"/>
    </row>
    <row r="268">
      <c r="A268" s="16" t="s">
        <v>1238</v>
      </c>
      <c r="B268" s="16" t="s">
        <v>1235</v>
      </c>
      <c r="C268" s="51" t="s">
        <v>274</v>
      </c>
      <c r="F268" s="175"/>
    </row>
    <row r="269">
      <c r="B269" s="16" t="s">
        <v>1239</v>
      </c>
      <c r="C269" s="16" t="s">
        <v>1240</v>
      </c>
    </row>
    <row r="270">
      <c r="A270" s="16" t="s">
        <v>1241</v>
      </c>
      <c r="B270" s="16" t="s">
        <v>1242</v>
      </c>
      <c r="C270" s="51" t="s">
        <v>1243</v>
      </c>
      <c r="F270" s="175"/>
    </row>
    <row r="271">
      <c r="A271" s="191" t="s">
        <v>1244</v>
      </c>
      <c r="B271" s="16" t="s">
        <v>1235</v>
      </c>
      <c r="C271" s="51" t="s">
        <v>274</v>
      </c>
      <c r="F271" s="175"/>
    </row>
    <row r="272">
      <c r="B272" s="16" t="s">
        <v>1245</v>
      </c>
      <c r="C272" s="51" t="s">
        <v>1233</v>
      </c>
      <c r="E272" s="16">
        <v>5.0</v>
      </c>
    </row>
    <row r="273">
      <c r="A273" s="16" t="s">
        <v>1246</v>
      </c>
      <c r="B273" s="16" t="s">
        <v>1247</v>
      </c>
      <c r="C273" s="16" t="s">
        <v>1240</v>
      </c>
    </row>
    <row r="274">
      <c r="A274" s="16" t="s">
        <v>1248</v>
      </c>
      <c r="B274" s="16" t="s">
        <v>1249</v>
      </c>
      <c r="C274" s="16" t="s">
        <v>1240</v>
      </c>
    </row>
    <row r="275">
      <c r="A275" s="16" t="s">
        <v>1250</v>
      </c>
      <c r="B275" s="16" t="s">
        <v>1251</v>
      </c>
      <c r="C275" s="16" t="s">
        <v>1240</v>
      </c>
    </row>
    <row r="276">
      <c r="A276" s="16" t="s">
        <v>1252</v>
      </c>
      <c r="B276" s="16" t="s">
        <v>1253</v>
      </c>
      <c r="C276" s="16" t="s">
        <v>1240</v>
      </c>
    </row>
    <row r="277">
      <c r="A277" s="16" t="s">
        <v>1254</v>
      </c>
      <c r="B277" s="16" t="s">
        <v>1255</v>
      </c>
      <c r="C277" s="16" t="s">
        <v>1240</v>
      </c>
    </row>
    <row r="278">
      <c r="A278" s="178" t="s">
        <v>1256</v>
      </c>
      <c r="B278" s="16" t="s">
        <v>1257</v>
      </c>
      <c r="C278" s="16" t="s">
        <v>1240</v>
      </c>
    </row>
    <row r="279">
      <c r="A279" s="16" t="s">
        <v>1258</v>
      </c>
      <c r="B279" s="16" t="s">
        <v>1259</v>
      </c>
      <c r="C279" s="16" t="s">
        <v>1240</v>
      </c>
    </row>
    <row r="280">
      <c r="A280" s="16" t="s">
        <v>1260</v>
      </c>
      <c r="B280" s="16" t="s">
        <v>1261</v>
      </c>
      <c r="C280" s="16" t="s">
        <v>1240</v>
      </c>
    </row>
    <row r="281">
      <c r="A281" s="16" t="s">
        <v>1262</v>
      </c>
      <c r="B281" s="16" t="s">
        <v>1263</v>
      </c>
      <c r="C281" s="16" t="s">
        <v>1240</v>
      </c>
    </row>
    <row r="282">
      <c r="A282" s="16" t="s">
        <v>1264</v>
      </c>
      <c r="B282" s="16" t="s">
        <v>1265</v>
      </c>
      <c r="C282" s="16" t="s">
        <v>1240</v>
      </c>
    </row>
    <row r="283">
      <c r="A283" s="16" t="s">
        <v>1266</v>
      </c>
      <c r="B283" s="16" t="s">
        <v>1267</v>
      </c>
      <c r="C283" s="16" t="s">
        <v>1240</v>
      </c>
    </row>
    <row r="284">
      <c r="A284" s="16" t="s">
        <v>1268</v>
      </c>
      <c r="B284" s="16" t="s">
        <v>1269</v>
      </c>
    </row>
  </sheetData>
  <mergeCells count="21">
    <mergeCell ref="A268:A269"/>
    <mergeCell ref="A264:A265"/>
    <mergeCell ref="A221:A222"/>
    <mergeCell ref="A224:A225"/>
    <mergeCell ref="A190:A191"/>
    <mergeCell ref="A188:A189"/>
    <mergeCell ref="A174:A177"/>
    <mergeCell ref="A172:A173"/>
    <mergeCell ref="A180:A182"/>
    <mergeCell ref="A178:A179"/>
    <mergeCell ref="B1:D1"/>
    <mergeCell ref="A184:A185"/>
    <mergeCell ref="A194:A195"/>
    <mergeCell ref="A192:A193"/>
    <mergeCell ref="A271:A272"/>
    <mergeCell ref="A217:A220"/>
    <mergeCell ref="A209:A214"/>
    <mergeCell ref="A207:A208"/>
    <mergeCell ref="A196:A199"/>
    <mergeCell ref="A200:A201"/>
    <mergeCell ref="A246:A247"/>
  </mergeCells>
  <drawing r:id="rId2"/>
  <legacyDrawing r:id="rId3"/>
</worksheet>
</file>