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sz\Dysk Google\MAGISTERKA\Praca magisterska\tex\tab\"/>
    </mc:Choice>
  </mc:AlternateContent>
  <bookViews>
    <workbookView xWindow="0" yWindow="0" windowWidth="14460" windowHeight="7440" firstSheet="1" activeTab="7"/>
  </bookViews>
  <sheets>
    <sheet name="Kryteria PandR" sheetId="1" r:id="rId1"/>
    <sheet name="PSR piesi" sheetId="2" r:id="rId2"/>
    <sheet name="MEtodyka AMPTI" sheetId="3" r:id="rId3"/>
    <sheet name="Analiza" sheetId="4" r:id="rId4"/>
    <sheet name="KBR" sheetId="5" r:id="rId5"/>
    <sheet name="Sheet1" sheetId="6" r:id="rId6"/>
    <sheet name="Sheet2" sheetId="7" r:id="rId7"/>
    <sheet name="zal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K1" i="6"/>
  <c r="J3" i="6"/>
  <c r="J5" i="6"/>
  <c r="J6" i="6" s="1"/>
  <c r="J4" i="6"/>
  <c r="C4" i="6"/>
  <c r="C6" i="6" s="1"/>
  <c r="C7" i="6" s="1"/>
  <c r="D4" i="6"/>
  <c r="D6" i="6" s="1"/>
  <c r="D7" i="6" s="1"/>
  <c r="C10" i="6"/>
  <c r="C11" i="6" s="1"/>
  <c r="D10" i="6"/>
  <c r="D11" i="6" s="1"/>
  <c r="O4" i="7"/>
  <c r="O3" i="7"/>
  <c r="F13" i="7"/>
  <c r="G11" i="7"/>
  <c r="E13" i="7" s="1"/>
  <c r="F11" i="7"/>
  <c r="E12" i="7" s="1"/>
  <c r="E10" i="7"/>
  <c r="D11" i="7" s="1"/>
  <c r="F9" i="7"/>
  <c r="C12" i="7" s="1"/>
  <c r="H13" i="7"/>
  <c r="G14" i="7" s="1"/>
  <c r="C8" i="7"/>
  <c r="D9" i="7" s="1"/>
  <c r="H14" i="7"/>
  <c r="G13" i="7"/>
  <c r="F12" i="7"/>
  <c r="E11" i="7"/>
  <c r="E5" i="7"/>
  <c r="D10" i="7"/>
  <c r="C9" i="7"/>
  <c r="B8" i="7"/>
  <c r="M4" i="7"/>
  <c r="M3" i="7"/>
  <c r="E6" i="7"/>
  <c r="D6" i="7"/>
  <c r="C6" i="7"/>
  <c r="B6" i="7"/>
  <c r="E3" i="7"/>
  <c r="D2" i="7"/>
  <c r="E2" i="7" s="1"/>
  <c r="F6" i="7"/>
  <c r="B2" i="7"/>
  <c r="D21" i="6" l="1"/>
  <c r="D24" i="6" s="1"/>
  <c r="C21" i="6"/>
  <c r="C22" i="6" s="1"/>
  <c r="C23" i="6" s="1"/>
  <c r="C28" i="6" s="1"/>
  <c r="D13" i="6"/>
  <c r="D17" i="6"/>
  <c r="D18" i="6"/>
  <c r="C17" i="6"/>
  <c r="C13" i="6"/>
  <c r="C18" i="6"/>
  <c r="D22" i="6"/>
  <c r="D23" i="6" s="1"/>
  <c r="B9" i="7"/>
  <c r="D8" i="7"/>
  <c r="B10" i="7" s="1"/>
  <c r="F8" i="7"/>
  <c r="B12" i="7" s="1"/>
  <c r="E8" i="7"/>
  <c r="B11" i="7" s="1"/>
  <c r="E9" i="7"/>
  <c r="C11" i="7" s="1"/>
  <c r="F10" i="7"/>
  <c r="C10" i="7"/>
  <c r="G9" i="7"/>
  <c r="C13" i="7" s="1"/>
  <c r="H12" i="7"/>
  <c r="L9" i="7"/>
  <c r="N4" i="7"/>
  <c r="N3" i="7"/>
  <c r="P3" i="7"/>
  <c r="P4" i="7"/>
  <c r="D5" i="7"/>
  <c r="C5" i="7"/>
  <c r="C4" i="7"/>
  <c r="B5" i="7"/>
  <c r="B4" i="7"/>
  <c r="C3" i="7"/>
  <c r="B3" i="7"/>
  <c r="C24" i="6" l="1"/>
  <c r="C19" i="6"/>
  <c r="C27" i="6" s="1"/>
  <c r="C20" i="6"/>
  <c r="C29" i="6" s="1"/>
  <c r="D19" i="6"/>
  <c r="D27" i="6" s="1"/>
  <c r="D20" i="6"/>
  <c r="D29" i="6" s="1"/>
  <c r="D28" i="6"/>
  <c r="G8" i="7"/>
  <c r="B13" i="7" s="1"/>
  <c r="D12" i="7"/>
  <c r="H10" i="7"/>
  <c r="D14" i="7" s="1"/>
  <c r="G10" i="7"/>
  <c r="D13" i="7" s="1"/>
  <c r="F14" i="7"/>
  <c r="H11" i="7"/>
  <c r="E14" i="7" s="1"/>
  <c r="H9" i="7"/>
  <c r="C14" i="7" s="1"/>
  <c r="O2" i="7"/>
  <c r="P2" i="7" s="1"/>
  <c r="P9" i="7" s="1"/>
  <c r="D4" i="7"/>
  <c r="M2" i="7" s="1"/>
  <c r="B10" i="6"/>
  <c r="B21" i="6" s="1"/>
  <c r="B4" i="6"/>
  <c r="B22" i="6" l="1"/>
  <c r="B23" i="6" s="1"/>
  <c r="B28" i="6" s="1"/>
  <c r="B24" i="6"/>
  <c r="B11" i="6"/>
  <c r="H8" i="7"/>
  <c r="B14" i="7" s="1"/>
  <c r="N2" i="7"/>
  <c r="N9" i="7" s="1"/>
  <c r="B6" i="6"/>
  <c r="B7" i="6" s="1"/>
  <c r="B18" i="6"/>
  <c r="C4" i="5"/>
  <c r="C5" i="5"/>
  <c r="C6" i="5"/>
  <c r="C7" i="5"/>
  <c r="C8" i="5"/>
  <c r="C9" i="5"/>
  <c r="C10" i="5"/>
  <c r="C3" i="5"/>
  <c r="B17" i="6" l="1"/>
  <c r="B13" i="6"/>
  <c r="B20" i="6" l="1"/>
  <c r="B29" i="6" s="1"/>
  <c r="B19" i="6"/>
  <c r="B27" i="6" s="1"/>
</calcChain>
</file>

<file path=xl/sharedStrings.xml><?xml version="1.0" encoding="utf-8"?>
<sst xmlns="http://schemas.openxmlformats.org/spreadsheetml/2006/main" count="327" uniqueCount="264">
  <si>
    <t>Kryterium lokalizacji</t>
  </si>
  <si>
    <t>Przy głównej drodze</t>
  </si>
  <si>
    <t>W odległości 1/4 mili od głównej drogi</t>
  </si>
  <si>
    <t>W odległości 1/2 mili od głównej drogi</t>
  </si>
  <si>
    <t>Przy linii tranzytowej</t>
  </si>
  <si>
    <t>W odległości 1/4 mili</t>
  </si>
  <si>
    <t>W odległości 1/2 mili</t>
  </si>
  <si>
    <t>W odległości 1 mili</t>
  </si>
  <si>
    <t>W odległości 2 mili</t>
  </si>
  <si>
    <t>Łatwo zauważalny</t>
  </si>
  <si>
    <t>Częściowo zauważalny</t>
  </si>
  <si>
    <t>Niezauważalny</t>
  </si>
  <si>
    <t>1-3 mili</t>
  </si>
  <si>
    <t>5 mili</t>
  </si>
  <si>
    <t>10 mili</t>
  </si>
  <si>
    <t>Znakomita</t>
  </si>
  <si>
    <t>Dobra</t>
  </si>
  <si>
    <t>Wystarczająca</t>
  </si>
  <si>
    <t>Brak</t>
  </si>
  <si>
    <t>Definitywna (bliska)</t>
  </si>
  <si>
    <t>Potencjalna (oddalona)</t>
  </si>
  <si>
    <t>4-5 mili</t>
  </si>
  <si>
    <t>7-10 mili</t>
  </si>
  <si>
    <t>1-2 sygnalizacje</t>
  </si>
  <si>
    <t>3 sygnalizacje</t>
  </si>
  <si>
    <t>Przy trasie</t>
  </si>
  <si>
    <t>W odległości 3 mili</t>
  </si>
  <si>
    <t>Kryterium miejsca</t>
  </si>
  <si>
    <t>Minimalny</t>
  </si>
  <si>
    <t>Bardzo mały</t>
  </si>
  <si>
    <t>Poważny</t>
  </si>
  <si>
    <t>Niewystarczająca</t>
  </si>
  <si>
    <t>Możliwość rozbudowy</t>
  </si>
  <si>
    <t>Niewielka liczba miejsc</t>
  </si>
  <si>
    <t>Duża liczba miejsc</t>
  </si>
  <si>
    <t>Konieczność zastosowania bram i ogrodzeń</t>
  </si>
  <si>
    <t>Konieczność zastosowania ochrony</t>
  </si>
  <si>
    <t>Kryteria ekonomiczne</t>
  </si>
  <si>
    <t>Koszt terenu</t>
  </si>
  <si>
    <t>Niski</t>
  </si>
  <si>
    <t>Wysoki</t>
  </si>
  <si>
    <t>Średni</t>
  </si>
  <si>
    <t>Łatwość w nabyciu terenu</t>
  </si>
  <si>
    <t>Poniżej 3 miesięcy</t>
  </si>
  <si>
    <t>6 miesięcy</t>
  </si>
  <si>
    <t>12 miesięcy</t>
  </si>
  <si>
    <t>Koszt przekształcenia terenu</t>
  </si>
  <si>
    <t>Teren przekształcony</t>
  </si>
  <si>
    <t>Minimalny koszt</t>
  </si>
  <si>
    <t>Znaczny koszt</t>
  </si>
  <si>
    <t>Brak konieczności stos. dod. zabezpieczeń</t>
  </si>
  <si>
    <t>KRYTERIUM</t>
  </si>
  <si>
    <t>OPIS</t>
  </si>
  <si>
    <t>PKT.</t>
  </si>
  <si>
    <t xml:space="preserve">Dystans do </t>
  </si>
  <si>
    <t>głównej drogi</t>
  </si>
  <si>
    <t>komunikacji publicznej</t>
  </si>
  <si>
    <t xml:space="preserve">Lokalizacja w stosunku do tzw. </t>
  </si>
  <si>
    <t xml:space="preserve">,,wąskiego gardła'' (punktu </t>
  </si>
  <si>
    <t>o zmniejszonej przepustowości)</t>
  </si>
  <si>
    <t xml:space="preserve">Widoczność </t>
  </si>
  <si>
    <t>obiektu z drogi</t>
  </si>
  <si>
    <t xml:space="preserve">Dystans od głównych </t>
  </si>
  <si>
    <t>ośrodków komercyjnych</t>
  </si>
  <si>
    <t xml:space="preserve">Dostępność obiektu </t>
  </si>
  <si>
    <t>dla kierowców</t>
  </si>
  <si>
    <t xml:space="preserve">Obecność innych </t>
  </si>
  <si>
    <t>parkingów typu P+R</t>
  </si>
  <si>
    <t xml:space="preserve">Okoliczna swoboda ruchu </t>
  </si>
  <si>
    <t xml:space="preserve">przy uwzględnieniu wpływu </t>
  </si>
  <si>
    <t>kompleksu P+R</t>
  </si>
  <si>
    <t xml:space="preserve">Odległość zamieszkania </t>
  </si>
  <si>
    <t>użytkowników od obiektu</t>
  </si>
  <si>
    <t xml:space="preserve">Skrzyżowania świetlne </t>
  </si>
  <si>
    <t>na drodze dojazdowej</t>
  </si>
  <si>
    <t>Dystans od</t>
  </si>
  <si>
    <t>tras rowerowych</t>
  </si>
  <si>
    <t xml:space="preserve">Wpływ na </t>
  </si>
  <si>
    <t>społeczność lokalną</t>
  </si>
  <si>
    <t xml:space="preserve">Dostępność terenu </t>
  </si>
  <si>
    <t>pod miejsca parkingowe</t>
  </si>
  <si>
    <t xml:space="preserve">Dostępność miejsc parkingowych </t>
  </si>
  <si>
    <t>na okolicznych ulicach</t>
  </si>
  <si>
    <t xml:space="preserve">Bezpieczeństwo </t>
  </si>
  <si>
    <t>miejsc parkingowych</t>
  </si>
  <si>
    <t>Poziom Swobody Ruchu</t>
  </si>
  <si>
    <t>Powierzchnia na 1 osob [m2/os]</t>
  </si>
  <si>
    <t>Gęstość k [os/m2]</t>
  </si>
  <si>
    <t>Warunki ruchu</t>
  </si>
  <si>
    <t>A</t>
  </si>
  <si>
    <t>B</t>
  </si>
  <si>
    <t>C</t>
  </si>
  <si>
    <t>D</t>
  </si>
  <si>
    <t>E</t>
  </si>
  <si>
    <t>F</t>
  </si>
  <si>
    <t>$\geq 5.5</t>
  </si>
  <si>
    <t>$0 \div 0.1$</t>
  </si>
  <si>
    <t>Swoboda poruszania się, brak konieczności zmiany toru ruchu</t>
  </si>
  <si>
    <t>$3.7 \div 5.5$</t>
  </si>
  <si>
    <t>$0.1 \div 0.25$</t>
  </si>
  <si>
    <t>Sporadyczna konieczność zmiany toru ruchu</t>
  </si>
  <si>
    <t>$2.2 \div 3.7$</t>
  </si>
  <si>
    <t>$0.24 \div 0.4$</t>
  </si>
  <si>
    <t>Częsta konieczność zmiany toru ruchu</t>
  </si>
  <si>
    <t>$1.4 \div 2.2$</t>
  </si>
  <si>
    <t>$0.4 \div 0.7$</t>
  </si>
  <si>
    <t>Ograniczenie prędkości poruszania oraz możliwość wyprzedzania wolniejszych pieszych</t>
  </si>
  <si>
    <t>$0.8 \div 1.4$</t>
  </si>
  <si>
    <t>$0.7 \div 1.8$</t>
  </si>
  <si>
    <t>Ograniczenie prędkości poruszania, przy bardzo ograniczonej możliwości wyprzedzania wolniejszych pieszych</t>
  </si>
  <si>
    <t>$\leq 0.8$</t>
  </si>
  <si>
    <t>$\geq 1.8$</t>
  </si>
  <si>
    <t>Bardzo duże ograniczenie prędkości poruszania, częsty kontakt z innymi pieszymi</t>
  </si>
  <si>
    <t>Nazwa wskaźnika</t>
  </si>
  <si>
    <t>Symbol</t>
  </si>
  <si>
    <t>Opis</t>
  </si>
  <si>
    <t>Wskaźniki ogólne dla węzła jako całości</t>
  </si>
  <si>
    <t>Zwartość węzła</t>
  </si>
  <si>
    <t>W.1.1c</t>
  </si>
  <si>
    <t>Średni ważony czas przejścia pieszego pomiędzy wszystkimi peronami</t>
  </si>
  <si>
    <t>W.1.1d</t>
  </si>
  <si>
    <t>Średnia ważona długość przejścia pieszego pomiędzy wszystkimi peronami</t>
  </si>
  <si>
    <t>W.1.2d</t>
  </si>
  <si>
    <t>Średnia arytmetyczna długość przejścia pieszego pomiędzy wszystkimi peronami</t>
  </si>
  <si>
    <t>Czytelność węzła</t>
  </si>
  <si>
    <t>W.2</t>
  </si>
  <si>
    <t>Średni odsetek przystanków i wejść do stacji widocznych z innych przystanków</t>
  </si>
  <si>
    <t>Wyposażenie dodatkowe</t>
  </si>
  <si>
    <t>W.3</t>
  </si>
  <si>
    <t>Odsetek wszystkich możliwych urządzeń dodatkowych, które są w danym węźle</t>
  </si>
  <si>
    <t>Wskaźniki szczegółowe dla elementów węzła</t>
  </si>
  <si>
    <t>Infrastruktura podstawowa</t>
  </si>
  <si>
    <t>Dostępność dla niepełnosprawnych</t>
  </si>
  <si>
    <t>Bezpieczeństwo osobiste</t>
  </si>
  <si>
    <t>W.4p</t>
  </si>
  <si>
    <t>W.4s</t>
  </si>
  <si>
    <t>W.5p</t>
  </si>
  <si>
    <t>W.5s</t>
  </si>
  <si>
    <t>W.6p</t>
  </si>
  <si>
    <t>W.6s</t>
  </si>
  <si>
    <t>Bezpieczeństwo w ruchu</t>
  </si>
  <si>
    <t>W.7</t>
  </si>
  <si>
    <t>Informacja pasażerska</t>
  </si>
  <si>
    <t>W.8p</t>
  </si>
  <si>
    <t>W.8s</t>
  </si>
  <si>
    <t>Odsetek peronów, które spełniają kryteria jakości infrastruktury</t>
  </si>
  <si>
    <t>Odsetek segmentów przejść, które spełniają kryteria jakości infrastruktury</t>
  </si>
  <si>
    <t>Odsetek peronów, które spełniają kryteria dostępności dla starszych i niepełnosprawnych</t>
  </si>
  <si>
    <t>Odsetek segmentów przejść, które spełniają kryteria dostępności</t>
  </si>
  <si>
    <t>Odsetek peronów, które spełniają kryteria bezpieczeństwa osobistego</t>
  </si>
  <si>
    <t>Odsetek segmentów przejść, które spełniają kryteria bezpieczeństwa osobistego</t>
  </si>
  <si>
    <t>Średni poziom bezpieczeństwa dla wszystkich przejść przez jezdnie w węźle</t>
  </si>
  <si>
    <t>Odsetek peronów z dostępną informacją pasażerską</t>
  </si>
  <si>
    <t>Odsetek segmentów przejść z dostępną informacją pasażerską</t>
  </si>
  <si>
    <t>Swojczyce</t>
  </si>
  <si>
    <t>Tarnogaj</t>
  </si>
  <si>
    <t>Wysoka</t>
  </si>
  <si>
    <t xml:space="preserve">Połączenia: </t>
  </si>
  <si>
    <t>Autobusy: 115 (5/h), 118 (1/h); Nocne: 259 (1/h); Tramwaj: linie 9, 17 i 33 dojeżdzają do pętli Sępolno, prawdopodbnie jeden z nich byłby przedłużony do pętli Swojczyce</t>
  </si>
  <si>
    <t>Autobusy: 100 (2/h), 125 (4/h), 134 (2/h), 136 (2/h), 145 (2/h); Nocne: 245 (1/h); Tramwaj: 8 (5/h)</t>
  </si>
  <si>
    <t xml:space="preserve">Autobusy miejskie: 112 (1/h); Autobusy podmiejskie: 612 (1/h); Tramwaj: linie 9 i 15 dojeżdżają do pętli Park Południowy, prawdopodobnie jedna z nich byłaby przedłużona Wysokiej; Dobra lokalizacja dla linii podmiejskich 852, 862, 872, 892 (1/h) </t>
  </si>
  <si>
    <t>Połączenie drogowe:</t>
  </si>
  <si>
    <t>Przez ulicę Swojczycką do DW455. Możliwośc bezpośredniego podłączenia się do ulicy Swojczyckiej oraz od strony wschodniej do ulicy Chałupniczej</t>
  </si>
  <si>
    <t xml:space="preserve">Przez ulicę Tarnogajską do DK94 (GP). Lokalizacja parkingu w środku pętli tramwajowej oznacza problematyczne połączenie z ulicą Tarnogajska </t>
  </si>
  <si>
    <t>Podłączenie do planowej Wschodniej Obwodnicy Wrocławia przez planowane rondo, dodatkowym atutem jest odległość około 1,5 km do węzła A4 Bielany Wrocławskie</t>
  </si>
  <si>
    <t>Połączenia kolejowe:</t>
  </si>
  <si>
    <t>około 500 metrów do stacji kolejowej Wrocław Swojczyce</t>
  </si>
  <si>
    <t>brak</t>
  </si>
  <si>
    <t>Dostępność terenu:</t>
  </si>
  <si>
    <t>Duża, nieużytki</t>
  </si>
  <si>
    <t xml:space="preserve">Bardzo mała, część wewnątrz pętli tramwajowej, przy czym połowa tego terenu zajęta jest przez budynki mieszkalne </t>
  </si>
  <si>
    <t>Średnia, z uwagi na budowę Wschodniej Obwodnicy Wrocławia konieczne będzie zajęcie dużej części ogródków działkowych ROD Partynice</t>
  </si>
  <si>
    <t>Przewidywani pasażerowie:</t>
  </si>
  <si>
    <t>Osiedle Olimpia Port, Strachocin i Wojnów (część mieszkańców korzysta raczej z połączenia kolejowego Kolei Dolnośląskich), kierowcy z Dobrzykowic, Kiełczówka i ew. Wilczyc</t>
  </si>
  <si>
    <t>Mieszkańcy Tarnogaju, Jagodna i Brochowa</t>
  </si>
  <si>
    <t>Mieszkańcy Wysokiej, Ślęzy, Bielan Wrocławskich, Radomierzyc i Karwian, ew. Żernik Wrocławskich</t>
  </si>
  <si>
    <t>Godzina</t>
  </si>
  <si>
    <t>C+P</t>
  </si>
  <si>
    <t>6:30-6:45</t>
  </si>
  <si>
    <t>6:45-7:00</t>
  </si>
  <si>
    <t>7:00-7:15</t>
  </si>
  <si>
    <t>7:15-7:30</t>
  </si>
  <si>
    <t>Na północ</t>
  </si>
  <si>
    <t>Na południe</t>
  </si>
  <si>
    <t>O</t>
  </si>
  <si>
    <t>Łuki przejściowe</t>
  </si>
  <si>
    <t>Łuk przesunięty i skrócony</t>
  </si>
  <si>
    <t>Cały układ</t>
  </si>
  <si>
    <t>Łuk pierwotny</t>
  </si>
  <si>
    <t>P1a</t>
  </si>
  <si>
    <t>P1b</t>
  </si>
  <si>
    <t>P2a</t>
  </si>
  <si>
    <t>P2b</t>
  </si>
  <si>
    <t>Koncepcja nr 1</t>
  </si>
  <si>
    <t>Koncepcja nr 2</t>
  </si>
  <si>
    <t>Średnia odległość między peronami</t>
  </si>
  <si>
    <t>Wskaźnik</t>
  </si>
  <si>
    <t>W1</t>
  </si>
  <si>
    <t>Średnia odległość od parkingów P+R, K+R</t>
  </si>
  <si>
    <t>Średnia odległość od parkingów B+R</t>
  </si>
  <si>
    <t>Waga</t>
  </si>
  <si>
    <t>Ocena</t>
  </si>
  <si>
    <t>Poziom bezpieczeństwa</t>
  </si>
  <si>
    <t>Komfort przesiadek</t>
  </si>
  <si>
    <t>W2a</t>
  </si>
  <si>
    <t>W2b</t>
  </si>
  <si>
    <t>W3</t>
  </si>
  <si>
    <t>W4</t>
  </si>
  <si>
    <t>W5</t>
  </si>
  <si>
    <t>W6</t>
  </si>
  <si>
    <t>K2</t>
  </si>
  <si>
    <t>K1</t>
  </si>
  <si>
    <t>B+R 1</t>
  </si>
  <si>
    <t>P+R, K+R</t>
  </si>
  <si>
    <t>bdb</t>
  </si>
  <si>
    <t>dst</t>
  </si>
  <si>
    <t>db</t>
  </si>
  <si>
    <t>Średnia ważona</t>
  </si>
  <si>
    <t>Avg</t>
  </si>
  <si>
    <t>P1c</t>
  </si>
  <si>
    <t>P1d</t>
  </si>
  <si>
    <t>P2</t>
  </si>
  <si>
    <t>P2c</t>
  </si>
  <si>
    <t>Ł1</t>
  </si>
  <si>
    <t>Ł2</t>
  </si>
  <si>
    <t>Ł3</t>
  </si>
  <si>
    <t>$\alpha$</t>
  </si>
  <si>
    <t>$R$</t>
  </si>
  <si>
    <t>$T=R\cdot\tan(\alpha/2)$</t>
  </si>
  <si>
    <t>$SW=\frac{T}{\sin(\alpha/2)}$</t>
  </si>
  <si>
    <t>$\gamma$</t>
  </si>
  <si>
    <t>$R_p$</t>
  </si>
  <si>
    <t>$T_p=R_p\cdot\tan(\gamma/2)$</t>
  </si>
  <si>
    <t>$n=(1-\cos(\gamma))(R_p-R)$</t>
  </si>
  <si>
    <t>$m=(1+\cos(\gamma))(R_p-R)\cdot\tan(\alpha/2)$</t>
  </si>
  <si>
    <t>$a=n\cdot\tan(\alpha/2)$</t>
  </si>
  <si>
    <t>$b=\frac{n}{\cos(\alpha/2)}$</t>
  </si>
  <si>
    <t>$\alpha'=\alpha-2\gamma$</t>
  </si>
  <si>
    <t>$L'=\pi R \alpha'/180\degree$</t>
  </si>
  <si>
    <t>$T' = R\cdot\tan(\alpha'/2)$</t>
  </si>
  <si>
    <t>$L=\pi\cdot R_p \cdot \gamma/180\degree$</t>
  </si>
  <si>
    <t>$T_c=T+a+m$</t>
  </si>
  <si>
    <t>$L_c=t'+2L$</t>
  </si>
  <si>
    <t>$SW' = SW+b$</t>
  </si>
  <si>
    <t>$\alpha \ \text{(rad)}$</t>
  </si>
  <si>
    <t>$\gamma \ \text{(rad)}$</t>
  </si>
  <si>
    <t>$\alpha' \ \text{(rad)}$</t>
  </si>
  <si>
    <t>Obliczany element</t>
  </si>
  <si>
    <t>Vp</t>
  </si>
  <si>
    <t>t</t>
  </si>
  <si>
    <t>Cp</t>
  </si>
  <si>
    <t>Lp</t>
  </si>
  <si>
    <t>p/s</t>
  </si>
  <si>
    <t>k</t>
  </si>
  <si>
    <t>p/m2</t>
  </si>
  <si>
    <t>Nr rys.</t>
  </si>
  <si>
    <t>Tytuł rysunku</t>
  </si>
  <si>
    <t>Skala</t>
  </si>
  <si>
    <t>Schemat koncepcji nr 1</t>
  </si>
  <si>
    <t>Schemat koncepcji nr 2</t>
  </si>
  <si>
    <t>Plan sytuacyjny z organizacją ruchu</t>
  </si>
  <si>
    <t>Przekrój przez częśc peronową</t>
  </si>
  <si>
    <t>1:500</t>
  </si>
  <si>
    <t>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</si>
</sst>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>
    <font>
      <sz val="10"/>
      <color theme="1"/>
      <name val="Czcionka tekstu podstaw."/>
      <family val="2"/>
      <charset val="238"/>
    </font>
    <font>
      <b/>
      <sz val="10"/>
      <color theme="1"/>
      <name val="Czcionka tekstu podstaw."/>
      <charset val="238"/>
    </font>
    <font>
      <sz val="10"/>
      <color theme="1"/>
      <name val="Czcionka tekstu podstaw.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2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/>
    <xf numFmtId="0" fontId="1" fillId="0" borderId="2" xfId="0" applyFont="1" applyBorder="1"/>
    <xf numFmtId="164" fontId="1" fillId="0" borderId="1" xfId="0" applyNumberFormat="1" applyFont="1" applyBorder="1" applyAlignment="1"/>
    <xf numFmtId="164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2"/>
  <sheetViews>
    <sheetView workbookViewId="0">
      <selection activeCell="D62" sqref="B3:D62"/>
    </sheetView>
  </sheetViews>
  <sheetFormatPr defaultColWidth="8.7109375" defaultRowHeight="12.75"/>
  <cols>
    <col min="1" max="1" width="8.7109375" style="4"/>
    <col min="2" max="2" width="27.140625" style="3" customWidth="1"/>
    <col min="3" max="3" width="36.140625" style="4" bestFit="1" customWidth="1"/>
    <col min="4" max="4" width="15.140625" style="4" customWidth="1"/>
    <col min="5" max="16384" width="8.7109375" style="4"/>
  </cols>
  <sheetData>
    <row r="3" spans="2:4">
      <c r="B3" s="2" t="s">
        <v>51</v>
      </c>
      <c r="C3" s="1" t="s">
        <v>52</v>
      </c>
      <c r="D3" s="1" t="s">
        <v>53</v>
      </c>
    </row>
    <row r="4" spans="2:4">
      <c r="B4" s="52" t="s">
        <v>0</v>
      </c>
      <c r="C4" s="52"/>
      <c r="D4" s="52"/>
    </row>
    <row r="5" spans="2:4">
      <c r="B5" s="5" t="s">
        <v>54</v>
      </c>
      <c r="C5" s="6" t="s">
        <v>1</v>
      </c>
      <c r="D5" s="6">
        <v>10</v>
      </c>
    </row>
    <row r="6" spans="2:4">
      <c r="B6" s="7" t="s">
        <v>55</v>
      </c>
      <c r="C6" s="8" t="s">
        <v>2</v>
      </c>
      <c r="D6" s="8">
        <v>8</v>
      </c>
    </row>
    <row r="7" spans="2:4">
      <c r="B7" s="9"/>
      <c r="C7" s="10" t="s">
        <v>3</v>
      </c>
      <c r="D7" s="10">
        <v>6</v>
      </c>
    </row>
    <row r="8" spans="2:4" ht="12.6" customHeight="1">
      <c r="B8" s="5" t="s">
        <v>54</v>
      </c>
      <c r="C8" s="8" t="s">
        <v>4</v>
      </c>
      <c r="D8" s="8">
        <v>10</v>
      </c>
    </row>
    <row r="9" spans="2:4">
      <c r="B9" s="7" t="s">
        <v>56</v>
      </c>
      <c r="C9" s="8" t="s">
        <v>5</v>
      </c>
      <c r="D9" s="8">
        <v>8</v>
      </c>
    </row>
    <row r="10" spans="2:4">
      <c r="B10" s="9"/>
      <c r="C10" s="10" t="s">
        <v>6</v>
      </c>
      <c r="D10" s="10">
        <v>6</v>
      </c>
    </row>
    <row r="11" spans="2:4" ht="25.5">
      <c r="B11" s="7" t="s">
        <v>57</v>
      </c>
      <c r="C11" s="8" t="s">
        <v>6</v>
      </c>
      <c r="D11" s="8">
        <v>10</v>
      </c>
    </row>
    <row r="12" spans="2:4">
      <c r="B12" s="7" t="s">
        <v>58</v>
      </c>
      <c r="C12" s="8" t="s">
        <v>7</v>
      </c>
      <c r="D12" s="8">
        <v>8</v>
      </c>
    </row>
    <row r="13" spans="2:4" ht="25.5">
      <c r="B13" s="9" t="s">
        <v>59</v>
      </c>
      <c r="C13" s="10" t="s">
        <v>8</v>
      </c>
      <c r="D13" s="10">
        <v>6</v>
      </c>
    </row>
    <row r="14" spans="2:4">
      <c r="B14" s="7" t="s">
        <v>60</v>
      </c>
      <c r="C14" s="8" t="s">
        <v>9</v>
      </c>
      <c r="D14" s="8">
        <v>10</v>
      </c>
    </row>
    <row r="15" spans="2:4">
      <c r="B15" s="7" t="s">
        <v>61</v>
      </c>
      <c r="C15" s="8" t="s">
        <v>10</v>
      </c>
      <c r="D15" s="8">
        <v>8</v>
      </c>
    </row>
    <row r="16" spans="2:4">
      <c r="B16" s="9"/>
      <c r="C16" s="10" t="s">
        <v>11</v>
      </c>
      <c r="D16" s="10">
        <v>0</v>
      </c>
    </row>
    <row r="17" spans="2:4">
      <c r="B17" s="7" t="s">
        <v>62</v>
      </c>
      <c r="C17" s="8" t="s">
        <v>12</v>
      </c>
      <c r="D17" s="8">
        <v>10</v>
      </c>
    </row>
    <row r="18" spans="2:4">
      <c r="B18" s="7" t="s">
        <v>63</v>
      </c>
      <c r="C18" s="8" t="s">
        <v>13</v>
      </c>
      <c r="D18" s="8">
        <v>8</v>
      </c>
    </row>
    <row r="19" spans="2:4">
      <c r="B19" s="9"/>
      <c r="C19" s="10" t="s">
        <v>14</v>
      </c>
      <c r="D19" s="10">
        <v>5</v>
      </c>
    </row>
    <row r="20" spans="2:4">
      <c r="B20" s="7" t="s">
        <v>64</v>
      </c>
      <c r="C20" s="8" t="s">
        <v>15</v>
      </c>
      <c r="D20" s="8">
        <v>10</v>
      </c>
    </row>
    <row r="21" spans="2:4">
      <c r="B21" s="7" t="s">
        <v>65</v>
      </c>
      <c r="C21" s="8" t="s">
        <v>16</v>
      </c>
      <c r="D21" s="8">
        <v>8</v>
      </c>
    </row>
    <row r="22" spans="2:4">
      <c r="B22" s="9"/>
      <c r="C22" s="10" t="s">
        <v>17</v>
      </c>
      <c r="D22" s="10">
        <v>6</v>
      </c>
    </row>
    <row r="23" spans="2:4" ht="12.6" customHeight="1">
      <c r="B23" s="7" t="s">
        <v>66</v>
      </c>
      <c r="C23" s="8" t="s">
        <v>18</v>
      </c>
      <c r="D23" s="8">
        <v>10</v>
      </c>
    </row>
    <row r="24" spans="2:4">
      <c r="B24" s="7" t="s">
        <v>67</v>
      </c>
      <c r="C24" s="8" t="s">
        <v>20</v>
      </c>
      <c r="D24" s="8">
        <v>7</v>
      </c>
    </row>
    <row r="25" spans="2:4">
      <c r="B25" s="9"/>
      <c r="C25" s="10" t="s">
        <v>19</v>
      </c>
      <c r="D25" s="10">
        <v>4</v>
      </c>
    </row>
    <row r="26" spans="2:4" ht="12.6" customHeight="1">
      <c r="B26" s="7" t="s">
        <v>68</v>
      </c>
      <c r="C26" s="8" t="s">
        <v>15</v>
      </c>
      <c r="D26" s="8">
        <v>10</v>
      </c>
    </row>
    <row r="27" spans="2:4">
      <c r="B27" s="7" t="s">
        <v>69</v>
      </c>
      <c r="C27" s="8" t="s">
        <v>16</v>
      </c>
      <c r="D27" s="8">
        <v>8</v>
      </c>
    </row>
    <row r="28" spans="2:4">
      <c r="B28" s="9" t="s">
        <v>70</v>
      </c>
      <c r="C28" s="10" t="s">
        <v>17</v>
      </c>
      <c r="D28" s="10">
        <v>6</v>
      </c>
    </row>
    <row r="29" spans="2:4" ht="12.6" customHeight="1">
      <c r="B29" s="7" t="s">
        <v>71</v>
      </c>
      <c r="C29" s="8" t="s">
        <v>12</v>
      </c>
      <c r="D29" s="8">
        <v>10</v>
      </c>
    </row>
    <row r="30" spans="2:4">
      <c r="B30" s="7" t="s">
        <v>72</v>
      </c>
      <c r="C30" s="8" t="s">
        <v>21</v>
      </c>
      <c r="D30" s="8">
        <v>8</v>
      </c>
    </row>
    <row r="31" spans="2:4">
      <c r="B31" s="9"/>
      <c r="C31" s="10" t="s">
        <v>22</v>
      </c>
      <c r="D31" s="10">
        <v>6</v>
      </c>
    </row>
    <row r="32" spans="2:4">
      <c r="B32" s="7" t="s">
        <v>73</v>
      </c>
      <c r="C32" s="8" t="s">
        <v>18</v>
      </c>
      <c r="D32" s="8">
        <v>10</v>
      </c>
    </row>
    <row r="33" spans="2:4">
      <c r="B33" s="7" t="s">
        <v>74</v>
      </c>
      <c r="C33" s="8" t="s">
        <v>23</v>
      </c>
      <c r="D33" s="8">
        <v>8</v>
      </c>
    </row>
    <row r="34" spans="2:4">
      <c r="B34" s="9"/>
      <c r="C34" s="10" t="s">
        <v>24</v>
      </c>
      <c r="D34" s="10">
        <v>6</v>
      </c>
    </row>
    <row r="35" spans="2:4">
      <c r="B35" s="7" t="s">
        <v>75</v>
      </c>
      <c r="C35" s="8" t="s">
        <v>25</v>
      </c>
      <c r="D35" s="8">
        <v>10</v>
      </c>
    </row>
    <row r="36" spans="2:4">
      <c r="B36" s="7" t="s">
        <v>76</v>
      </c>
      <c r="C36" s="8" t="s">
        <v>7</v>
      </c>
      <c r="D36" s="8">
        <v>8</v>
      </c>
    </row>
    <row r="37" spans="2:4">
      <c r="B37" s="9"/>
      <c r="C37" s="10" t="s">
        <v>26</v>
      </c>
      <c r="D37" s="10">
        <v>6</v>
      </c>
    </row>
    <row r="38" spans="2:4">
      <c r="B38" s="52" t="s">
        <v>27</v>
      </c>
      <c r="C38" s="52"/>
      <c r="D38" s="52"/>
    </row>
    <row r="39" spans="2:4">
      <c r="B39" s="7" t="s">
        <v>77</v>
      </c>
      <c r="C39" s="8" t="s">
        <v>28</v>
      </c>
      <c r="D39" s="8">
        <v>10</v>
      </c>
    </row>
    <row r="40" spans="2:4">
      <c r="B40" s="7" t="s">
        <v>78</v>
      </c>
      <c r="C40" s="8" t="s">
        <v>29</v>
      </c>
      <c r="D40" s="8">
        <v>8</v>
      </c>
    </row>
    <row r="41" spans="2:4">
      <c r="B41" s="9"/>
      <c r="C41" s="10" t="s">
        <v>30</v>
      </c>
      <c r="D41" s="10">
        <v>3</v>
      </c>
    </row>
    <row r="42" spans="2:4" ht="12.6" customHeight="1">
      <c r="B42" s="7" t="s">
        <v>79</v>
      </c>
      <c r="C42" s="8" t="s">
        <v>17</v>
      </c>
      <c r="D42" s="8">
        <v>10</v>
      </c>
    </row>
    <row r="43" spans="2:4">
      <c r="B43" s="9" t="s">
        <v>80</v>
      </c>
      <c r="C43" s="10" t="s">
        <v>31</v>
      </c>
      <c r="D43" s="10">
        <v>5</v>
      </c>
    </row>
    <row r="44" spans="2:4">
      <c r="B44" s="53" t="s">
        <v>32</v>
      </c>
      <c r="C44" s="8" t="s">
        <v>15</v>
      </c>
      <c r="D44" s="8">
        <v>10</v>
      </c>
    </row>
    <row r="45" spans="2:4">
      <c r="B45" s="53"/>
      <c r="C45" s="8" t="s">
        <v>16</v>
      </c>
      <c r="D45" s="8">
        <v>8</v>
      </c>
    </row>
    <row r="46" spans="2:4">
      <c r="B46" s="54"/>
      <c r="C46" s="10" t="s">
        <v>17</v>
      </c>
      <c r="D46" s="10">
        <v>6</v>
      </c>
    </row>
    <row r="47" spans="2:4" ht="12.6" customHeight="1">
      <c r="B47" s="7" t="s">
        <v>81</v>
      </c>
      <c r="C47" s="8" t="s">
        <v>18</v>
      </c>
      <c r="D47" s="8">
        <v>10</v>
      </c>
    </row>
    <row r="48" spans="2:4">
      <c r="B48" s="7" t="s">
        <v>82</v>
      </c>
      <c r="C48" s="8" t="s">
        <v>33</v>
      </c>
      <c r="D48" s="8">
        <v>7</v>
      </c>
    </row>
    <row r="49" spans="2:4">
      <c r="B49" s="9"/>
      <c r="C49" s="10" t="s">
        <v>34</v>
      </c>
      <c r="D49" s="10">
        <v>4</v>
      </c>
    </row>
    <row r="50" spans="2:4" ht="12.6" customHeight="1">
      <c r="B50" s="7" t="s">
        <v>83</v>
      </c>
      <c r="C50" s="8" t="s">
        <v>50</v>
      </c>
      <c r="D50" s="8">
        <v>10</v>
      </c>
    </row>
    <row r="51" spans="2:4">
      <c r="B51" s="7" t="s">
        <v>84</v>
      </c>
      <c r="C51" s="8" t="s">
        <v>35</v>
      </c>
      <c r="D51" s="8">
        <v>7</v>
      </c>
    </row>
    <row r="52" spans="2:4">
      <c r="B52" s="9"/>
      <c r="C52" s="10" t="s">
        <v>36</v>
      </c>
      <c r="D52" s="10">
        <v>4</v>
      </c>
    </row>
    <row r="53" spans="2:4">
      <c r="B53" s="52" t="s">
        <v>37</v>
      </c>
      <c r="C53" s="52"/>
      <c r="D53" s="52"/>
    </row>
    <row r="54" spans="2:4">
      <c r="B54" s="53" t="s">
        <v>38</v>
      </c>
      <c r="C54" s="8" t="s">
        <v>39</v>
      </c>
      <c r="D54" s="8">
        <v>10</v>
      </c>
    </row>
    <row r="55" spans="2:4">
      <c r="B55" s="53"/>
      <c r="C55" s="8" t="s">
        <v>41</v>
      </c>
      <c r="D55" s="8">
        <v>8</v>
      </c>
    </row>
    <row r="56" spans="2:4">
      <c r="B56" s="54"/>
      <c r="C56" s="10" t="s">
        <v>40</v>
      </c>
      <c r="D56" s="10">
        <v>5</v>
      </c>
    </row>
    <row r="57" spans="2:4">
      <c r="B57" s="53" t="s">
        <v>42</v>
      </c>
      <c r="C57" s="8" t="s">
        <v>43</v>
      </c>
      <c r="D57" s="8">
        <v>10</v>
      </c>
    </row>
    <row r="58" spans="2:4">
      <c r="B58" s="53"/>
      <c r="C58" s="8" t="s">
        <v>44</v>
      </c>
      <c r="D58" s="8">
        <v>7</v>
      </c>
    </row>
    <row r="59" spans="2:4">
      <c r="B59" s="54"/>
      <c r="C59" s="10" t="s">
        <v>45</v>
      </c>
      <c r="D59" s="10">
        <v>4</v>
      </c>
    </row>
    <row r="60" spans="2:4">
      <c r="B60" s="53" t="s">
        <v>46</v>
      </c>
      <c r="C60" s="8" t="s">
        <v>47</v>
      </c>
      <c r="D60" s="8">
        <v>10</v>
      </c>
    </row>
    <row r="61" spans="2:4">
      <c r="B61" s="53"/>
      <c r="C61" s="8" t="s">
        <v>48</v>
      </c>
      <c r="D61" s="8">
        <v>7</v>
      </c>
    </row>
    <row r="62" spans="2:4">
      <c r="B62" s="54"/>
      <c r="C62" s="10" t="s">
        <v>49</v>
      </c>
      <c r="D62" s="10">
        <v>4</v>
      </c>
    </row>
  </sheetData>
  <mergeCells count="7">
    <mergeCell ref="B4:D4"/>
    <mergeCell ref="B38:D38"/>
    <mergeCell ref="B53:D53"/>
    <mergeCell ref="B60:B62"/>
    <mergeCell ref="B57:B59"/>
    <mergeCell ref="B54:B56"/>
    <mergeCell ref="B44:B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2.75"/>
  <sheetData>
    <row r="1" spans="1:4">
      <c r="A1" s="11" t="s">
        <v>85</v>
      </c>
      <c r="B1" s="11" t="s">
        <v>86</v>
      </c>
      <c r="C1" s="11" t="s">
        <v>87</v>
      </c>
      <c r="D1" s="11" t="s">
        <v>88</v>
      </c>
    </row>
    <row r="2" spans="1:4">
      <c r="A2" t="s">
        <v>89</v>
      </c>
      <c r="B2" t="s">
        <v>95</v>
      </c>
      <c r="C2" t="s">
        <v>96</v>
      </c>
      <c r="D2" t="s">
        <v>97</v>
      </c>
    </row>
    <row r="3" spans="1:4">
      <c r="A3" t="s">
        <v>90</v>
      </c>
      <c r="B3" t="s">
        <v>98</v>
      </c>
      <c r="C3" t="s">
        <v>99</v>
      </c>
      <c r="D3" t="s">
        <v>100</v>
      </c>
    </row>
    <row r="4" spans="1:4">
      <c r="A4" t="s">
        <v>91</v>
      </c>
      <c r="B4" t="s">
        <v>101</v>
      </c>
      <c r="C4" t="s">
        <v>102</v>
      </c>
      <c r="D4" t="s">
        <v>103</v>
      </c>
    </row>
    <row r="5" spans="1:4">
      <c r="A5" t="s">
        <v>92</v>
      </c>
      <c r="B5" t="s">
        <v>104</v>
      </c>
      <c r="C5" t="s">
        <v>105</v>
      </c>
      <c r="D5" t="s">
        <v>106</v>
      </c>
    </row>
    <row r="6" spans="1:4">
      <c r="A6" t="s">
        <v>93</v>
      </c>
      <c r="B6" t="s">
        <v>107</v>
      </c>
      <c r="C6" t="s">
        <v>108</v>
      </c>
      <c r="D6" t="s">
        <v>109</v>
      </c>
    </row>
    <row r="7" spans="1:4">
      <c r="A7" t="s">
        <v>94</v>
      </c>
      <c r="B7" t="s">
        <v>110</v>
      </c>
      <c r="C7" t="s">
        <v>111</v>
      </c>
      <c r="D7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2"/>
    </sheetView>
  </sheetViews>
  <sheetFormatPr defaultRowHeight="12.75"/>
  <cols>
    <col min="1" max="1" width="30.85546875" bestFit="1" customWidth="1"/>
    <col min="2" max="2" width="7.28515625" bestFit="1" customWidth="1"/>
    <col min="3" max="3" width="75.5703125" customWidth="1"/>
  </cols>
  <sheetData>
    <row r="1" spans="1:3">
      <c r="A1" s="16" t="s">
        <v>113</v>
      </c>
      <c r="B1" s="16" t="s">
        <v>114</v>
      </c>
      <c r="C1" s="16" t="s">
        <v>115</v>
      </c>
    </row>
    <row r="2" spans="1:3">
      <c r="A2" s="55" t="s">
        <v>116</v>
      </c>
      <c r="B2" s="55"/>
      <c r="C2" s="55"/>
    </row>
    <row r="3" spans="1:3">
      <c r="A3" s="15" t="s">
        <v>117</v>
      </c>
      <c r="B3" s="12" t="s">
        <v>118</v>
      </c>
      <c r="C3" s="12" t="s">
        <v>119</v>
      </c>
    </row>
    <row r="4" spans="1:3">
      <c r="A4" s="12"/>
      <c r="B4" s="12" t="s">
        <v>120</v>
      </c>
      <c r="C4" s="12" t="s">
        <v>121</v>
      </c>
    </row>
    <row r="5" spans="1:3">
      <c r="A5" s="13"/>
      <c r="B5" s="13" t="s">
        <v>122</v>
      </c>
      <c r="C5" s="13" t="s">
        <v>123</v>
      </c>
    </row>
    <row r="6" spans="1:3">
      <c r="A6" s="13" t="s">
        <v>124</v>
      </c>
      <c r="B6" s="13" t="s">
        <v>125</v>
      </c>
      <c r="C6" s="13" t="s">
        <v>126</v>
      </c>
    </row>
    <row r="7" spans="1:3">
      <c r="A7" s="13" t="s">
        <v>127</v>
      </c>
      <c r="B7" s="13" t="s">
        <v>128</v>
      </c>
      <c r="C7" s="13" t="s">
        <v>129</v>
      </c>
    </row>
    <row r="8" spans="1:3">
      <c r="A8" s="16" t="s">
        <v>130</v>
      </c>
      <c r="B8" s="16"/>
      <c r="C8" s="16"/>
    </row>
    <row r="9" spans="1:3">
      <c r="A9" s="15" t="s">
        <v>131</v>
      </c>
      <c r="B9" s="12" t="s">
        <v>134</v>
      </c>
      <c r="C9" s="12" t="s">
        <v>145</v>
      </c>
    </row>
    <row r="10" spans="1:3">
      <c r="A10" s="13"/>
      <c r="B10" s="13" t="s">
        <v>135</v>
      </c>
      <c r="C10" s="13" t="s">
        <v>146</v>
      </c>
    </row>
    <row r="11" spans="1:3">
      <c r="A11" s="12" t="s">
        <v>132</v>
      </c>
      <c r="B11" s="12" t="s">
        <v>136</v>
      </c>
      <c r="C11" s="12" t="s">
        <v>147</v>
      </c>
    </row>
    <row r="12" spans="1:3">
      <c r="A12" s="13"/>
      <c r="B12" s="13" t="s">
        <v>137</v>
      </c>
      <c r="C12" s="13" t="s">
        <v>148</v>
      </c>
    </row>
    <row r="13" spans="1:3">
      <c r="A13" s="12" t="s">
        <v>133</v>
      </c>
      <c r="B13" s="12" t="s">
        <v>138</v>
      </c>
      <c r="C13" s="12" t="s">
        <v>149</v>
      </c>
    </row>
    <row r="14" spans="1:3">
      <c r="A14" s="13"/>
      <c r="B14" s="13" t="s">
        <v>139</v>
      </c>
      <c r="C14" s="13" t="s">
        <v>150</v>
      </c>
    </row>
    <row r="15" spans="1:3">
      <c r="A15" s="13" t="s">
        <v>140</v>
      </c>
      <c r="B15" s="13" t="s">
        <v>141</v>
      </c>
      <c r="C15" s="13" t="s">
        <v>151</v>
      </c>
    </row>
    <row r="16" spans="1:3">
      <c r="A16" s="15" t="s">
        <v>142</v>
      </c>
      <c r="B16" s="14" t="s">
        <v>143</v>
      </c>
      <c r="C16" s="14" t="s">
        <v>152</v>
      </c>
    </row>
    <row r="17" spans="1:3">
      <c r="A17" s="14"/>
      <c r="B17" s="14" t="s">
        <v>144</v>
      </c>
      <c r="C17" s="14" t="s">
        <v>153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E5" sqref="E5"/>
    </sheetView>
  </sheetViews>
  <sheetFormatPr defaultColWidth="28.7109375" defaultRowHeight="12.75"/>
  <cols>
    <col min="1" max="1" width="19.7109375" customWidth="1"/>
  </cols>
  <sheetData>
    <row r="1" spans="1:4">
      <c r="A1" s="17"/>
      <c r="B1" s="18" t="s">
        <v>154</v>
      </c>
      <c r="C1" s="18" t="s">
        <v>155</v>
      </c>
      <c r="D1" s="18" t="s">
        <v>156</v>
      </c>
    </row>
    <row r="2" spans="1:4" ht="114.75">
      <c r="A2" s="17" t="s">
        <v>157</v>
      </c>
      <c r="B2" s="17" t="s">
        <v>158</v>
      </c>
      <c r="C2" s="17" t="s">
        <v>159</v>
      </c>
      <c r="D2" s="17" t="s">
        <v>160</v>
      </c>
    </row>
    <row r="3" spans="1:4" ht="76.5">
      <c r="A3" s="17" t="s">
        <v>161</v>
      </c>
      <c r="B3" s="17" t="s">
        <v>162</v>
      </c>
      <c r="C3" s="17" t="s">
        <v>163</v>
      </c>
      <c r="D3" s="17" t="s">
        <v>164</v>
      </c>
    </row>
    <row r="4" spans="1:4" ht="25.5">
      <c r="A4" s="17" t="s">
        <v>165</v>
      </c>
      <c r="B4" s="17" t="s">
        <v>166</v>
      </c>
      <c r="C4" s="17" t="s">
        <v>167</v>
      </c>
      <c r="D4" s="17" t="s">
        <v>167</v>
      </c>
    </row>
    <row r="5" spans="1:4" ht="63.75">
      <c r="A5" s="17" t="s">
        <v>168</v>
      </c>
      <c r="B5" s="17" t="s">
        <v>169</v>
      </c>
      <c r="C5" s="17" t="s">
        <v>170</v>
      </c>
      <c r="D5" s="17" t="s">
        <v>171</v>
      </c>
    </row>
    <row r="6" spans="1:4" ht="76.5">
      <c r="A6" s="17" t="s">
        <v>172</v>
      </c>
      <c r="B6" s="17" t="s">
        <v>173</v>
      </c>
      <c r="C6" s="17" t="s">
        <v>174</v>
      </c>
      <c r="D6" s="17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F10"/>
    </sheetView>
  </sheetViews>
  <sheetFormatPr defaultRowHeight="12.75"/>
  <cols>
    <col min="1" max="1" width="9.7109375" customWidth="1"/>
  </cols>
  <sheetData>
    <row r="2" spans="1:10">
      <c r="A2" s="1"/>
      <c r="B2" s="1" t="s">
        <v>176</v>
      </c>
      <c r="C2" s="1" t="s">
        <v>184</v>
      </c>
      <c r="D2" s="1" t="s">
        <v>91</v>
      </c>
      <c r="E2" s="1" t="s">
        <v>177</v>
      </c>
      <c r="F2" s="1" t="s">
        <v>89</v>
      </c>
    </row>
    <row r="3" spans="1:10">
      <c r="A3" s="56" t="s">
        <v>182</v>
      </c>
      <c r="B3" s="21" t="s">
        <v>178</v>
      </c>
      <c r="C3" s="22">
        <f>ROUNDUP(J3*1.05^8,0)</f>
        <v>108</v>
      </c>
      <c r="D3" s="22">
        <v>0</v>
      </c>
      <c r="E3" s="22">
        <v>0</v>
      </c>
      <c r="F3" s="22">
        <v>1</v>
      </c>
      <c r="J3">
        <v>73</v>
      </c>
    </row>
    <row r="4" spans="1:10">
      <c r="A4" s="57"/>
      <c r="B4" s="23" t="s">
        <v>179</v>
      </c>
      <c r="C4" s="24">
        <f t="shared" ref="C4:C10" si="0">ROUNDUP(J4*1.05^8,0)</f>
        <v>133</v>
      </c>
      <c r="D4" s="24">
        <v>1</v>
      </c>
      <c r="E4" s="24">
        <v>0</v>
      </c>
      <c r="F4" s="24">
        <v>1</v>
      </c>
      <c r="J4">
        <v>90</v>
      </c>
    </row>
    <row r="5" spans="1:10">
      <c r="A5" s="57"/>
      <c r="B5" s="23" t="s">
        <v>180</v>
      </c>
      <c r="C5" s="24">
        <f t="shared" si="0"/>
        <v>128</v>
      </c>
      <c r="D5" s="24">
        <v>1</v>
      </c>
      <c r="E5" s="24">
        <v>0</v>
      </c>
      <c r="F5" s="24">
        <v>1</v>
      </c>
      <c r="J5">
        <v>86</v>
      </c>
    </row>
    <row r="6" spans="1:10">
      <c r="A6" s="58"/>
      <c r="B6" s="1" t="s">
        <v>181</v>
      </c>
      <c r="C6" s="25">
        <f t="shared" si="0"/>
        <v>138</v>
      </c>
      <c r="D6" s="25">
        <v>1</v>
      </c>
      <c r="E6" s="25">
        <v>0</v>
      </c>
      <c r="F6" s="25">
        <v>1</v>
      </c>
      <c r="J6">
        <v>93</v>
      </c>
    </row>
    <row r="7" spans="1:10">
      <c r="A7" s="59" t="s">
        <v>183</v>
      </c>
      <c r="B7" s="19" t="s">
        <v>178</v>
      </c>
      <c r="C7" s="20">
        <f t="shared" si="0"/>
        <v>43</v>
      </c>
      <c r="D7" s="20">
        <v>0</v>
      </c>
      <c r="E7" s="20">
        <v>0</v>
      </c>
      <c r="F7" s="20">
        <v>2</v>
      </c>
      <c r="J7">
        <v>29</v>
      </c>
    </row>
    <row r="8" spans="1:10">
      <c r="A8" s="59"/>
      <c r="B8" s="19" t="s">
        <v>179</v>
      </c>
      <c r="C8" s="20">
        <f t="shared" si="0"/>
        <v>73</v>
      </c>
      <c r="D8" s="20">
        <v>1</v>
      </c>
      <c r="E8" s="20">
        <v>0</v>
      </c>
      <c r="F8" s="20">
        <v>1</v>
      </c>
      <c r="J8">
        <v>49</v>
      </c>
    </row>
    <row r="9" spans="1:10">
      <c r="A9" s="59"/>
      <c r="B9" s="19" t="s">
        <v>180</v>
      </c>
      <c r="C9" s="20">
        <f t="shared" si="0"/>
        <v>37</v>
      </c>
      <c r="D9" s="20">
        <v>1</v>
      </c>
      <c r="E9" s="20">
        <v>0</v>
      </c>
      <c r="F9" s="20">
        <v>1</v>
      </c>
      <c r="J9">
        <v>25</v>
      </c>
    </row>
    <row r="10" spans="1:10">
      <c r="A10" s="59"/>
      <c r="B10" s="19" t="s">
        <v>181</v>
      </c>
      <c r="C10" s="20">
        <f t="shared" si="0"/>
        <v>32</v>
      </c>
      <c r="D10" s="20">
        <v>0</v>
      </c>
      <c r="E10" s="20">
        <v>0</v>
      </c>
      <c r="F10" s="20">
        <v>1</v>
      </c>
      <c r="J10">
        <v>21</v>
      </c>
    </row>
  </sheetData>
  <mergeCells count="2">
    <mergeCell ref="A3:A6"/>
    <mergeCell ref="A7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7" sqref="K7"/>
    </sheetView>
  </sheetViews>
  <sheetFormatPr defaultRowHeight="12.75"/>
  <cols>
    <col min="1" max="1" width="25.5703125" bestFit="1" customWidth="1"/>
    <col min="2" max="2" width="8.5703125" bestFit="1" customWidth="1"/>
    <col min="3" max="4" width="7.5703125" bestFit="1" customWidth="1"/>
  </cols>
  <sheetData>
    <row r="1" spans="1:11">
      <c r="A1" s="47" t="s">
        <v>247</v>
      </c>
      <c r="B1" s="48" t="s">
        <v>223</v>
      </c>
      <c r="C1" s="49" t="s">
        <v>224</v>
      </c>
      <c r="D1" s="49" t="s">
        <v>225</v>
      </c>
      <c r="I1" t="s">
        <v>248</v>
      </c>
      <c r="J1">
        <v>1.49</v>
      </c>
      <c r="K1">
        <f>J1*0.36*10</f>
        <v>5.3639999999999999</v>
      </c>
    </row>
    <row r="2" spans="1:11">
      <c r="A2" s="48" t="s">
        <v>188</v>
      </c>
      <c r="B2" s="47"/>
      <c r="C2" s="47"/>
      <c r="D2" s="47"/>
      <c r="I2" t="s">
        <v>90</v>
      </c>
      <c r="J2">
        <v>2</v>
      </c>
    </row>
    <row r="3" spans="1:11">
      <c r="A3" t="s">
        <v>226</v>
      </c>
      <c r="B3" s="26">
        <v>135</v>
      </c>
      <c r="C3" s="26">
        <v>90</v>
      </c>
      <c r="D3" s="26">
        <v>30</v>
      </c>
      <c r="I3" t="s">
        <v>251</v>
      </c>
      <c r="J3">
        <f>11*108*0.6</f>
        <v>712.8</v>
      </c>
    </row>
    <row r="4" spans="1:11">
      <c r="A4" s="26" t="s">
        <v>244</v>
      </c>
      <c r="B4" s="26">
        <f>RADIANS(B3)</f>
        <v>2.3561944901923448</v>
      </c>
      <c r="C4" s="26">
        <f t="shared" ref="C4:D4" si="0">RADIANS(C3)</f>
        <v>1.5707963267948966</v>
      </c>
      <c r="D4" s="26">
        <f t="shared" si="0"/>
        <v>0.52359877559829882</v>
      </c>
      <c r="I4" t="s">
        <v>249</v>
      </c>
      <c r="J4">
        <f>15*60</f>
        <v>900</v>
      </c>
    </row>
    <row r="5" spans="1:11">
      <c r="A5" s="26" t="s">
        <v>227</v>
      </c>
      <c r="B5" s="26">
        <v>25</v>
      </c>
      <c r="C5" s="26">
        <v>26</v>
      </c>
      <c r="D5" s="26">
        <v>27</v>
      </c>
      <c r="I5" t="s">
        <v>250</v>
      </c>
      <c r="J5">
        <f>J3/J4</f>
        <v>0.79199999999999993</v>
      </c>
      <c r="K5" t="s">
        <v>252</v>
      </c>
    </row>
    <row r="6" spans="1:11">
      <c r="A6" s="26" t="s">
        <v>228</v>
      </c>
      <c r="B6" s="26">
        <f>B5*TAN(B4/2)</f>
        <v>60.35533905932737</v>
      </c>
      <c r="C6" s="26">
        <f t="shared" ref="C6:D6" si="1">C5*TAN(C4/2)</f>
        <v>25.999999999999996</v>
      </c>
      <c r="D6" s="26">
        <f t="shared" si="1"/>
        <v>7.2346281956403127</v>
      </c>
      <c r="I6" t="s">
        <v>253</v>
      </c>
      <c r="J6">
        <f>J5/(J1*3600/1000)</f>
        <v>0.14765100671140938</v>
      </c>
      <c r="K6" t="s">
        <v>254</v>
      </c>
    </row>
    <row r="7" spans="1:11">
      <c r="A7" s="51" t="s">
        <v>229</v>
      </c>
      <c r="B7" s="51">
        <f>B6/SIN(B4/2)</f>
        <v>65.328148243818816</v>
      </c>
      <c r="C7" s="51">
        <f t="shared" ref="C7:D7" si="2">C6/SIN(C4/2)</f>
        <v>36.76955262170047</v>
      </c>
      <c r="D7" s="51">
        <f t="shared" si="2"/>
        <v>27.952456871072243</v>
      </c>
      <c r="I7" t="s">
        <v>253</v>
      </c>
      <c r="J7">
        <f>J3/(J1*3.6)/J2/J4</f>
        <v>7.3825503355704702E-2</v>
      </c>
    </row>
    <row r="8" spans="1:11">
      <c r="A8" s="26"/>
      <c r="B8" s="26"/>
      <c r="C8" s="26"/>
      <c r="D8" s="26"/>
    </row>
    <row r="9" spans="1:11">
      <c r="A9" s="50" t="s">
        <v>185</v>
      </c>
      <c r="B9" s="50"/>
      <c r="C9" s="50"/>
      <c r="D9" s="50"/>
    </row>
    <row r="10" spans="1:11">
      <c r="A10" s="26" t="s">
        <v>230</v>
      </c>
      <c r="B10" s="26">
        <f>B14/(B12*2*PI())*360</f>
        <v>6.8754935415698784</v>
      </c>
      <c r="C10" s="26">
        <f t="shared" ref="C10:D10" si="3">C14/(C12*2*PI())*360</f>
        <v>6.7406799427155679</v>
      </c>
      <c r="D10" s="26">
        <f t="shared" si="3"/>
        <v>6.6110514822787287</v>
      </c>
    </row>
    <row r="11" spans="1:11">
      <c r="A11" s="26" t="s">
        <v>245</v>
      </c>
      <c r="B11" s="26">
        <f>RADIANS(B10)</f>
        <v>0.12</v>
      </c>
      <c r="C11" s="26">
        <f t="shared" ref="C11:D11" si="4">RADIANS(C10)</f>
        <v>0.11764705882352942</v>
      </c>
      <c r="D11" s="26">
        <f t="shared" si="4"/>
        <v>0.11538461538461538</v>
      </c>
    </row>
    <row r="12" spans="1:11">
      <c r="A12" s="26" t="s">
        <v>231</v>
      </c>
      <c r="B12" s="26">
        <v>50</v>
      </c>
      <c r="C12" s="26">
        <v>51</v>
      </c>
      <c r="D12" s="26">
        <v>52</v>
      </c>
    </row>
    <row r="13" spans="1:11">
      <c r="A13" s="26" t="s">
        <v>232</v>
      </c>
      <c r="B13" s="26">
        <f>B12*TAN(B11/2)</f>
        <v>3.0036051915648643</v>
      </c>
      <c r="C13" s="26">
        <f t="shared" ref="C13:D13" si="5">C12*TAN(C11/2)</f>
        <v>3.0034650035441479</v>
      </c>
      <c r="D13" s="26">
        <f t="shared" si="5"/>
        <v>3.0033328396497532</v>
      </c>
    </row>
    <row r="14" spans="1:11">
      <c r="A14" s="51" t="s">
        <v>240</v>
      </c>
      <c r="B14" s="51">
        <v>6</v>
      </c>
      <c r="C14" s="51">
        <v>6</v>
      </c>
      <c r="D14" s="51">
        <v>6</v>
      </c>
    </row>
    <row r="15" spans="1:11">
      <c r="A15" s="26"/>
      <c r="B15" s="26"/>
      <c r="C15" s="26"/>
      <c r="D15" s="26"/>
    </row>
    <row r="16" spans="1:11">
      <c r="A16" s="50" t="s">
        <v>186</v>
      </c>
      <c r="B16" s="50"/>
      <c r="C16" s="50"/>
      <c r="D16" s="50"/>
    </row>
    <row r="17" spans="1:4">
      <c r="A17" s="26" t="s">
        <v>233</v>
      </c>
      <c r="B17" s="26">
        <f>(1-COS(B11))*(B12-B5)</f>
        <v>0.17978410365334374</v>
      </c>
      <c r="C17" s="26">
        <f t="shared" ref="C17:D17" si="6">(1-COS(C11))*(C12-C5)</f>
        <v>0.1728109220529378</v>
      </c>
      <c r="D17" s="26">
        <f t="shared" si="6"/>
        <v>0.16623556255826455</v>
      </c>
    </row>
    <row r="18" spans="1:4">
      <c r="A18" s="26" t="s">
        <v>234</v>
      </c>
      <c r="B18" s="26">
        <f>(1+COS(B11))*(B12-B5)*TAN(B4/2)</f>
        <v>120.27664089731574</v>
      </c>
      <c r="C18" s="26">
        <f t="shared" ref="C18:D18" si="7">(1+COS(C11))*(C12-C5)*TAN(C4/2)</f>
        <v>49.827189077947061</v>
      </c>
      <c r="D18" s="26">
        <f t="shared" si="7"/>
        <v>13.352916936815316</v>
      </c>
    </row>
    <row r="19" spans="1:4">
      <c r="A19" s="26" t="s">
        <v>235</v>
      </c>
      <c r="B19" s="26">
        <f>B17*TAN(B4/2)</f>
        <v>0.43403722133899275</v>
      </c>
      <c r="C19" s="26">
        <f t="shared" ref="C19:D19" si="8">C17*TAN(C4/2)</f>
        <v>0.17281092205293777</v>
      </c>
      <c r="D19" s="26">
        <f t="shared" si="8"/>
        <v>4.4542684740820362E-2</v>
      </c>
    </row>
    <row r="20" spans="1:4">
      <c r="A20" s="26" t="s">
        <v>236</v>
      </c>
      <c r="B20" s="26">
        <f>B17/COS(B4/2)</f>
        <v>0.46979850301390913</v>
      </c>
      <c r="C20" s="26">
        <f t="shared" ref="C20:D20" si="9">C17/COS(C4/2)</f>
        <v>0.24439154969346441</v>
      </c>
      <c r="D20" s="26">
        <f t="shared" si="9"/>
        <v>0.17209971825364154</v>
      </c>
    </row>
    <row r="21" spans="1:4">
      <c r="A21" s="26" t="s">
        <v>237</v>
      </c>
      <c r="B21" s="26">
        <f>B3-2*B10</f>
        <v>121.24901291686024</v>
      </c>
      <c r="C21" s="26">
        <f t="shared" ref="C21:D21" si="10">C3-2*C10</f>
        <v>76.518640114568868</v>
      </c>
      <c r="D21" s="26">
        <f t="shared" si="10"/>
        <v>16.777897035442543</v>
      </c>
    </row>
    <row r="22" spans="1:4">
      <c r="A22" s="26" t="s">
        <v>246</v>
      </c>
      <c r="B22" s="26">
        <f>RADIANS(B21)</f>
        <v>2.1161944901923446</v>
      </c>
      <c r="C22" s="26">
        <f t="shared" ref="C22:D22" si="11">RADIANS(C21)</f>
        <v>1.3355022091478379</v>
      </c>
      <c r="D22" s="26">
        <f t="shared" si="11"/>
        <v>0.29282954482906814</v>
      </c>
    </row>
    <row r="23" spans="1:4">
      <c r="A23" s="26" t="s">
        <v>239</v>
      </c>
      <c r="B23" s="26">
        <f>B5*TAN(B22/2)</f>
        <v>44.412257713379653</v>
      </c>
      <c r="C23" s="26">
        <f t="shared" ref="C23:D23" si="12">C5*TAN(C22/2)</f>
        <v>20.503605892897394</v>
      </c>
      <c r="D23" s="26">
        <f t="shared" si="12"/>
        <v>3.9816918225144695</v>
      </c>
    </row>
    <row r="24" spans="1:4">
      <c r="A24" s="51" t="s">
        <v>238</v>
      </c>
      <c r="B24" s="51">
        <f>PI()*B5*B21/180</f>
        <v>52.90486225480862</v>
      </c>
      <c r="C24" s="51">
        <f t="shared" ref="C24:D24" si="13">PI()*C5*C21/180</f>
        <v>34.723057437843785</v>
      </c>
      <c r="D24" s="51">
        <f t="shared" si="13"/>
        <v>7.9063977103848391</v>
      </c>
    </row>
    <row r="25" spans="1:4">
      <c r="A25" s="26"/>
      <c r="B25" s="26"/>
      <c r="C25" s="26"/>
      <c r="D25" s="26"/>
    </row>
    <row r="26" spans="1:4">
      <c r="A26" s="50" t="s">
        <v>187</v>
      </c>
      <c r="B26" s="50"/>
      <c r="C26" s="50"/>
      <c r="D26" s="50"/>
    </row>
    <row r="27" spans="1:4">
      <c r="A27" s="26" t="s">
        <v>241</v>
      </c>
      <c r="B27" s="26">
        <f>B23+B19+B18</f>
        <v>165.12293583203439</v>
      </c>
      <c r="C27" s="26">
        <f t="shared" ref="C27:D27" si="14">C23+C19+C18</f>
        <v>70.503605892897397</v>
      </c>
      <c r="D27" s="26">
        <f t="shared" si="14"/>
        <v>17.379151444070605</v>
      </c>
    </row>
    <row r="28" spans="1:4">
      <c r="A28" s="26" t="s">
        <v>242</v>
      </c>
      <c r="B28" s="26">
        <f>B23+2*B14</f>
        <v>56.412257713379653</v>
      </c>
      <c r="C28" s="26">
        <f t="shared" ref="C28:D28" si="15">C23+2*C14</f>
        <v>32.503605892897397</v>
      </c>
      <c r="D28" s="26">
        <f t="shared" si="15"/>
        <v>15.98169182251447</v>
      </c>
    </row>
    <row r="29" spans="1:4">
      <c r="A29" s="51" t="s">
        <v>243</v>
      </c>
      <c r="B29" s="51">
        <f>B7+B20</f>
        <v>65.797946746832721</v>
      </c>
      <c r="C29" s="51">
        <f t="shared" ref="C29:D29" si="16">C7+C20</f>
        <v>37.013944171393938</v>
      </c>
      <c r="D29" s="51">
        <f t="shared" si="16"/>
        <v>28.124556589325884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1" sqref="M21"/>
    </sheetView>
  </sheetViews>
  <sheetFormatPr defaultRowHeight="12.75"/>
  <sheetData>
    <row r="1" spans="1:16">
      <c r="A1" s="27" t="s">
        <v>211</v>
      </c>
      <c r="B1" s="28" t="s">
        <v>189</v>
      </c>
      <c r="C1" s="28" t="s">
        <v>190</v>
      </c>
      <c r="D1" s="28" t="s">
        <v>219</v>
      </c>
      <c r="E1" s="28" t="s">
        <v>220</v>
      </c>
      <c r="F1" s="28" t="s">
        <v>221</v>
      </c>
      <c r="G1" s="39"/>
      <c r="H1" s="39"/>
      <c r="J1" s="35" t="s">
        <v>196</v>
      </c>
      <c r="K1" s="35" t="s">
        <v>114</v>
      </c>
      <c r="L1" s="35" t="s">
        <v>200</v>
      </c>
      <c r="M1" s="35" t="s">
        <v>193</v>
      </c>
      <c r="N1" s="35" t="s">
        <v>201</v>
      </c>
      <c r="O1" s="35" t="s">
        <v>194</v>
      </c>
      <c r="P1" s="35" t="s">
        <v>201</v>
      </c>
    </row>
    <row r="2" spans="1:16">
      <c r="A2" s="28" t="s">
        <v>189</v>
      </c>
      <c r="B2" s="29">
        <f>15/3</f>
        <v>5</v>
      </c>
      <c r="C2" s="29">
        <v>17.100000000000001</v>
      </c>
      <c r="D2" s="29">
        <f>C2*2</f>
        <v>34.200000000000003</v>
      </c>
      <c r="E2" s="29">
        <f>D2+18.6</f>
        <v>52.800000000000004</v>
      </c>
      <c r="F2" s="29">
        <v>108.73</v>
      </c>
      <c r="G2" s="41"/>
      <c r="H2" s="41"/>
      <c r="J2" s="14" t="s">
        <v>195</v>
      </c>
      <c r="K2" s="14" t="s">
        <v>197</v>
      </c>
      <c r="L2" s="33">
        <v>0.3</v>
      </c>
      <c r="M2" s="33">
        <f>AVERAGE(B2:F6)</f>
        <v>44.142399999999995</v>
      </c>
      <c r="N2" s="34">
        <f>(300-M2)/300*5</f>
        <v>4.2642933333333328</v>
      </c>
      <c r="O2" s="33">
        <f>AVERAGE(B8:F11)</f>
        <v>32.408000000000001</v>
      </c>
      <c r="P2" s="34">
        <f>(300-O2)/300*5</f>
        <v>4.4598666666666666</v>
      </c>
    </row>
    <row r="3" spans="1:16">
      <c r="A3" s="28" t="s">
        <v>190</v>
      </c>
      <c r="B3" s="29">
        <f>C2</f>
        <v>17.100000000000001</v>
      </c>
      <c r="C3" s="29">
        <f>B2</f>
        <v>5</v>
      </c>
      <c r="D3" s="29">
        <v>17.100000000000001</v>
      </c>
      <c r="E3" s="29">
        <f>17.1+18.6</f>
        <v>35.700000000000003</v>
      </c>
      <c r="F3" s="29">
        <v>96.3</v>
      </c>
      <c r="G3" s="41"/>
      <c r="H3" s="41"/>
      <c r="J3" s="14" t="s">
        <v>198</v>
      </c>
      <c r="K3" s="14" t="s">
        <v>204</v>
      </c>
      <c r="L3" s="33">
        <v>0.2</v>
      </c>
      <c r="M3" s="33">
        <f>AVERAGE(B17:F17)</f>
        <v>60.834000000000003</v>
      </c>
      <c r="N3" s="34">
        <f t="shared" ref="N3:N4" si="0">(300-M3)/300*5</f>
        <v>3.9861000000000004</v>
      </c>
      <c r="O3" s="33">
        <f>AVERAGE(B21:H21)</f>
        <v>64.472857142857137</v>
      </c>
      <c r="P3" s="34">
        <f t="shared" ref="P3:P4" si="1">(300-O3)/300*5</f>
        <v>3.9254523809523807</v>
      </c>
    </row>
    <row r="4" spans="1:16">
      <c r="A4" s="28" t="s">
        <v>219</v>
      </c>
      <c r="B4" s="29">
        <f>D2</f>
        <v>34.200000000000003</v>
      </c>
      <c r="C4" s="29">
        <f>D3</f>
        <v>17.100000000000001</v>
      </c>
      <c r="D4" s="29">
        <f>C3</f>
        <v>5</v>
      </c>
      <c r="E4" s="29">
        <v>18.600000000000001</v>
      </c>
      <c r="F4" s="29">
        <v>85.31</v>
      </c>
      <c r="G4" s="41"/>
      <c r="H4" s="41"/>
      <c r="J4" s="14" t="s">
        <v>199</v>
      </c>
      <c r="K4" s="14" t="s">
        <v>205</v>
      </c>
      <c r="L4" s="33">
        <v>0.05</v>
      </c>
      <c r="M4" s="33">
        <f>AVERAGE(B18:F18)</f>
        <v>54.153999999999996</v>
      </c>
      <c r="N4" s="34">
        <f t="shared" si="0"/>
        <v>4.097433333333333</v>
      </c>
      <c r="O4" s="33">
        <f>AVERAGE(B22:H22)</f>
        <v>42.43571428571429</v>
      </c>
      <c r="P4" s="34">
        <f t="shared" si="1"/>
        <v>4.2927380952380947</v>
      </c>
    </row>
    <row r="5" spans="1:16">
      <c r="A5" s="28" t="s">
        <v>220</v>
      </c>
      <c r="B5" s="29">
        <f>E2</f>
        <v>52.800000000000004</v>
      </c>
      <c r="C5" s="29">
        <f>E3</f>
        <v>35.700000000000003</v>
      </c>
      <c r="D5" s="29">
        <f>E4</f>
        <v>18.600000000000001</v>
      </c>
      <c r="E5" s="29">
        <f>12/3</f>
        <v>4</v>
      </c>
      <c r="F5" s="29">
        <v>73.44</v>
      </c>
      <c r="G5" s="41"/>
      <c r="H5" s="41"/>
      <c r="J5" s="14" t="s">
        <v>124</v>
      </c>
      <c r="K5" s="14" t="s">
        <v>206</v>
      </c>
      <c r="L5" s="33">
        <v>0.1</v>
      </c>
      <c r="M5" s="14" t="s">
        <v>214</v>
      </c>
      <c r="N5" s="14">
        <v>5</v>
      </c>
      <c r="O5" s="14" t="s">
        <v>215</v>
      </c>
      <c r="P5" s="14">
        <v>3</v>
      </c>
    </row>
    <row r="6" spans="1:16">
      <c r="A6" s="43" t="s">
        <v>221</v>
      </c>
      <c r="B6" s="44">
        <f>F2</f>
        <v>108.73</v>
      </c>
      <c r="C6" s="44">
        <f>F3</f>
        <v>96.3</v>
      </c>
      <c r="D6" s="44">
        <f>F4</f>
        <v>85.31</v>
      </c>
      <c r="E6" s="44">
        <f>F5</f>
        <v>73.44</v>
      </c>
      <c r="F6" s="44">
        <f>30/5</f>
        <v>6</v>
      </c>
      <c r="G6" s="41"/>
      <c r="H6" s="41"/>
      <c r="J6" s="14" t="s">
        <v>127</v>
      </c>
      <c r="K6" s="14" t="s">
        <v>207</v>
      </c>
      <c r="L6" s="33">
        <v>0.05</v>
      </c>
      <c r="M6" s="14" t="s">
        <v>214</v>
      </c>
      <c r="N6" s="14">
        <v>5</v>
      </c>
      <c r="O6" s="14" t="s">
        <v>214</v>
      </c>
      <c r="P6" s="14">
        <v>4.5</v>
      </c>
    </row>
    <row r="7" spans="1:16">
      <c r="A7" s="27" t="s">
        <v>210</v>
      </c>
      <c r="B7" s="28" t="s">
        <v>189</v>
      </c>
      <c r="C7" s="28" t="s">
        <v>190</v>
      </c>
      <c r="D7" s="28" t="s">
        <v>219</v>
      </c>
      <c r="E7" s="28" t="s">
        <v>220</v>
      </c>
      <c r="F7" s="28" t="s">
        <v>191</v>
      </c>
      <c r="G7" s="28" t="s">
        <v>192</v>
      </c>
      <c r="H7" s="28" t="s">
        <v>222</v>
      </c>
      <c r="J7" s="14" t="s">
        <v>202</v>
      </c>
      <c r="K7" s="30" t="s">
        <v>208</v>
      </c>
      <c r="L7" s="33">
        <v>0.1</v>
      </c>
      <c r="M7" s="14" t="s">
        <v>214</v>
      </c>
      <c r="N7" s="14">
        <v>4.5</v>
      </c>
      <c r="O7" s="14" t="s">
        <v>215</v>
      </c>
      <c r="P7" s="14">
        <v>3</v>
      </c>
    </row>
    <row r="8" spans="1:16">
      <c r="A8" s="28" t="s">
        <v>189</v>
      </c>
      <c r="B8" s="29">
        <f>15/3</f>
        <v>5</v>
      </c>
      <c r="C8" s="29">
        <f>17.1</f>
        <v>17.100000000000001</v>
      </c>
      <c r="D8" s="29">
        <f>2*C8</f>
        <v>34.200000000000003</v>
      </c>
      <c r="E8" s="29">
        <f>E2</f>
        <v>52.800000000000004</v>
      </c>
      <c r="F8" s="29">
        <f>57.86+C8</f>
        <v>74.960000000000008</v>
      </c>
      <c r="G8" s="29">
        <f>F8+G12</f>
        <v>86.84</v>
      </c>
      <c r="H8" s="29">
        <f>G8+H13</f>
        <v>97.54</v>
      </c>
      <c r="J8" s="13" t="s">
        <v>203</v>
      </c>
      <c r="K8" s="13" t="s">
        <v>209</v>
      </c>
      <c r="L8" s="36">
        <v>0.2</v>
      </c>
      <c r="M8" s="13" t="s">
        <v>214</v>
      </c>
      <c r="N8" s="13">
        <v>5</v>
      </c>
      <c r="O8" s="13" t="s">
        <v>216</v>
      </c>
      <c r="P8" s="13">
        <v>4</v>
      </c>
    </row>
    <row r="9" spans="1:16">
      <c r="A9" s="28" t="s">
        <v>190</v>
      </c>
      <c r="B9" s="29">
        <f>C8</f>
        <v>17.100000000000001</v>
      </c>
      <c r="C9" s="29">
        <f>15/3</f>
        <v>5</v>
      </c>
      <c r="D9" s="29">
        <f>C8</f>
        <v>17.100000000000001</v>
      </c>
      <c r="E9" s="29">
        <f>D9+18.6</f>
        <v>35.700000000000003</v>
      </c>
      <c r="F9" s="29">
        <f>57.86</f>
        <v>57.86</v>
      </c>
      <c r="G9" s="29">
        <f>F9+G12</f>
        <v>69.739999999999995</v>
      </c>
      <c r="H9" s="29">
        <f>F9+H12</f>
        <v>80.44</v>
      </c>
      <c r="J9" s="37" t="s">
        <v>217</v>
      </c>
      <c r="K9" s="37" t="s">
        <v>218</v>
      </c>
      <c r="L9" s="38">
        <f>SUM(L2:L8)</f>
        <v>1</v>
      </c>
      <c r="M9" s="37"/>
      <c r="N9" s="38">
        <f>N2*$L$2+N3*$L$3+N4*$L$4+N5*$L$5+N6*$L$6+N7*$L$7+N8*$L$8</f>
        <v>4.4813796666666672</v>
      </c>
      <c r="O9" s="37"/>
      <c r="P9" s="38">
        <f>P2*$L$2+P3*$L$3+P4*$L$4+P5*$L$5+P6*$L$6+P7*$L$7+P8*$L$8</f>
        <v>3.9626873809523815</v>
      </c>
    </row>
    <row r="10" spans="1:16">
      <c r="A10" s="28" t="s">
        <v>219</v>
      </c>
      <c r="B10" s="29">
        <f>D8</f>
        <v>34.200000000000003</v>
      </c>
      <c r="C10" s="29">
        <f>D9</f>
        <v>17.100000000000001</v>
      </c>
      <c r="D10" s="29">
        <f>15/3</f>
        <v>5</v>
      </c>
      <c r="E10" s="29">
        <f>18.6</f>
        <v>18.600000000000001</v>
      </c>
      <c r="F10" s="29">
        <f>D9+F9</f>
        <v>74.960000000000008</v>
      </c>
      <c r="G10" s="29">
        <f>F10+G12</f>
        <v>86.84</v>
      </c>
      <c r="H10" s="29">
        <f>F10+H12</f>
        <v>97.54</v>
      </c>
    </row>
    <row r="11" spans="1:16">
      <c r="A11" s="28" t="s">
        <v>220</v>
      </c>
      <c r="B11" s="29">
        <f>E8</f>
        <v>52.800000000000004</v>
      </c>
      <c r="C11" s="29">
        <f>E9</f>
        <v>35.700000000000003</v>
      </c>
      <c r="D11" s="29">
        <f>E10</f>
        <v>18.600000000000001</v>
      </c>
      <c r="E11" s="29">
        <f>12/3</f>
        <v>4</v>
      </c>
      <c r="F11" s="29">
        <f>70.38</f>
        <v>70.38</v>
      </c>
      <c r="G11" s="29">
        <f>F11+G12</f>
        <v>82.259999999999991</v>
      </c>
      <c r="H11" s="29">
        <f>F11+H12</f>
        <v>92.96</v>
      </c>
    </row>
    <row r="12" spans="1:16">
      <c r="A12" s="31" t="s">
        <v>191</v>
      </c>
      <c r="B12" s="29">
        <f>F8</f>
        <v>74.960000000000008</v>
      </c>
      <c r="C12" s="29">
        <f>F9</f>
        <v>57.86</v>
      </c>
      <c r="D12" s="29">
        <f>F10</f>
        <v>74.960000000000008</v>
      </c>
      <c r="E12" s="29">
        <f>F11</f>
        <v>70.38</v>
      </c>
      <c r="F12" s="29">
        <f>35/3</f>
        <v>11.666666666666666</v>
      </c>
      <c r="G12" s="29">
        <v>11.88</v>
      </c>
      <c r="H12" s="29">
        <f>G12+H13</f>
        <v>22.58</v>
      </c>
    </row>
    <row r="13" spans="1:16">
      <c r="A13" s="31" t="s">
        <v>192</v>
      </c>
      <c r="B13" s="29">
        <f>G8</f>
        <v>86.84</v>
      </c>
      <c r="C13" s="29">
        <f>G9</f>
        <v>69.739999999999995</v>
      </c>
      <c r="D13" s="29">
        <f>G10</f>
        <v>86.84</v>
      </c>
      <c r="E13" s="29">
        <f>G11</f>
        <v>82.259999999999991</v>
      </c>
      <c r="F13" s="29">
        <f>G12</f>
        <v>11.88</v>
      </c>
      <c r="G13" s="29">
        <f>35/3</f>
        <v>11.666666666666666</v>
      </c>
      <c r="H13" s="29">
        <f>10.7</f>
        <v>10.7</v>
      </c>
    </row>
    <row r="14" spans="1:16">
      <c r="A14" s="31" t="s">
        <v>222</v>
      </c>
      <c r="B14" s="29">
        <f>H8</f>
        <v>97.54</v>
      </c>
      <c r="C14" s="29">
        <f>H9</f>
        <v>80.44</v>
      </c>
      <c r="D14" s="29">
        <f>H10</f>
        <v>97.54</v>
      </c>
      <c r="E14" s="29">
        <f>H11</f>
        <v>92.96</v>
      </c>
      <c r="F14" s="29">
        <f>H12</f>
        <v>22.58</v>
      </c>
      <c r="G14" s="29">
        <f>H13</f>
        <v>10.7</v>
      </c>
      <c r="H14" s="29">
        <f>35/3</f>
        <v>11.666666666666666</v>
      </c>
    </row>
    <row r="15" spans="1:16">
      <c r="A15" s="45"/>
      <c r="B15" s="46"/>
      <c r="C15" s="46"/>
      <c r="D15" s="46"/>
      <c r="E15" s="46"/>
      <c r="F15" s="46"/>
      <c r="G15" s="42"/>
      <c r="H15" s="42"/>
    </row>
    <row r="16" spans="1:16">
      <c r="A16" s="32"/>
      <c r="B16" s="28" t="s">
        <v>189</v>
      </c>
      <c r="C16" s="28" t="s">
        <v>190</v>
      </c>
      <c r="D16" s="28" t="s">
        <v>219</v>
      </c>
      <c r="E16" s="28" t="s">
        <v>220</v>
      </c>
      <c r="F16" s="28" t="s">
        <v>221</v>
      </c>
      <c r="G16" s="39"/>
      <c r="H16" s="39"/>
    </row>
    <row r="17" spans="1:8">
      <c r="A17" s="31" t="s">
        <v>213</v>
      </c>
      <c r="B17" s="27">
        <v>66.150000000000006</v>
      </c>
      <c r="C17" s="27">
        <v>61.09</v>
      </c>
      <c r="D17" s="27">
        <v>59.35</v>
      </c>
      <c r="E17" s="27">
        <v>61.13</v>
      </c>
      <c r="F17" s="27">
        <v>56.45</v>
      </c>
      <c r="G17" s="40"/>
      <c r="H17" s="40"/>
    </row>
    <row r="18" spans="1:8">
      <c r="A18" s="31" t="s">
        <v>212</v>
      </c>
      <c r="B18" s="27">
        <v>77.92</v>
      </c>
      <c r="C18" s="27">
        <v>64.7</v>
      </c>
      <c r="D18" s="27">
        <v>53.51</v>
      </c>
      <c r="E18" s="27">
        <v>42.81</v>
      </c>
      <c r="F18" s="27">
        <v>31.83</v>
      </c>
      <c r="G18" s="40"/>
      <c r="H18" s="40"/>
    </row>
    <row r="20" spans="1:8">
      <c r="A20" s="32"/>
      <c r="B20" s="28" t="s">
        <v>189</v>
      </c>
      <c r="C20" s="28" t="s">
        <v>190</v>
      </c>
      <c r="D20" s="28" t="s">
        <v>219</v>
      </c>
      <c r="E20" s="28" t="s">
        <v>220</v>
      </c>
      <c r="F20" s="28" t="s">
        <v>191</v>
      </c>
      <c r="G20" s="28" t="s">
        <v>192</v>
      </c>
      <c r="H20" s="28" t="s">
        <v>222</v>
      </c>
    </row>
    <row r="21" spans="1:8">
      <c r="A21" s="31" t="s">
        <v>213</v>
      </c>
      <c r="B21" s="27">
        <v>35.130000000000003</v>
      </c>
      <c r="C21" s="27">
        <v>25.13</v>
      </c>
      <c r="D21" s="27">
        <v>23.41</v>
      </c>
      <c r="E21" s="27">
        <v>30.51</v>
      </c>
      <c r="F21" s="27">
        <v>100.89</v>
      </c>
      <c r="G21" s="27">
        <v>112.77</v>
      </c>
      <c r="H21" s="27">
        <v>123.47</v>
      </c>
    </row>
    <row r="22" spans="1:8">
      <c r="A22" s="31" t="s">
        <v>212</v>
      </c>
      <c r="B22" s="27">
        <v>34.56</v>
      </c>
      <c r="C22" s="27">
        <v>32.090000000000003</v>
      </c>
      <c r="D22" s="27">
        <v>37.67</v>
      </c>
      <c r="E22" s="27">
        <v>49.22</v>
      </c>
      <c r="F22" s="27">
        <v>36.35</v>
      </c>
      <c r="G22" s="27">
        <v>48.23</v>
      </c>
      <c r="H22" s="27">
        <v>58.93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defaultRowHeight="12.75"/>
  <sheetData>
    <row r="1" spans="1:3">
      <c r="A1" s="61" t="s">
        <v>255</v>
      </c>
      <c r="B1" s="61" t="s">
        <v>256</v>
      </c>
      <c r="C1" s="61" t="s">
        <v>257</v>
      </c>
    </row>
    <row r="2" spans="1:3">
      <c r="A2" s="20">
        <v>1</v>
      </c>
      <c r="B2" s="20" t="s">
        <v>258</v>
      </c>
      <c r="C2" s="60" t="s">
        <v>262</v>
      </c>
    </row>
    <row r="3" spans="1:3">
      <c r="A3" s="20">
        <v>2</v>
      </c>
      <c r="B3" s="20" t="s">
        <v>259</v>
      </c>
      <c r="C3" s="60" t="s">
        <v>262</v>
      </c>
    </row>
    <row r="4" spans="1:3">
      <c r="A4" s="20">
        <v>3</v>
      </c>
      <c r="B4" s="20" t="s">
        <v>260</v>
      </c>
      <c r="C4" s="60" t="s">
        <v>262</v>
      </c>
    </row>
    <row r="5" spans="1:3">
      <c r="A5" s="25">
        <v>4</v>
      </c>
      <c r="B5" s="25" t="s">
        <v>261</v>
      </c>
      <c r="C5" s="62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Kryteria PandR</vt:lpstr>
      <vt:lpstr>PSR piesi</vt:lpstr>
      <vt:lpstr>MEtodyka AMPTI</vt:lpstr>
      <vt:lpstr>Analiza</vt:lpstr>
      <vt:lpstr>KBR</vt:lpstr>
      <vt:lpstr>Sheet1</vt:lpstr>
      <vt:lpstr>Sheet2</vt:lpstr>
      <vt:lpstr>zal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Surma</dc:creator>
  <cp:lastModifiedBy>Bartosz Surma</cp:lastModifiedBy>
  <dcterms:created xsi:type="dcterms:W3CDTF">2018-03-26T11:13:33Z</dcterms:created>
  <dcterms:modified xsi:type="dcterms:W3CDTF">2018-06-11T22:47:45Z</dcterms:modified>
</cp:coreProperties>
</file>