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1600" windowHeight="14100" tabRatio="709" firstSheet="1" activeTab="6"/>
  </bookViews>
  <sheets>
    <sheet name="raw yield" sheetId="5" r:id="rId1"/>
    <sheet name="raw yield pp" sheetId="7" r:id="rId2"/>
    <sheet name="final systematics" sheetId="9" r:id="rId3"/>
    <sheet name="efficiency" sheetId="1" r:id="rId4"/>
    <sheet name="efficiency (pp)" sheetId="22" r:id="rId5"/>
    <sheet name="acceptance" sheetId="2" r:id="rId6"/>
    <sheet name="Results" sheetId="3" r:id="rId7"/>
    <sheet name="Jpsi RAA" sheetId="8" r:id="rId8"/>
    <sheet name="Upsilon RAA" sheetId="6" r:id="rId9"/>
    <sheet name="ReReco" sheetId="4" r:id="rId10"/>
    <sheet name="Results (HX trans)" sheetId="14" r:id="rId11"/>
    <sheet name="Results (HX long)" sheetId="21" r:id="rId12"/>
    <sheet name="Results (CS trans)" sheetId="20" r:id="rId13"/>
    <sheet name="Results (CS long)" sheetId="19" r:id="rId14"/>
    <sheet name="efficiency HX trans" sheetId="10" r:id="rId15"/>
    <sheet name="efficiency HX long" sheetId="11" r:id="rId16"/>
    <sheet name="efficiency CS trans" sheetId="13" r:id="rId17"/>
    <sheet name="efficiency CS long" sheetId="12" r:id="rId18"/>
    <sheet name="acceptance HX trans" sheetId="16" r:id="rId19"/>
    <sheet name="acceptance HX long" sheetId="15" r:id="rId20"/>
    <sheet name="acceptance CS trans" sheetId="18" r:id="rId21"/>
    <sheet name="acceptance CS long" sheetId="17" r:id="rId22"/>
  </sheets>
  <externalReferences>
    <externalReference r:id="rId23"/>
    <externalReference r:id="rId24"/>
    <externalReference r:id="rId25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1" i="1"/>
  <c r="D21" i="6"/>
  <c r="F21" i="6"/>
  <c r="D22" i="6"/>
  <c r="F22" i="6"/>
  <c r="D23" i="6"/>
  <c r="F23" i="6"/>
  <c r="D24" i="6"/>
  <c r="F24" i="6"/>
  <c r="D25" i="6"/>
  <c r="F25" i="6"/>
  <c r="D26" i="6"/>
  <c r="F26" i="6"/>
  <c r="D27" i="6"/>
  <c r="F27" i="6"/>
  <c r="D28" i="6"/>
  <c r="F28" i="6"/>
  <c r="D29" i="6"/>
  <c r="F29" i="6"/>
  <c r="D20" i="6"/>
  <c r="F20" i="6"/>
  <c r="J30" i="9"/>
  <c r="D30" i="9"/>
  <c r="E21" i="6"/>
  <c r="E22" i="6"/>
  <c r="E23" i="6"/>
  <c r="E24" i="6"/>
  <c r="E25" i="6"/>
  <c r="E26" i="6"/>
  <c r="E27" i="6"/>
  <c r="E28" i="6"/>
  <c r="E29" i="6"/>
  <c r="E20" i="6"/>
  <c r="B2" i="6"/>
  <c r="E2" i="6"/>
  <c r="C2" i="6"/>
  <c r="F2" i="6"/>
  <c r="E7" i="6"/>
  <c r="D33" i="7"/>
  <c r="E33" i="7"/>
  <c r="D34" i="7"/>
  <c r="E34" i="7"/>
  <c r="D35" i="7"/>
  <c r="E35" i="7"/>
  <c r="E32" i="7"/>
  <c r="D32" i="7"/>
  <c r="D2" i="5"/>
  <c r="G16" i="5"/>
  <c r="S16" i="3"/>
  <c r="F16" i="5"/>
  <c r="R16" i="3"/>
  <c r="T16" i="3"/>
  <c r="U16" i="3"/>
  <c r="U34" i="3"/>
  <c r="G17" i="5"/>
  <c r="S17" i="3"/>
  <c r="F17" i="5"/>
  <c r="R17" i="3"/>
  <c r="T17" i="3"/>
  <c r="U17" i="3"/>
  <c r="U35" i="3"/>
  <c r="G2" i="5"/>
  <c r="S2" i="3"/>
  <c r="F2" i="5"/>
  <c r="R2" i="3"/>
  <c r="T2" i="3"/>
  <c r="U2" i="3"/>
  <c r="U20" i="3"/>
  <c r="F10" i="5"/>
  <c r="R10" i="3"/>
  <c r="T10" i="3"/>
  <c r="T20" i="3"/>
  <c r="G13" i="5"/>
  <c r="S13" i="3"/>
  <c r="F13" i="5"/>
  <c r="R13" i="3"/>
  <c r="T13" i="3"/>
  <c r="U13" i="3"/>
  <c r="U31" i="3"/>
  <c r="G14" i="5"/>
  <c r="S14" i="3"/>
  <c r="F14" i="5"/>
  <c r="R14" i="3"/>
  <c r="T14" i="3"/>
  <c r="U14" i="3"/>
  <c r="U32" i="3"/>
  <c r="G15" i="5"/>
  <c r="S15" i="3"/>
  <c r="F15" i="5"/>
  <c r="R15" i="3"/>
  <c r="T15" i="3"/>
  <c r="U15" i="3"/>
  <c r="U33" i="3"/>
  <c r="G12" i="5"/>
  <c r="S12" i="3"/>
  <c r="F12" i="5"/>
  <c r="R12" i="3"/>
  <c r="T12" i="3"/>
  <c r="U12" i="3"/>
  <c r="U30" i="3"/>
  <c r="G3" i="5"/>
  <c r="S3" i="3"/>
  <c r="F3" i="5"/>
  <c r="R3" i="3"/>
  <c r="T3" i="3"/>
  <c r="U3" i="3"/>
  <c r="U21" i="3"/>
  <c r="G4" i="5"/>
  <c r="S4" i="3"/>
  <c r="F4" i="5"/>
  <c r="R4" i="3"/>
  <c r="T4" i="3"/>
  <c r="U4" i="3"/>
  <c r="U22" i="3"/>
  <c r="G5" i="5"/>
  <c r="S5" i="3"/>
  <c r="F5" i="5"/>
  <c r="R5" i="3"/>
  <c r="T5" i="3"/>
  <c r="U5" i="3"/>
  <c r="U23" i="3"/>
  <c r="G6" i="5"/>
  <c r="S6" i="3"/>
  <c r="F6" i="5"/>
  <c r="R6" i="3"/>
  <c r="T6" i="3"/>
  <c r="U6" i="3"/>
  <c r="U24" i="3"/>
  <c r="G7" i="5"/>
  <c r="S7" i="3"/>
  <c r="F7" i="5"/>
  <c r="R7" i="3"/>
  <c r="T7" i="3"/>
  <c r="U7" i="3"/>
  <c r="U25" i="3"/>
  <c r="G8" i="5"/>
  <c r="S8" i="3"/>
  <c r="F8" i="5"/>
  <c r="R8" i="3"/>
  <c r="T8" i="3"/>
  <c r="U8" i="3"/>
  <c r="U26" i="3"/>
  <c r="G9" i="5"/>
  <c r="S9" i="3"/>
  <c r="F9" i="5"/>
  <c r="R9" i="3"/>
  <c r="T9" i="3"/>
  <c r="U9" i="3"/>
  <c r="U27" i="3"/>
  <c r="G10" i="5"/>
  <c r="S10" i="3"/>
  <c r="U10" i="3"/>
  <c r="U28" i="3"/>
  <c r="G11" i="5"/>
  <c r="S11" i="3"/>
  <c r="F11" i="5"/>
  <c r="R11" i="3"/>
  <c r="T11" i="3"/>
  <c r="U11" i="3"/>
  <c r="U29" i="3"/>
  <c r="H3" i="5"/>
  <c r="J3" i="8"/>
  <c r="H4" i="5"/>
  <c r="J4" i="8"/>
  <c r="H5" i="5"/>
  <c r="J5" i="8"/>
  <c r="H6" i="5"/>
  <c r="J6" i="8"/>
  <c r="H7" i="5"/>
  <c r="J7" i="8"/>
  <c r="H8" i="5"/>
  <c r="J8" i="8"/>
  <c r="H9" i="5"/>
  <c r="J9" i="8"/>
  <c r="H10" i="5"/>
  <c r="J10" i="8"/>
  <c r="H11" i="5"/>
  <c r="J11" i="8"/>
  <c r="H12" i="5"/>
  <c r="J12" i="8"/>
  <c r="H13" i="5"/>
  <c r="J13" i="8"/>
  <c r="H14" i="5"/>
  <c r="J14" i="8"/>
  <c r="H15" i="5"/>
  <c r="J15" i="8"/>
  <c r="H16" i="5"/>
  <c r="J16" i="8"/>
  <c r="H17" i="5"/>
  <c r="J17" i="8"/>
  <c r="H2" i="5"/>
  <c r="J2" i="8"/>
  <c r="I11" i="22"/>
  <c r="I12" i="22"/>
  <c r="I13" i="22"/>
  <c r="I14" i="22"/>
  <c r="I15" i="22"/>
  <c r="I16" i="22"/>
  <c r="I17" i="22"/>
  <c r="I10" i="22"/>
  <c r="H11" i="22"/>
  <c r="H12" i="22"/>
  <c r="H13" i="22"/>
  <c r="H14" i="22"/>
  <c r="H15" i="22"/>
  <c r="H16" i="22"/>
  <c r="H17" i="22"/>
  <c r="H10" i="22"/>
  <c r="G5" i="8"/>
  <c r="H5" i="8"/>
  <c r="G8" i="8"/>
  <c r="H8" i="8"/>
  <c r="O17" i="8"/>
  <c r="P17" i="8"/>
  <c r="J7" i="9"/>
  <c r="D7" i="9"/>
  <c r="I5" i="8"/>
  <c r="J10" i="9"/>
  <c r="D10" i="9"/>
  <c r="I8" i="8"/>
  <c r="Q17" i="8"/>
  <c r="R17" i="8"/>
  <c r="K24" i="8"/>
  <c r="K25" i="8"/>
  <c r="K26" i="8"/>
  <c r="K27" i="8"/>
  <c r="K28" i="8"/>
  <c r="K29" i="8"/>
  <c r="K30" i="8"/>
  <c r="K23" i="8"/>
  <c r="G2" i="8"/>
  <c r="G11" i="8"/>
  <c r="H24" i="8"/>
  <c r="G12" i="8"/>
  <c r="H25" i="8"/>
  <c r="G13" i="8"/>
  <c r="H26" i="8"/>
  <c r="G14" i="8"/>
  <c r="H27" i="8"/>
  <c r="G15" i="8"/>
  <c r="H28" i="8"/>
  <c r="G16" i="8"/>
  <c r="H29" i="8"/>
  <c r="G17" i="8"/>
  <c r="H30" i="8"/>
  <c r="G10" i="8"/>
  <c r="H23" i="8"/>
  <c r="T27" i="3"/>
  <c r="T26" i="3"/>
  <c r="T25" i="3"/>
  <c r="T24" i="3"/>
  <c r="T23" i="3"/>
  <c r="T22" i="3"/>
  <c r="T21" i="3"/>
  <c r="Y11" i="3"/>
  <c r="AA11" i="3"/>
  <c r="Y2" i="3"/>
  <c r="AA2" i="3"/>
  <c r="AA21" i="3"/>
  <c r="Y12" i="3"/>
  <c r="AA12" i="3"/>
  <c r="AA22" i="3"/>
  <c r="Y13" i="3"/>
  <c r="AA13" i="3"/>
  <c r="AA23" i="3"/>
  <c r="Y14" i="3"/>
  <c r="AA14" i="3"/>
  <c r="AA24" i="3"/>
  <c r="Y15" i="3"/>
  <c r="AA15" i="3"/>
  <c r="AA25" i="3"/>
  <c r="Y16" i="3"/>
  <c r="AA16" i="3"/>
  <c r="AA26" i="3"/>
  <c r="Y17" i="3"/>
  <c r="AA17" i="3"/>
  <c r="AA27" i="3"/>
  <c r="Y10" i="3"/>
  <c r="AA10" i="3"/>
  <c r="AA20" i="3"/>
  <c r="J37" i="9"/>
  <c r="D37" i="9"/>
  <c r="B4" i="6"/>
  <c r="E4" i="6"/>
  <c r="H4" i="6"/>
  <c r="J4" i="6"/>
  <c r="J38" i="9"/>
  <c r="D38" i="9"/>
  <c r="B5" i="6"/>
  <c r="E5" i="6"/>
  <c r="H5" i="6"/>
  <c r="J5" i="6"/>
  <c r="J39" i="9"/>
  <c r="D39" i="9"/>
  <c r="H6" i="6"/>
  <c r="J6" i="6"/>
  <c r="J36" i="9"/>
  <c r="D36" i="9"/>
  <c r="B3" i="6"/>
  <c r="E3" i="6"/>
  <c r="H3" i="6"/>
  <c r="J3" i="6"/>
  <c r="J33" i="9"/>
  <c r="D33" i="9"/>
  <c r="H2" i="6"/>
  <c r="J2" i="6"/>
  <c r="J5" i="9"/>
  <c r="D5" i="9"/>
  <c r="L3" i="8"/>
  <c r="J6" i="9"/>
  <c r="D6" i="9"/>
  <c r="L4" i="8"/>
  <c r="L5" i="8"/>
  <c r="J8" i="9"/>
  <c r="D8" i="9"/>
  <c r="L6" i="8"/>
  <c r="J9" i="9"/>
  <c r="D9" i="9"/>
  <c r="L7" i="8"/>
  <c r="L8" i="8"/>
  <c r="J11" i="9"/>
  <c r="D11" i="9"/>
  <c r="L9" i="8"/>
  <c r="J12" i="9"/>
  <c r="D12" i="9"/>
  <c r="L10" i="8"/>
  <c r="J13" i="9"/>
  <c r="D13" i="9"/>
  <c r="L11" i="8"/>
  <c r="J14" i="9"/>
  <c r="D14" i="9"/>
  <c r="L12" i="8"/>
  <c r="J15" i="9"/>
  <c r="D15" i="9"/>
  <c r="L13" i="8"/>
  <c r="J16" i="9"/>
  <c r="D16" i="9"/>
  <c r="L14" i="8"/>
  <c r="J17" i="9"/>
  <c r="D17" i="9"/>
  <c r="L15" i="8"/>
  <c r="J18" i="9"/>
  <c r="D18" i="9"/>
  <c r="L16" i="8"/>
  <c r="J19" i="9"/>
  <c r="D19" i="9"/>
  <c r="L17" i="8"/>
  <c r="J4" i="9"/>
  <c r="D4" i="9"/>
  <c r="L2" i="8"/>
  <c r="I17" i="8"/>
  <c r="I16" i="8"/>
  <c r="I15" i="8"/>
  <c r="I14" i="8"/>
  <c r="I13" i="8"/>
  <c r="I12" i="8"/>
  <c r="I11" i="8"/>
  <c r="I10" i="8"/>
  <c r="G9" i="8"/>
  <c r="I9" i="8"/>
  <c r="G7" i="8"/>
  <c r="I7" i="8"/>
  <c r="G6" i="8"/>
  <c r="I6" i="8"/>
  <c r="G4" i="8"/>
  <c r="I4" i="8"/>
  <c r="G3" i="8"/>
  <c r="I3" i="8"/>
  <c r="D3" i="5"/>
  <c r="D3" i="8"/>
  <c r="F3" i="8"/>
  <c r="D4" i="5"/>
  <c r="D4" i="8"/>
  <c r="F4" i="8"/>
  <c r="D5" i="5"/>
  <c r="D5" i="8"/>
  <c r="F5" i="8"/>
  <c r="D6" i="5"/>
  <c r="D6" i="8"/>
  <c r="F6" i="8"/>
  <c r="D7" i="5"/>
  <c r="D7" i="8"/>
  <c r="F7" i="8"/>
  <c r="D8" i="5"/>
  <c r="D8" i="8"/>
  <c r="F8" i="8"/>
  <c r="D9" i="5"/>
  <c r="D9" i="8"/>
  <c r="F9" i="8"/>
  <c r="D10" i="5"/>
  <c r="D10" i="8"/>
  <c r="F10" i="8"/>
  <c r="D11" i="5"/>
  <c r="D11" i="8"/>
  <c r="F11" i="8"/>
  <c r="D12" i="5"/>
  <c r="D12" i="8"/>
  <c r="F12" i="8"/>
  <c r="D13" i="5"/>
  <c r="D13" i="8"/>
  <c r="F13" i="8"/>
  <c r="D14" i="5"/>
  <c r="D14" i="8"/>
  <c r="F14" i="8"/>
  <c r="D15" i="5"/>
  <c r="D15" i="8"/>
  <c r="F15" i="8"/>
  <c r="D16" i="5"/>
  <c r="D16" i="8"/>
  <c r="F16" i="8"/>
  <c r="D17" i="5"/>
  <c r="D17" i="8"/>
  <c r="F17" i="8"/>
  <c r="D2" i="8"/>
  <c r="F2" i="8"/>
  <c r="I2" i="8"/>
  <c r="J2" i="1"/>
  <c r="D2" i="1"/>
  <c r="O2" i="8"/>
  <c r="J17" i="2"/>
  <c r="D17" i="2"/>
  <c r="J16" i="2"/>
  <c r="D16" i="2"/>
  <c r="J15" i="2"/>
  <c r="D15" i="2"/>
  <c r="J14" i="2"/>
  <c r="D14" i="2"/>
  <c r="J13" i="2"/>
  <c r="D13" i="2"/>
  <c r="J12" i="2"/>
  <c r="D12" i="2"/>
  <c r="J11" i="2"/>
  <c r="D11" i="2"/>
  <c r="J10" i="2"/>
  <c r="D10" i="2"/>
  <c r="J9" i="2"/>
  <c r="D9" i="2"/>
  <c r="J8" i="2"/>
  <c r="D8" i="2"/>
  <c r="J7" i="2"/>
  <c r="D7" i="2"/>
  <c r="J6" i="2"/>
  <c r="D6" i="2"/>
  <c r="J5" i="2"/>
  <c r="D5" i="2"/>
  <c r="J4" i="2"/>
  <c r="D4" i="2"/>
  <c r="J3" i="2"/>
  <c r="D3" i="2"/>
  <c r="J2" i="2"/>
  <c r="D2" i="2"/>
  <c r="J17" i="1"/>
  <c r="D17" i="1"/>
  <c r="J16" i="1"/>
  <c r="D16" i="1"/>
  <c r="J15" i="1"/>
  <c r="D15" i="1"/>
  <c r="J14" i="1"/>
  <c r="D14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D6" i="1"/>
  <c r="J5" i="1"/>
  <c r="D5" i="1"/>
  <c r="J4" i="1"/>
  <c r="D4" i="1"/>
  <c r="J3" i="1"/>
  <c r="D3" i="1"/>
  <c r="J3" i="5"/>
  <c r="AG3" i="3"/>
  <c r="I3" i="3"/>
  <c r="AE3" i="3"/>
  <c r="J3" i="3"/>
  <c r="X3" i="3"/>
  <c r="AF3" i="3"/>
  <c r="AI3" i="3"/>
  <c r="AP3" i="3"/>
  <c r="AQ3" i="3"/>
  <c r="AR3" i="3"/>
  <c r="AO3" i="3"/>
  <c r="AM3" i="3"/>
  <c r="AN3" i="3"/>
  <c r="AK3" i="3"/>
  <c r="AS3" i="3"/>
  <c r="AU3" i="3"/>
  <c r="J4" i="5"/>
  <c r="AG4" i="3"/>
  <c r="I4" i="3"/>
  <c r="AE4" i="3"/>
  <c r="J4" i="3"/>
  <c r="X4" i="3"/>
  <c r="AF4" i="3"/>
  <c r="AI4" i="3"/>
  <c r="AP4" i="3"/>
  <c r="AQ4" i="3"/>
  <c r="AR4" i="3"/>
  <c r="AO4" i="3"/>
  <c r="AM4" i="3"/>
  <c r="AN4" i="3"/>
  <c r="AK4" i="3"/>
  <c r="AS4" i="3"/>
  <c r="AU4" i="3"/>
  <c r="J8" i="5"/>
  <c r="AG8" i="3"/>
  <c r="I8" i="3"/>
  <c r="AE8" i="3"/>
  <c r="J8" i="3"/>
  <c r="X8" i="3"/>
  <c r="AF8" i="3"/>
  <c r="AI8" i="3"/>
  <c r="AP8" i="3"/>
  <c r="AQ8" i="3"/>
  <c r="AR8" i="3"/>
  <c r="AO8" i="3"/>
  <c r="AM8" i="3"/>
  <c r="AN8" i="3"/>
  <c r="AK8" i="3"/>
  <c r="AS8" i="3"/>
  <c r="AU8" i="3"/>
  <c r="J9" i="5"/>
  <c r="AG9" i="3"/>
  <c r="I9" i="3"/>
  <c r="AE9" i="3"/>
  <c r="J9" i="3"/>
  <c r="X9" i="3"/>
  <c r="AF9" i="3"/>
  <c r="AI9" i="3"/>
  <c r="AP9" i="3"/>
  <c r="AQ9" i="3"/>
  <c r="AR9" i="3"/>
  <c r="AO9" i="3"/>
  <c r="AM9" i="3"/>
  <c r="AN9" i="3"/>
  <c r="AK9" i="3"/>
  <c r="AS9" i="3"/>
  <c r="AU9" i="3"/>
  <c r="J16" i="5"/>
  <c r="AG16" i="3"/>
  <c r="I16" i="3"/>
  <c r="AE16" i="3"/>
  <c r="J16" i="3"/>
  <c r="X16" i="3"/>
  <c r="AF16" i="3"/>
  <c r="AI16" i="3"/>
  <c r="AP16" i="3"/>
  <c r="AQ16" i="3"/>
  <c r="AR16" i="3"/>
  <c r="AO16" i="3"/>
  <c r="AM16" i="3"/>
  <c r="AN16" i="3"/>
  <c r="AK16" i="3"/>
  <c r="AS16" i="3"/>
  <c r="AU16" i="3"/>
  <c r="J17" i="5"/>
  <c r="AG17" i="3"/>
  <c r="I17" i="3"/>
  <c r="AE17" i="3"/>
  <c r="J17" i="3"/>
  <c r="X17" i="3"/>
  <c r="AF17" i="3"/>
  <c r="AI17" i="3"/>
  <c r="AP17" i="3"/>
  <c r="AQ17" i="3"/>
  <c r="AR17" i="3"/>
  <c r="AO17" i="3"/>
  <c r="AM17" i="3"/>
  <c r="AN17" i="3"/>
  <c r="AK17" i="3"/>
  <c r="AS17" i="3"/>
  <c r="AU17" i="3"/>
  <c r="J2" i="5"/>
  <c r="AG2" i="3"/>
  <c r="I2" i="3"/>
  <c r="AE2" i="3"/>
  <c r="J2" i="3"/>
  <c r="X2" i="3"/>
  <c r="AF2" i="3"/>
  <c r="AI2" i="3"/>
  <c r="AP2" i="3"/>
  <c r="AQ2" i="3"/>
  <c r="AR2" i="3"/>
  <c r="AO2" i="3"/>
  <c r="AM2" i="3"/>
  <c r="AN2" i="3"/>
  <c r="AK2" i="3"/>
  <c r="AS2" i="3"/>
  <c r="AU2" i="3"/>
  <c r="K3" i="5"/>
  <c r="AH3" i="3"/>
  <c r="AJ3" i="3"/>
  <c r="AT3" i="3"/>
  <c r="K4" i="5"/>
  <c r="AH4" i="3"/>
  <c r="AJ4" i="3"/>
  <c r="AT4" i="3"/>
  <c r="K5" i="5"/>
  <c r="AH5" i="3"/>
  <c r="J5" i="5"/>
  <c r="AG5" i="3"/>
  <c r="I5" i="3"/>
  <c r="AE5" i="3"/>
  <c r="J5" i="3"/>
  <c r="X5" i="3"/>
  <c r="AF5" i="3"/>
  <c r="AI5" i="3"/>
  <c r="AJ5" i="3"/>
  <c r="AS5" i="3"/>
  <c r="AT5" i="3"/>
  <c r="K6" i="5"/>
  <c r="AH6" i="3"/>
  <c r="J6" i="5"/>
  <c r="AG6" i="3"/>
  <c r="I6" i="3"/>
  <c r="AE6" i="3"/>
  <c r="J6" i="3"/>
  <c r="X6" i="3"/>
  <c r="AF6" i="3"/>
  <c r="AI6" i="3"/>
  <c r="AJ6" i="3"/>
  <c r="AS6" i="3"/>
  <c r="AT6" i="3"/>
  <c r="K7" i="5"/>
  <c r="AH7" i="3"/>
  <c r="J7" i="5"/>
  <c r="AG7" i="3"/>
  <c r="I7" i="3"/>
  <c r="AE7" i="3"/>
  <c r="J7" i="3"/>
  <c r="X7" i="3"/>
  <c r="AF7" i="3"/>
  <c r="AI7" i="3"/>
  <c r="AJ7" i="3"/>
  <c r="AS7" i="3"/>
  <c r="AT7" i="3"/>
  <c r="K8" i="5"/>
  <c r="AH8" i="3"/>
  <c r="AJ8" i="3"/>
  <c r="AT8" i="3"/>
  <c r="K9" i="5"/>
  <c r="AH9" i="3"/>
  <c r="AJ9" i="3"/>
  <c r="AT9" i="3"/>
  <c r="K10" i="5"/>
  <c r="AH10" i="3"/>
  <c r="J10" i="5"/>
  <c r="AG10" i="3"/>
  <c r="I10" i="3"/>
  <c r="AE10" i="3"/>
  <c r="J10" i="3"/>
  <c r="X10" i="3"/>
  <c r="AF10" i="3"/>
  <c r="AI10" i="3"/>
  <c r="AJ10" i="3"/>
  <c r="AS10" i="3"/>
  <c r="AT10" i="3"/>
  <c r="K11" i="5"/>
  <c r="AH11" i="3"/>
  <c r="J11" i="5"/>
  <c r="AG11" i="3"/>
  <c r="I11" i="3"/>
  <c r="AE11" i="3"/>
  <c r="J11" i="3"/>
  <c r="X11" i="3"/>
  <c r="AF11" i="3"/>
  <c r="AI11" i="3"/>
  <c r="AJ11" i="3"/>
  <c r="AS11" i="3"/>
  <c r="AT11" i="3"/>
  <c r="K12" i="5"/>
  <c r="AH12" i="3"/>
  <c r="J12" i="5"/>
  <c r="AG12" i="3"/>
  <c r="I12" i="3"/>
  <c r="AE12" i="3"/>
  <c r="J12" i="3"/>
  <c r="X12" i="3"/>
  <c r="AF12" i="3"/>
  <c r="AI12" i="3"/>
  <c r="AJ12" i="3"/>
  <c r="AS12" i="3"/>
  <c r="AT12" i="3"/>
  <c r="K13" i="5"/>
  <c r="AH13" i="3"/>
  <c r="J13" i="5"/>
  <c r="AG13" i="3"/>
  <c r="I13" i="3"/>
  <c r="AE13" i="3"/>
  <c r="J13" i="3"/>
  <c r="X13" i="3"/>
  <c r="AF13" i="3"/>
  <c r="AI13" i="3"/>
  <c r="AJ13" i="3"/>
  <c r="AS13" i="3"/>
  <c r="AT13" i="3"/>
  <c r="K14" i="5"/>
  <c r="AH14" i="3"/>
  <c r="J14" i="5"/>
  <c r="AG14" i="3"/>
  <c r="I14" i="3"/>
  <c r="AE14" i="3"/>
  <c r="J14" i="3"/>
  <c r="X14" i="3"/>
  <c r="AF14" i="3"/>
  <c r="AI14" i="3"/>
  <c r="AJ14" i="3"/>
  <c r="AS14" i="3"/>
  <c r="AT14" i="3"/>
  <c r="K15" i="5"/>
  <c r="AH15" i="3"/>
  <c r="J15" i="5"/>
  <c r="AG15" i="3"/>
  <c r="I15" i="3"/>
  <c r="AE15" i="3"/>
  <c r="J15" i="3"/>
  <c r="X15" i="3"/>
  <c r="AF15" i="3"/>
  <c r="AI15" i="3"/>
  <c r="AJ15" i="3"/>
  <c r="AS15" i="3"/>
  <c r="AT15" i="3"/>
  <c r="K16" i="5"/>
  <c r="AH16" i="3"/>
  <c r="AJ16" i="3"/>
  <c r="AT16" i="3"/>
  <c r="K17" i="5"/>
  <c r="AH17" i="3"/>
  <c r="AJ17" i="3"/>
  <c r="AT17" i="3"/>
  <c r="K2" i="5"/>
  <c r="AH2" i="3"/>
  <c r="AJ2" i="3"/>
  <c r="AT2" i="3"/>
  <c r="D3" i="12"/>
  <c r="D4" i="12"/>
  <c r="D5" i="12"/>
  <c r="D6" i="12"/>
  <c r="D7" i="12"/>
  <c r="D10" i="12"/>
  <c r="D11" i="12"/>
  <c r="D12" i="12"/>
  <c r="D13" i="12"/>
  <c r="D14" i="12"/>
  <c r="D15" i="12"/>
  <c r="D3" i="13"/>
  <c r="D4" i="13"/>
  <c r="D5" i="13"/>
  <c r="D6" i="13"/>
  <c r="D7" i="13"/>
  <c r="D10" i="13"/>
  <c r="D11" i="13"/>
  <c r="D12" i="13"/>
  <c r="D13" i="13"/>
  <c r="D14" i="13"/>
  <c r="D15" i="13"/>
  <c r="D3" i="11"/>
  <c r="D4" i="11"/>
  <c r="D5" i="11"/>
  <c r="D6" i="11"/>
  <c r="D7" i="11"/>
  <c r="D11" i="11"/>
  <c r="D12" i="11"/>
  <c r="D13" i="11"/>
  <c r="D14" i="11"/>
  <c r="D15" i="11"/>
  <c r="D10" i="11"/>
  <c r="D3" i="10"/>
  <c r="D4" i="10"/>
  <c r="D5" i="10"/>
  <c r="D6" i="10"/>
  <c r="D7" i="10"/>
  <c r="D11" i="10"/>
  <c r="D12" i="10"/>
  <c r="D13" i="10"/>
  <c r="D14" i="10"/>
  <c r="D15" i="10"/>
  <c r="D10" i="10"/>
  <c r="H17" i="17"/>
  <c r="H16" i="17"/>
  <c r="H15" i="17"/>
  <c r="H14" i="17"/>
  <c r="H13" i="17"/>
  <c r="H12" i="17"/>
  <c r="H11" i="17"/>
  <c r="H10" i="17"/>
  <c r="H17" i="18"/>
  <c r="H16" i="18"/>
  <c r="H15" i="18"/>
  <c r="H14" i="18"/>
  <c r="H13" i="18"/>
  <c r="H12" i="18"/>
  <c r="H11" i="18"/>
  <c r="H10" i="18"/>
  <c r="H17" i="15"/>
  <c r="H16" i="15"/>
  <c r="H15" i="15"/>
  <c r="H14" i="15"/>
  <c r="H13" i="15"/>
  <c r="H12" i="15"/>
  <c r="H11" i="15"/>
  <c r="H10" i="15"/>
  <c r="H17" i="16"/>
  <c r="H16" i="16"/>
  <c r="H15" i="16"/>
  <c r="H14" i="16"/>
  <c r="H13" i="16"/>
  <c r="H12" i="16"/>
  <c r="H11" i="16"/>
  <c r="H10" i="16"/>
  <c r="F11" i="17"/>
  <c r="F12" i="17"/>
  <c r="F13" i="17"/>
  <c r="F14" i="17"/>
  <c r="F15" i="17"/>
  <c r="F16" i="17"/>
  <c r="F17" i="17"/>
  <c r="F10" i="17"/>
  <c r="F11" i="18"/>
  <c r="F12" i="18"/>
  <c r="F13" i="18"/>
  <c r="F14" i="18"/>
  <c r="F15" i="18"/>
  <c r="F16" i="18"/>
  <c r="F17" i="18"/>
  <c r="F10" i="18"/>
  <c r="F11" i="15"/>
  <c r="F12" i="15"/>
  <c r="F13" i="15"/>
  <c r="F14" i="15"/>
  <c r="F15" i="15"/>
  <c r="F16" i="15"/>
  <c r="F17" i="15"/>
  <c r="F10" i="15"/>
  <c r="F11" i="16"/>
  <c r="F12" i="16"/>
  <c r="F13" i="16"/>
  <c r="F14" i="16"/>
  <c r="F15" i="16"/>
  <c r="F16" i="16"/>
  <c r="F17" i="16"/>
  <c r="F10" i="16"/>
  <c r="E26" i="8"/>
  <c r="E27" i="8"/>
  <c r="E28" i="8"/>
  <c r="E29" i="8"/>
  <c r="E30" i="8"/>
  <c r="E31" i="8"/>
  <c r="E32" i="8"/>
  <c r="E25" i="8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AO10" i="4"/>
  <c r="D17" i="3"/>
  <c r="H2" i="7"/>
  <c r="K2" i="4"/>
  <c r="K3" i="4"/>
  <c r="K4" i="4"/>
  <c r="K5" i="4"/>
  <c r="K6" i="4"/>
  <c r="K7" i="4"/>
  <c r="K8" i="4"/>
  <c r="K9" i="4"/>
  <c r="AO2" i="4"/>
  <c r="D16" i="3"/>
  <c r="H20" i="8"/>
  <c r="E20" i="8"/>
  <c r="F20" i="8"/>
  <c r="G20" i="8"/>
  <c r="I20" i="8"/>
  <c r="K20" i="8"/>
  <c r="J20" i="8"/>
  <c r="D30" i="22"/>
  <c r="E6" i="6"/>
  <c r="D29" i="22"/>
  <c r="U6" i="4"/>
  <c r="D28" i="22"/>
  <c r="U2" i="4"/>
  <c r="D27" i="22"/>
  <c r="U42" i="4"/>
  <c r="D40" i="22"/>
  <c r="D41" i="22"/>
  <c r="D42" i="22"/>
  <c r="D39" i="22"/>
  <c r="D3" i="3"/>
  <c r="H3" i="7"/>
  <c r="D4" i="3"/>
  <c r="H4" i="7"/>
  <c r="D5" i="3"/>
  <c r="H5" i="7"/>
  <c r="D6" i="3"/>
  <c r="H6" i="7"/>
  <c r="D7" i="3"/>
  <c r="H7" i="7"/>
  <c r="D8" i="3"/>
  <c r="H8" i="7"/>
  <c r="D9" i="3"/>
  <c r="H9" i="7"/>
  <c r="D10" i="3"/>
  <c r="F10" i="22"/>
  <c r="D11" i="3"/>
  <c r="F11" i="22"/>
  <c r="U10" i="4"/>
  <c r="D12" i="3"/>
  <c r="F12" i="22"/>
  <c r="U14" i="4"/>
  <c r="D13" i="3"/>
  <c r="F13" i="22"/>
  <c r="U18" i="4"/>
  <c r="D14" i="3"/>
  <c r="F14" i="22"/>
  <c r="U22" i="4"/>
  <c r="D15" i="3"/>
  <c r="F15" i="22"/>
  <c r="F16" i="22"/>
  <c r="F17" i="22"/>
  <c r="D2" i="3"/>
  <c r="F3" i="7"/>
  <c r="F4" i="7"/>
  <c r="F5" i="7"/>
  <c r="F6" i="7"/>
  <c r="F7" i="7"/>
  <c r="F8" i="7"/>
  <c r="F9" i="7"/>
  <c r="F2" i="7"/>
  <c r="F10" i="7"/>
  <c r="F11" i="7"/>
  <c r="F12" i="7"/>
  <c r="F13" i="7"/>
  <c r="F14" i="7"/>
  <c r="F15" i="7"/>
  <c r="F16" i="7"/>
  <c r="F17" i="7"/>
  <c r="D3" i="7"/>
  <c r="D4" i="7"/>
  <c r="D5" i="7"/>
  <c r="D6" i="7"/>
  <c r="D7" i="7"/>
  <c r="D8" i="7"/>
  <c r="D9" i="7"/>
  <c r="D2" i="7"/>
  <c r="D10" i="7"/>
  <c r="D11" i="7"/>
  <c r="D12" i="7"/>
  <c r="D13" i="7"/>
  <c r="D14" i="7"/>
  <c r="D15" i="7"/>
  <c r="D16" i="7"/>
  <c r="D17" i="7"/>
  <c r="E9" i="6"/>
  <c r="F6" i="6"/>
  <c r="F7" i="6"/>
  <c r="I6" i="6"/>
  <c r="E42" i="22"/>
  <c r="I29" i="3"/>
  <c r="I28" i="3"/>
  <c r="I27" i="3"/>
  <c r="I26" i="3"/>
  <c r="D26" i="3"/>
  <c r="J26" i="3"/>
  <c r="M26" i="3"/>
  <c r="E39" i="9"/>
  <c r="F39" i="9"/>
  <c r="G39" i="9"/>
  <c r="H39" i="9"/>
  <c r="I39" i="9"/>
  <c r="K39" i="9"/>
  <c r="E30" i="22"/>
  <c r="L2" i="7"/>
  <c r="L17" i="7"/>
  <c r="K2" i="7"/>
  <c r="K17" i="7"/>
  <c r="J2" i="7"/>
  <c r="J17" i="7"/>
  <c r="I2" i="7"/>
  <c r="I17" i="7"/>
  <c r="H17" i="7"/>
  <c r="G2" i="7"/>
  <c r="G17" i="7"/>
  <c r="E2" i="7"/>
  <c r="E17" i="7"/>
  <c r="I2" i="5"/>
  <c r="K2" i="8"/>
  <c r="E10" i="5"/>
  <c r="E10" i="7"/>
  <c r="E10" i="8"/>
  <c r="E11" i="5"/>
  <c r="E11" i="7"/>
  <c r="E11" i="8"/>
  <c r="E12" i="5"/>
  <c r="E12" i="7"/>
  <c r="E12" i="8"/>
  <c r="E13" i="5"/>
  <c r="E13" i="7"/>
  <c r="E13" i="8"/>
  <c r="E14" i="5"/>
  <c r="E14" i="7"/>
  <c r="E14" i="8"/>
  <c r="E15" i="5"/>
  <c r="E15" i="7"/>
  <c r="E15" i="8"/>
  <c r="E16" i="5"/>
  <c r="E16" i="7"/>
  <c r="E16" i="8"/>
  <c r="E17" i="5"/>
  <c r="E17" i="8"/>
  <c r="G11" i="7"/>
  <c r="H11" i="7"/>
  <c r="I11" i="7"/>
  <c r="J11" i="7"/>
  <c r="K11" i="7"/>
  <c r="L11" i="7"/>
  <c r="G12" i="7"/>
  <c r="H12" i="7"/>
  <c r="I12" i="7"/>
  <c r="J12" i="7"/>
  <c r="K12" i="7"/>
  <c r="L12" i="7"/>
  <c r="G13" i="7"/>
  <c r="H13" i="7"/>
  <c r="I13" i="7"/>
  <c r="J13" i="7"/>
  <c r="K13" i="7"/>
  <c r="L13" i="7"/>
  <c r="G14" i="7"/>
  <c r="H14" i="7"/>
  <c r="I14" i="7"/>
  <c r="J14" i="7"/>
  <c r="K14" i="7"/>
  <c r="L14" i="7"/>
  <c r="G15" i="7"/>
  <c r="H15" i="7"/>
  <c r="I15" i="7"/>
  <c r="J15" i="7"/>
  <c r="K15" i="7"/>
  <c r="L15" i="7"/>
  <c r="G16" i="7"/>
  <c r="H16" i="7"/>
  <c r="I16" i="7"/>
  <c r="J16" i="7"/>
  <c r="K16" i="7"/>
  <c r="L16" i="7"/>
  <c r="G10" i="7"/>
  <c r="H10" i="7"/>
  <c r="I10" i="7"/>
  <c r="J10" i="7"/>
  <c r="K10" i="7"/>
  <c r="L10" i="7"/>
  <c r="W4" i="3"/>
  <c r="W3" i="3"/>
  <c r="P3" i="3"/>
  <c r="AL3" i="3"/>
  <c r="P4" i="3"/>
  <c r="AL4" i="3"/>
  <c r="W7" i="3"/>
  <c r="AP7" i="3"/>
  <c r="P7" i="3"/>
  <c r="AQ7" i="3"/>
  <c r="AR7" i="3"/>
  <c r="AO7" i="3"/>
  <c r="W5" i="3"/>
  <c r="AP5" i="3"/>
  <c r="P5" i="3"/>
  <c r="AQ5" i="3"/>
  <c r="AR5" i="3"/>
  <c r="AO5" i="3"/>
  <c r="W6" i="3"/>
  <c r="AP6" i="3"/>
  <c r="P6" i="3"/>
  <c r="AQ6" i="3"/>
  <c r="AR6" i="3"/>
  <c r="AO6" i="3"/>
  <c r="W8" i="3"/>
  <c r="P8" i="3"/>
  <c r="W9" i="3"/>
  <c r="P9" i="3"/>
  <c r="W10" i="3"/>
  <c r="AP10" i="3"/>
  <c r="P10" i="3"/>
  <c r="AQ10" i="3"/>
  <c r="AR10" i="3"/>
  <c r="AO10" i="3"/>
  <c r="W11" i="3"/>
  <c r="AP11" i="3"/>
  <c r="P11" i="3"/>
  <c r="AQ11" i="3"/>
  <c r="AR11" i="3"/>
  <c r="AO11" i="3"/>
  <c r="W12" i="3"/>
  <c r="AP12" i="3"/>
  <c r="P12" i="3"/>
  <c r="AQ12" i="3"/>
  <c r="AR12" i="3"/>
  <c r="AO12" i="3"/>
  <c r="W13" i="3"/>
  <c r="AP13" i="3"/>
  <c r="P13" i="3"/>
  <c r="AQ13" i="3"/>
  <c r="AR13" i="3"/>
  <c r="AO13" i="3"/>
  <c r="W14" i="3"/>
  <c r="AP14" i="3"/>
  <c r="P14" i="3"/>
  <c r="AQ14" i="3"/>
  <c r="AR14" i="3"/>
  <c r="AO14" i="3"/>
  <c r="W15" i="3"/>
  <c r="AP15" i="3"/>
  <c r="P15" i="3"/>
  <c r="AQ15" i="3"/>
  <c r="AR15" i="3"/>
  <c r="AO15" i="3"/>
  <c r="W16" i="3"/>
  <c r="P16" i="3"/>
  <c r="W17" i="3"/>
  <c r="P17" i="3"/>
  <c r="AL8" i="3"/>
  <c r="AL9" i="3"/>
  <c r="AL16" i="3"/>
  <c r="AL17" i="3"/>
  <c r="W2" i="3"/>
  <c r="P2" i="3"/>
  <c r="AL2" i="3"/>
  <c r="AM5" i="3"/>
  <c r="AM6" i="3"/>
  <c r="AM7" i="3"/>
  <c r="AM10" i="3"/>
  <c r="AM11" i="3"/>
  <c r="AM12" i="3"/>
  <c r="AM13" i="3"/>
  <c r="AM14" i="3"/>
  <c r="AM15" i="3"/>
  <c r="D35" i="3"/>
  <c r="I35" i="3"/>
  <c r="J35" i="3"/>
  <c r="M35" i="3"/>
  <c r="O35" i="3"/>
  <c r="N35" i="3"/>
  <c r="E40" i="22"/>
  <c r="E41" i="22"/>
  <c r="E39" i="22"/>
  <c r="E27" i="22"/>
  <c r="E28" i="22"/>
  <c r="E29" i="22"/>
  <c r="G11" i="22"/>
  <c r="G12" i="22"/>
  <c r="G13" i="22"/>
  <c r="G14" i="22"/>
  <c r="G15" i="22"/>
  <c r="G16" i="22"/>
  <c r="G17" i="22"/>
  <c r="G10" i="22"/>
  <c r="X17" i="19"/>
  <c r="W17" i="19"/>
  <c r="Q17" i="19"/>
  <c r="P17" i="19"/>
  <c r="J17" i="17"/>
  <c r="D17" i="17"/>
  <c r="J17" i="19"/>
  <c r="J17" i="12"/>
  <c r="D17" i="12"/>
  <c r="I17" i="19"/>
  <c r="X16" i="19"/>
  <c r="W16" i="19"/>
  <c r="Q16" i="19"/>
  <c r="P16" i="19"/>
  <c r="J16" i="17"/>
  <c r="D16" i="17"/>
  <c r="J16" i="19"/>
  <c r="J16" i="12"/>
  <c r="D16" i="12"/>
  <c r="I16" i="19"/>
  <c r="X15" i="19"/>
  <c r="W15" i="19"/>
  <c r="Q15" i="19"/>
  <c r="P15" i="19"/>
  <c r="J15" i="17"/>
  <c r="D15" i="17"/>
  <c r="J15" i="19"/>
  <c r="J15" i="12"/>
  <c r="I15" i="19"/>
  <c r="X14" i="19"/>
  <c r="W14" i="19"/>
  <c r="Q14" i="19"/>
  <c r="P14" i="19"/>
  <c r="J14" i="17"/>
  <c r="D14" i="17"/>
  <c r="J14" i="19"/>
  <c r="J14" i="12"/>
  <c r="I14" i="19"/>
  <c r="X13" i="19"/>
  <c r="W13" i="19"/>
  <c r="Q13" i="19"/>
  <c r="P13" i="19"/>
  <c r="J13" i="17"/>
  <c r="D13" i="17"/>
  <c r="J13" i="19"/>
  <c r="J13" i="12"/>
  <c r="I13" i="19"/>
  <c r="X12" i="19"/>
  <c r="W12" i="19"/>
  <c r="Q12" i="19"/>
  <c r="P12" i="19"/>
  <c r="J12" i="17"/>
  <c r="D12" i="17"/>
  <c r="J12" i="19"/>
  <c r="J12" i="12"/>
  <c r="I12" i="19"/>
  <c r="X11" i="19"/>
  <c r="W11" i="19"/>
  <c r="Q11" i="19"/>
  <c r="P11" i="19"/>
  <c r="J11" i="17"/>
  <c r="D11" i="17"/>
  <c r="J11" i="19"/>
  <c r="J11" i="12"/>
  <c r="I11" i="19"/>
  <c r="X10" i="19"/>
  <c r="W10" i="19"/>
  <c r="Q10" i="19"/>
  <c r="P10" i="19"/>
  <c r="J10" i="17"/>
  <c r="D10" i="17"/>
  <c r="J10" i="19"/>
  <c r="J10" i="12"/>
  <c r="I10" i="19"/>
  <c r="X9" i="19"/>
  <c r="W9" i="19"/>
  <c r="Q9" i="19"/>
  <c r="P9" i="19"/>
  <c r="J9" i="17"/>
  <c r="D9" i="17"/>
  <c r="J9" i="19"/>
  <c r="J9" i="12"/>
  <c r="D9" i="12"/>
  <c r="I9" i="19"/>
  <c r="X8" i="19"/>
  <c r="W8" i="19"/>
  <c r="Q8" i="19"/>
  <c r="P8" i="19"/>
  <c r="J8" i="17"/>
  <c r="D8" i="17"/>
  <c r="J8" i="19"/>
  <c r="J8" i="12"/>
  <c r="D8" i="12"/>
  <c r="I8" i="19"/>
  <c r="X7" i="19"/>
  <c r="W7" i="19"/>
  <c r="Q7" i="19"/>
  <c r="P7" i="19"/>
  <c r="J7" i="17"/>
  <c r="D7" i="17"/>
  <c r="J7" i="19"/>
  <c r="J7" i="12"/>
  <c r="I7" i="19"/>
  <c r="X6" i="19"/>
  <c r="W6" i="19"/>
  <c r="Q6" i="19"/>
  <c r="P6" i="19"/>
  <c r="J6" i="17"/>
  <c r="D6" i="17"/>
  <c r="J6" i="19"/>
  <c r="J6" i="12"/>
  <c r="I6" i="19"/>
  <c r="X5" i="19"/>
  <c r="W5" i="19"/>
  <c r="Q5" i="19"/>
  <c r="P5" i="19"/>
  <c r="J5" i="17"/>
  <c r="D5" i="17"/>
  <c r="J5" i="19"/>
  <c r="J5" i="12"/>
  <c r="I5" i="19"/>
  <c r="X4" i="19"/>
  <c r="W4" i="19"/>
  <c r="Q4" i="19"/>
  <c r="P4" i="19"/>
  <c r="J4" i="17"/>
  <c r="D4" i="17"/>
  <c r="J4" i="19"/>
  <c r="J4" i="12"/>
  <c r="I4" i="19"/>
  <c r="X3" i="19"/>
  <c r="W3" i="19"/>
  <c r="Q3" i="19"/>
  <c r="P3" i="19"/>
  <c r="J3" i="17"/>
  <c r="D3" i="17"/>
  <c r="J3" i="19"/>
  <c r="J3" i="12"/>
  <c r="I3" i="19"/>
  <c r="X2" i="19"/>
  <c r="W2" i="19"/>
  <c r="Q2" i="19"/>
  <c r="P2" i="19"/>
  <c r="J2" i="17"/>
  <c r="D2" i="17"/>
  <c r="J2" i="19"/>
  <c r="J2" i="12"/>
  <c r="D2" i="12"/>
  <c r="I2" i="19"/>
  <c r="X17" i="20"/>
  <c r="W17" i="20"/>
  <c r="Q17" i="20"/>
  <c r="P17" i="20"/>
  <c r="J17" i="18"/>
  <c r="D17" i="18"/>
  <c r="J17" i="20"/>
  <c r="J17" i="13"/>
  <c r="D17" i="13"/>
  <c r="I17" i="20"/>
  <c r="X16" i="20"/>
  <c r="W16" i="20"/>
  <c r="Q16" i="20"/>
  <c r="P16" i="20"/>
  <c r="J16" i="18"/>
  <c r="D16" i="18"/>
  <c r="J16" i="20"/>
  <c r="J16" i="13"/>
  <c r="D16" i="13"/>
  <c r="I16" i="20"/>
  <c r="X15" i="20"/>
  <c r="W15" i="20"/>
  <c r="Q15" i="20"/>
  <c r="P15" i="20"/>
  <c r="J15" i="18"/>
  <c r="D15" i="18"/>
  <c r="J15" i="20"/>
  <c r="J15" i="13"/>
  <c r="I15" i="20"/>
  <c r="X14" i="20"/>
  <c r="W14" i="20"/>
  <c r="Q14" i="20"/>
  <c r="P14" i="20"/>
  <c r="J14" i="18"/>
  <c r="D14" i="18"/>
  <c r="J14" i="20"/>
  <c r="J14" i="13"/>
  <c r="I14" i="20"/>
  <c r="X13" i="20"/>
  <c r="W13" i="20"/>
  <c r="Q13" i="20"/>
  <c r="P13" i="20"/>
  <c r="J13" i="18"/>
  <c r="D13" i="18"/>
  <c r="J13" i="20"/>
  <c r="J13" i="13"/>
  <c r="I13" i="20"/>
  <c r="X12" i="20"/>
  <c r="W12" i="20"/>
  <c r="Q12" i="20"/>
  <c r="P12" i="20"/>
  <c r="J12" i="18"/>
  <c r="D12" i="18"/>
  <c r="J12" i="20"/>
  <c r="J12" i="13"/>
  <c r="I12" i="20"/>
  <c r="X11" i="20"/>
  <c r="W11" i="20"/>
  <c r="Q11" i="20"/>
  <c r="P11" i="20"/>
  <c r="J11" i="18"/>
  <c r="D11" i="18"/>
  <c r="J11" i="20"/>
  <c r="J11" i="13"/>
  <c r="I11" i="20"/>
  <c r="X10" i="20"/>
  <c r="W10" i="20"/>
  <c r="Q10" i="20"/>
  <c r="P10" i="20"/>
  <c r="J10" i="18"/>
  <c r="D10" i="18"/>
  <c r="J10" i="20"/>
  <c r="J10" i="13"/>
  <c r="I10" i="20"/>
  <c r="X9" i="20"/>
  <c r="W9" i="20"/>
  <c r="Q9" i="20"/>
  <c r="P9" i="20"/>
  <c r="J9" i="18"/>
  <c r="D9" i="18"/>
  <c r="J9" i="20"/>
  <c r="J9" i="13"/>
  <c r="D9" i="13"/>
  <c r="I9" i="20"/>
  <c r="X8" i="20"/>
  <c r="W8" i="20"/>
  <c r="Q8" i="20"/>
  <c r="P8" i="20"/>
  <c r="J8" i="18"/>
  <c r="D8" i="18"/>
  <c r="J8" i="20"/>
  <c r="J8" i="13"/>
  <c r="D8" i="13"/>
  <c r="I8" i="20"/>
  <c r="X7" i="20"/>
  <c r="W7" i="20"/>
  <c r="Q7" i="20"/>
  <c r="P7" i="20"/>
  <c r="J7" i="18"/>
  <c r="D7" i="18"/>
  <c r="J7" i="20"/>
  <c r="J7" i="13"/>
  <c r="I7" i="20"/>
  <c r="X6" i="20"/>
  <c r="W6" i="20"/>
  <c r="Q6" i="20"/>
  <c r="P6" i="20"/>
  <c r="J6" i="18"/>
  <c r="D6" i="18"/>
  <c r="J6" i="20"/>
  <c r="J6" i="13"/>
  <c r="I6" i="20"/>
  <c r="X5" i="20"/>
  <c r="W5" i="20"/>
  <c r="Q5" i="20"/>
  <c r="P5" i="20"/>
  <c r="J5" i="18"/>
  <c r="D5" i="18"/>
  <c r="J5" i="20"/>
  <c r="J5" i="13"/>
  <c r="I5" i="20"/>
  <c r="X4" i="20"/>
  <c r="W4" i="20"/>
  <c r="Q4" i="20"/>
  <c r="P4" i="20"/>
  <c r="J4" i="18"/>
  <c r="D4" i="18"/>
  <c r="J4" i="20"/>
  <c r="J4" i="13"/>
  <c r="I4" i="20"/>
  <c r="X3" i="20"/>
  <c r="W3" i="20"/>
  <c r="Q3" i="20"/>
  <c r="P3" i="20"/>
  <c r="J3" i="18"/>
  <c r="D3" i="18"/>
  <c r="J3" i="20"/>
  <c r="J3" i="13"/>
  <c r="I3" i="20"/>
  <c r="X2" i="20"/>
  <c r="W2" i="20"/>
  <c r="Q2" i="20"/>
  <c r="P2" i="20"/>
  <c r="J2" i="18"/>
  <c r="D2" i="18"/>
  <c r="J2" i="20"/>
  <c r="J2" i="13"/>
  <c r="D2" i="13"/>
  <c r="I2" i="20"/>
  <c r="X17" i="21"/>
  <c r="W17" i="21"/>
  <c r="Q17" i="21"/>
  <c r="P17" i="21"/>
  <c r="J17" i="15"/>
  <c r="D17" i="15"/>
  <c r="J17" i="21"/>
  <c r="J17" i="11"/>
  <c r="D17" i="11"/>
  <c r="I17" i="21"/>
  <c r="X16" i="21"/>
  <c r="W16" i="21"/>
  <c r="Q16" i="21"/>
  <c r="P16" i="21"/>
  <c r="J16" i="15"/>
  <c r="D16" i="15"/>
  <c r="J16" i="21"/>
  <c r="J16" i="11"/>
  <c r="D16" i="11"/>
  <c r="I16" i="21"/>
  <c r="X15" i="21"/>
  <c r="W15" i="21"/>
  <c r="Q15" i="21"/>
  <c r="P15" i="21"/>
  <c r="J15" i="15"/>
  <c r="D15" i="15"/>
  <c r="J15" i="21"/>
  <c r="J15" i="11"/>
  <c r="I15" i="21"/>
  <c r="X14" i="21"/>
  <c r="W14" i="21"/>
  <c r="Q14" i="21"/>
  <c r="P14" i="21"/>
  <c r="J14" i="15"/>
  <c r="D14" i="15"/>
  <c r="J14" i="21"/>
  <c r="J14" i="11"/>
  <c r="I14" i="21"/>
  <c r="X13" i="21"/>
  <c r="W13" i="21"/>
  <c r="Q13" i="21"/>
  <c r="P13" i="21"/>
  <c r="J13" i="15"/>
  <c r="D13" i="15"/>
  <c r="J13" i="21"/>
  <c r="J13" i="11"/>
  <c r="I13" i="21"/>
  <c r="X12" i="21"/>
  <c r="W12" i="21"/>
  <c r="Q12" i="21"/>
  <c r="P12" i="21"/>
  <c r="J12" i="15"/>
  <c r="D12" i="15"/>
  <c r="J12" i="21"/>
  <c r="J12" i="11"/>
  <c r="I12" i="21"/>
  <c r="X11" i="21"/>
  <c r="W11" i="21"/>
  <c r="Q11" i="21"/>
  <c r="P11" i="21"/>
  <c r="J11" i="15"/>
  <c r="D11" i="15"/>
  <c r="J11" i="21"/>
  <c r="J11" i="11"/>
  <c r="I11" i="21"/>
  <c r="X10" i="21"/>
  <c r="W10" i="21"/>
  <c r="Q10" i="21"/>
  <c r="P10" i="21"/>
  <c r="J10" i="15"/>
  <c r="D10" i="15"/>
  <c r="J10" i="21"/>
  <c r="J10" i="11"/>
  <c r="I10" i="21"/>
  <c r="X9" i="21"/>
  <c r="W9" i="21"/>
  <c r="Q9" i="21"/>
  <c r="P9" i="21"/>
  <c r="J9" i="15"/>
  <c r="D9" i="15"/>
  <c r="J9" i="21"/>
  <c r="J9" i="11"/>
  <c r="D9" i="11"/>
  <c r="I9" i="21"/>
  <c r="X8" i="21"/>
  <c r="W8" i="21"/>
  <c r="Q8" i="21"/>
  <c r="P8" i="21"/>
  <c r="J8" i="15"/>
  <c r="D8" i="15"/>
  <c r="J8" i="21"/>
  <c r="J8" i="11"/>
  <c r="D8" i="11"/>
  <c r="I8" i="21"/>
  <c r="X7" i="21"/>
  <c r="W7" i="21"/>
  <c r="Q7" i="21"/>
  <c r="P7" i="21"/>
  <c r="J7" i="15"/>
  <c r="D7" i="15"/>
  <c r="J7" i="21"/>
  <c r="J7" i="11"/>
  <c r="I7" i="21"/>
  <c r="X6" i="21"/>
  <c r="W6" i="21"/>
  <c r="Q6" i="21"/>
  <c r="P6" i="21"/>
  <c r="J6" i="15"/>
  <c r="D6" i="15"/>
  <c r="J6" i="21"/>
  <c r="J6" i="11"/>
  <c r="I6" i="21"/>
  <c r="X5" i="21"/>
  <c r="W5" i="21"/>
  <c r="Q5" i="21"/>
  <c r="P5" i="21"/>
  <c r="J5" i="15"/>
  <c r="D5" i="15"/>
  <c r="J5" i="21"/>
  <c r="J5" i="11"/>
  <c r="I5" i="21"/>
  <c r="X4" i="21"/>
  <c r="W4" i="21"/>
  <c r="Q4" i="21"/>
  <c r="P4" i="21"/>
  <c r="J4" i="15"/>
  <c r="D4" i="15"/>
  <c r="J4" i="21"/>
  <c r="J4" i="11"/>
  <c r="I4" i="21"/>
  <c r="X3" i="21"/>
  <c r="W3" i="21"/>
  <c r="Q3" i="21"/>
  <c r="P3" i="21"/>
  <c r="J3" i="15"/>
  <c r="D3" i="15"/>
  <c r="J3" i="21"/>
  <c r="J3" i="11"/>
  <c r="I3" i="21"/>
  <c r="X2" i="21"/>
  <c r="W2" i="21"/>
  <c r="Q2" i="21"/>
  <c r="P2" i="21"/>
  <c r="J2" i="15"/>
  <c r="D2" i="15"/>
  <c r="J2" i="21"/>
  <c r="J2" i="11"/>
  <c r="D2" i="11"/>
  <c r="I2" i="21"/>
  <c r="D34" i="21"/>
  <c r="I34" i="21"/>
  <c r="J34" i="21"/>
  <c r="M34" i="21"/>
  <c r="O34" i="21"/>
  <c r="N34" i="21"/>
  <c r="D33" i="21"/>
  <c r="I33" i="21"/>
  <c r="J33" i="21"/>
  <c r="M33" i="21"/>
  <c r="O33" i="21"/>
  <c r="N33" i="21"/>
  <c r="D32" i="21"/>
  <c r="I32" i="21"/>
  <c r="J32" i="21"/>
  <c r="M32" i="21"/>
  <c r="O32" i="21"/>
  <c r="N32" i="21"/>
  <c r="D31" i="21"/>
  <c r="I31" i="21"/>
  <c r="J31" i="21"/>
  <c r="M31" i="21"/>
  <c r="O31" i="21"/>
  <c r="N31" i="21"/>
  <c r="D30" i="21"/>
  <c r="I30" i="21"/>
  <c r="J30" i="21"/>
  <c r="M30" i="21"/>
  <c r="O30" i="21"/>
  <c r="N30" i="21"/>
  <c r="D29" i="21"/>
  <c r="I29" i="21"/>
  <c r="J29" i="21"/>
  <c r="M29" i="21"/>
  <c r="O29" i="21"/>
  <c r="N29" i="21"/>
  <c r="D28" i="21"/>
  <c r="I28" i="21"/>
  <c r="J28" i="21"/>
  <c r="M28" i="21"/>
  <c r="O28" i="21"/>
  <c r="N28" i="21"/>
  <c r="D27" i="21"/>
  <c r="I27" i="21"/>
  <c r="J27" i="21"/>
  <c r="M27" i="21"/>
  <c r="O27" i="21"/>
  <c r="N27" i="21"/>
  <c r="D26" i="21"/>
  <c r="I26" i="21"/>
  <c r="J26" i="21"/>
  <c r="M26" i="21"/>
  <c r="O26" i="21"/>
  <c r="N26" i="21"/>
  <c r="AG17" i="21"/>
  <c r="AE17" i="21"/>
  <c r="AF17" i="21"/>
  <c r="AI17" i="21"/>
  <c r="AK17" i="21"/>
  <c r="AH17" i="21"/>
  <c r="AJ17" i="21"/>
  <c r="K17" i="21"/>
  <c r="R17" i="21"/>
  <c r="Y17" i="21"/>
  <c r="AD17" i="21"/>
  <c r="D17" i="21"/>
  <c r="AA17" i="21"/>
  <c r="K25" i="9"/>
  <c r="AC17" i="21"/>
  <c r="I17" i="5"/>
  <c r="Z17" i="21"/>
  <c r="AB17" i="21"/>
  <c r="T17" i="21"/>
  <c r="K19" i="9"/>
  <c r="V17" i="21"/>
  <c r="S17" i="21"/>
  <c r="U17" i="21"/>
  <c r="M17" i="21"/>
  <c r="O17" i="21"/>
  <c r="L17" i="21"/>
  <c r="N17" i="21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AP10" i="4"/>
  <c r="E17" i="21"/>
  <c r="AG16" i="21"/>
  <c r="AE16" i="21"/>
  <c r="AF16" i="21"/>
  <c r="AI16" i="21"/>
  <c r="AK16" i="21"/>
  <c r="AH16" i="21"/>
  <c r="AJ16" i="21"/>
  <c r="K16" i="21"/>
  <c r="R16" i="21"/>
  <c r="Y16" i="21"/>
  <c r="AD16" i="21"/>
  <c r="D16" i="21"/>
  <c r="AA16" i="21"/>
  <c r="AC16" i="21"/>
  <c r="I16" i="5"/>
  <c r="Z16" i="21"/>
  <c r="AB16" i="21"/>
  <c r="T16" i="21"/>
  <c r="K18" i="9"/>
  <c r="V16" i="21"/>
  <c r="S16" i="21"/>
  <c r="U16" i="21"/>
  <c r="M16" i="21"/>
  <c r="O16" i="21"/>
  <c r="L16" i="21"/>
  <c r="N16" i="21"/>
  <c r="L2" i="4"/>
  <c r="L3" i="4"/>
  <c r="L4" i="4"/>
  <c r="L5" i="4"/>
  <c r="L6" i="4"/>
  <c r="L7" i="4"/>
  <c r="L8" i="4"/>
  <c r="L9" i="4"/>
  <c r="AP2" i="4"/>
  <c r="E16" i="21"/>
  <c r="AG15" i="21"/>
  <c r="AE15" i="21"/>
  <c r="AF15" i="21"/>
  <c r="AI15" i="21"/>
  <c r="AK15" i="21"/>
  <c r="AH15" i="21"/>
  <c r="AJ15" i="21"/>
  <c r="K15" i="21"/>
  <c r="R15" i="21"/>
  <c r="Y15" i="21"/>
  <c r="AD15" i="21"/>
  <c r="I15" i="5"/>
  <c r="Z15" i="21"/>
  <c r="D15" i="21"/>
  <c r="AA15" i="21"/>
  <c r="AB15" i="21"/>
  <c r="T15" i="21"/>
  <c r="K17" i="9"/>
  <c r="V15" i="21"/>
  <c r="S15" i="21"/>
  <c r="U15" i="21"/>
  <c r="M15" i="21"/>
  <c r="O15" i="21"/>
  <c r="L15" i="21"/>
  <c r="N15" i="21"/>
  <c r="V22" i="4"/>
  <c r="E15" i="21"/>
  <c r="AG14" i="21"/>
  <c r="AE14" i="21"/>
  <c r="AF14" i="21"/>
  <c r="AI14" i="21"/>
  <c r="AK14" i="21"/>
  <c r="AH14" i="21"/>
  <c r="AJ14" i="21"/>
  <c r="K14" i="21"/>
  <c r="R14" i="21"/>
  <c r="Y14" i="21"/>
  <c r="AD14" i="21"/>
  <c r="I14" i="5"/>
  <c r="Z14" i="21"/>
  <c r="D14" i="21"/>
  <c r="AA14" i="21"/>
  <c r="AB14" i="21"/>
  <c r="T14" i="21"/>
  <c r="K16" i="9"/>
  <c r="V14" i="21"/>
  <c r="S14" i="21"/>
  <c r="U14" i="21"/>
  <c r="M14" i="21"/>
  <c r="O14" i="21"/>
  <c r="L14" i="21"/>
  <c r="N14" i="21"/>
  <c r="V18" i="4"/>
  <c r="E14" i="21"/>
  <c r="AG13" i="21"/>
  <c r="AE13" i="21"/>
  <c r="AF13" i="21"/>
  <c r="AI13" i="21"/>
  <c r="AK13" i="21"/>
  <c r="AH13" i="21"/>
  <c r="AJ13" i="21"/>
  <c r="K13" i="21"/>
  <c r="R13" i="21"/>
  <c r="Y13" i="21"/>
  <c r="AD13" i="21"/>
  <c r="I13" i="5"/>
  <c r="Z13" i="21"/>
  <c r="D13" i="21"/>
  <c r="AA13" i="21"/>
  <c r="AB13" i="21"/>
  <c r="T13" i="21"/>
  <c r="K15" i="9"/>
  <c r="V13" i="21"/>
  <c r="S13" i="21"/>
  <c r="U13" i="21"/>
  <c r="M13" i="21"/>
  <c r="O13" i="21"/>
  <c r="L13" i="21"/>
  <c r="N13" i="21"/>
  <c r="V14" i="4"/>
  <c r="E13" i="21"/>
  <c r="AG12" i="21"/>
  <c r="AE12" i="21"/>
  <c r="AF12" i="21"/>
  <c r="AI12" i="21"/>
  <c r="AK12" i="21"/>
  <c r="AH12" i="21"/>
  <c r="AJ12" i="21"/>
  <c r="K12" i="21"/>
  <c r="R12" i="21"/>
  <c r="Y12" i="21"/>
  <c r="AD12" i="21"/>
  <c r="I12" i="5"/>
  <c r="Z12" i="21"/>
  <c r="D12" i="21"/>
  <c r="AA12" i="21"/>
  <c r="AB12" i="21"/>
  <c r="T12" i="21"/>
  <c r="K14" i="9"/>
  <c r="V12" i="21"/>
  <c r="S12" i="21"/>
  <c r="U12" i="21"/>
  <c r="M12" i="21"/>
  <c r="O12" i="21"/>
  <c r="L12" i="21"/>
  <c r="N12" i="21"/>
  <c r="V10" i="4"/>
  <c r="E12" i="21"/>
  <c r="AG11" i="21"/>
  <c r="AE11" i="21"/>
  <c r="AF11" i="21"/>
  <c r="AI11" i="21"/>
  <c r="AK11" i="21"/>
  <c r="AH11" i="21"/>
  <c r="AJ11" i="21"/>
  <c r="K11" i="21"/>
  <c r="R11" i="21"/>
  <c r="Y11" i="21"/>
  <c r="AD11" i="21"/>
  <c r="I11" i="5"/>
  <c r="Z11" i="21"/>
  <c r="D11" i="21"/>
  <c r="AA11" i="21"/>
  <c r="AB11" i="21"/>
  <c r="T11" i="21"/>
  <c r="K13" i="9"/>
  <c r="V11" i="21"/>
  <c r="S11" i="21"/>
  <c r="U11" i="21"/>
  <c r="M11" i="21"/>
  <c r="O11" i="21"/>
  <c r="L11" i="21"/>
  <c r="N11" i="21"/>
  <c r="V6" i="4"/>
  <c r="E11" i="21"/>
  <c r="AG10" i="21"/>
  <c r="AE10" i="21"/>
  <c r="AF10" i="21"/>
  <c r="AI10" i="21"/>
  <c r="AK10" i="21"/>
  <c r="AH10" i="21"/>
  <c r="AJ10" i="21"/>
  <c r="K10" i="21"/>
  <c r="R10" i="21"/>
  <c r="Y10" i="21"/>
  <c r="AD10" i="21"/>
  <c r="I10" i="5"/>
  <c r="Z10" i="21"/>
  <c r="D10" i="21"/>
  <c r="AA10" i="21"/>
  <c r="AB10" i="21"/>
  <c r="T10" i="21"/>
  <c r="K12" i="9"/>
  <c r="V10" i="21"/>
  <c r="S10" i="21"/>
  <c r="U10" i="21"/>
  <c r="M10" i="21"/>
  <c r="O10" i="21"/>
  <c r="L10" i="21"/>
  <c r="N10" i="21"/>
  <c r="V2" i="4"/>
  <c r="E10" i="21"/>
  <c r="AG9" i="21"/>
  <c r="AE9" i="21"/>
  <c r="AF9" i="21"/>
  <c r="AI9" i="21"/>
  <c r="AK9" i="21"/>
  <c r="AH9" i="21"/>
  <c r="AJ9" i="21"/>
  <c r="K9" i="21"/>
  <c r="R9" i="21"/>
  <c r="Y9" i="21"/>
  <c r="AD9" i="21"/>
  <c r="D9" i="21"/>
  <c r="AA9" i="21"/>
  <c r="K24" i="9"/>
  <c r="AC9" i="21"/>
  <c r="I9" i="5"/>
  <c r="Z9" i="21"/>
  <c r="AB9" i="21"/>
  <c r="T9" i="21"/>
  <c r="K11" i="9"/>
  <c r="V9" i="21"/>
  <c r="S9" i="21"/>
  <c r="U9" i="21"/>
  <c r="M9" i="21"/>
  <c r="O9" i="21"/>
  <c r="E9" i="5"/>
  <c r="L9" i="21"/>
  <c r="N9" i="21"/>
  <c r="V42" i="4"/>
  <c r="E9" i="21"/>
  <c r="AG8" i="21"/>
  <c r="AE8" i="21"/>
  <c r="AF8" i="21"/>
  <c r="AI8" i="21"/>
  <c r="AK8" i="21"/>
  <c r="AH8" i="21"/>
  <c r="AJ8" i="21"/>
  <c r="K8" i="21"/>
  <c r="R8" i="21"/>
  <c r="Y8" i="21"/>
  <c r="AD8" i="21"/>
  <c r="D8" i="21"/>
  <c r="AA8" i="21"/>
  <c r="K23" i="9"/>
  <c r="AC8" i="21"/>
  <c r="I8" i="5"/>
  <c r="Z8" i="21"/>
  <c r="AB8" i="21"/>
  <c r="T8" i="21"/>
  <c r="K10" i="9"/>
  <c r="V8" i="21"/>
  <c r="S8" i="21"/>
  <c r="U8" i="21"/>
  <c r="M8" i="21"/>
  <c r="O8" i="21"/>
  <c r="E8" i="5"/>
  <c r="L8" i="21"/>
  <c r="N8" i="21"/>
  <c r="E8" i="21"/>
  <c r="AG7" i="21"/>
  <c r="AE7" i="21"/>
  <c r="AF7" i="21"/>
  <c r="AI7" i="21"/>
  <c r="AK7" i="21"/>
  <c r="AH7" i="21"/>
  <c r="AJ7" i="21"/>
  <c r="K7" i="21"/>
  <c r="R7" i="21"/>
  <c r="Y7" i="21"/>
  <c r="AD7" i="21"/>
  <c r="I7" i="5"/>
  <c r="Z7" i="21"/>
  <c r="D7" i="21"/>
  <c r="AA7" i="21"/>
  <c r="AB7" i="21"/>
  <c r="T7" i="21"/>
  <c r="K9" i="9"/>
  <c r="V7" i="21"/>
  <c r="S7" i="21"/>
  <c r="U7" i="21"/>
  <c r="M7" i="21"/>
  <c r="O7" i="21"/>
  <c r="E7" i="5"/>
  <c r="L7" i="21"/>
  <c r="N7" i="21"/>
  <c r="E7" i="21"/>
  <c r="AG6" i="21"/>
  <c r="AE6" i="21"/>
  <c r="AF6" i="21"/>
  <c r="AI6" i="21"/>
  <c r="AK6" i="21"/>
  <c r="AH6" i="21"/>
  <c r="AJ6" i="21"/>
  <c r="K6" i="21"/>
  <c r="R6" i="21"/>
  <c r="Y6" i="21"/>
  <c r="AD6" i="21"/>
  <c r="I6" i="5"/>
  <c r="Z6" i="21"/>
  <c r="D6" i="21"/>
  <c r="AA6" i="21"/>
  <c r="AB6" i="21"/>
  <c r="T6" i="21"/>
  <c r="K8" i="9"/>
  <c r="V6" i="21"/>
  <c r="S6" i="21"/>
  <c r="U6" i="21"/>
  <c r="M6" i="21"/>
  <c r="O6" i="21"/>
  <c r="E6" i="5"/>
  <c r="L6" i="21"/>
  <c r="N6" i="21"/>
  <c r="E6" i="21"/>
  <c r="AG5" i="21"/>
  <c r="AE5" i="21"/>
  <c r="AF5" i="21"/>
  <c r="AI5" i="21"/>
  <c r="AK5" i="21"/>
  <c r="AH5" i="21"/>
  <c r="AJ5" i="21"/>
  <c r="K5" i="21"/>
  <c r="R5" i="21"/>
  <c r="Y5" i="21"/>
  <c r="AD5" i="21"/>
  <c r="I5" i="5"/>
  <c r="Z5" i="21"/>
  <c r="D5" i="21"/>
  <c r="AA5" i="21"/>
  <c r="AB5" i="21"/>
  <c r="T5" i="21"/>
  <c r="K7" i="9"/>
  <c r="V5" i="21"/>
  <c r="S5" i="21"/>
  <c r="U5" i="21"/>
  <c r="M5" i="21"/>
  <c r="O5" i="21"/>
  <c r="E5" i="5"/>
  <c r="L5" i="21"/>
  <c r="N5" i="21"/>
  <c r="E5" i="21"/>
  <c r="AG4" i="21"/>
  <c r="AE4" i="21"/>
  <c r="AF4" i="21"/>
  <c r="AI4" i="21"/>
  <c r="AK4" i="21"/>
  <c r="AH4" i="21"/>
  <c r="AJ4" i="21"/>
  <c r="K4" i="21"/>
  <c r="R4" i="21"/>
  <c r="Y4" i="21"/>
  <c r="AD4" i="21"/>
  <c r="I4" i="5"/>
  <c r="Z4" i="21"/>
  <c r="D4" i="21"/>
  <c r="AA4" i="21"/>
  <c r="AB4" i="21"/>
  <c r="T4" i="21"/>
  <c r="K6" i="9"/>
  <c r="V4" i="21"/>
  <c r="S4" i="21"/>
  <c r="U4" i="21"/>
  <c r="M4" i="21"/>
  <c r="O4" i="21"/>
  <c r="E4" i="5"/>
  <c r="L4" i="21"/>
  <c r="N4" i="21"/>
  <c r="E4" i="21"/>
  <c r="AG3" i="21"/>
  <c r="AE3" i="21"/>
  <c r="AF3" i="21"/>
  <c r="AI3" i="21"/>
  <c r="AK3" i="21"/>
  <c r="AH3" i="21"/>
  <c r="AJ3" i="21"/>
  <c r="K3" i="21"/>
  <c r="R3" i="21"/>
  <c r="Y3" i="21"/>
  <c r="AD3" i="21"/>
  <c r="I3" i="5"/>
  <c r="Z3" i="21"/>
  <c r="D3" i="21"/>
  <c r="AA3" i="21"/>
  <c r="AB3" i="21"/>
  <c r="T3" i="21"/>
  <c r="K5" i="9"/>
  <c r="V3" i="21"/>
  <c r="S3" i="21"/>
  <c r="U3" i="21"/>
  <c r="M3" i="21"/>
  <c r="O3" i="21"/>
  <c r="E3" i="5"/>
  <c r="L3" i="21"/>
  <c r="N3" i="21"/>
  <c r="E3" i="21"/>
  <c r="AG2" i="21"/>
  <c r="AE2" i="21"/>
  <c r="AF2" i="21"/>
  <c r="AI2" i="21"/>
  <c r="AK2" i="21"/>
  <c r="AH2" i="21"/>
  <c r="AJ2" i="21"/>
  <c r="K2" i="21"/>
  <c r="R2" i="21"/>
  <c r="Y2" i="21"/>
  <c r="AD2" i="21"/>
  <c r="D2" i="21"/>
  <c r="AA2" i="21"/>
  <c r="K22" i="9"/>
  <c r="AC2" i="21"/>
  <c r="Z2" i="21"/>
  <c r="AB2" i="21"/>
  <c r="T2" i="21"/>
  <c r="K4" i="9"/>
  <c r="V2" i="21"/>
  <c r="S2" i="21"/>
  <c r="U2" i="21"/>
  <c r="M2" i="21"/>
  <c r="O2" i="21"/>
  <c r="E2" i="5"/>
  <c r="L2" i="21"/>
  <c r="N2" i="21"/>
  <c r="E2" i="21"/>
  <c r="D34" i="20"/>
  <c r="I34" i="20"/>
  <c r="J34" i="20"/>
  <c r="M34" i="20"/>
  <c r="O34" i="20"/>
  <c r="N34" i="20"/>
  <c r="D33" i="20"/>
  <c r="I33" i="20"/>
  <c r="J33" i="20"/>
  <c r="M33" i="20"/>
  <c r="O33" i="20"/>
  <c r="N33" i="20"/>
  <c r="D32" i="20"/>
  <c r="I32" i="20"/>
  <c r="J32" i="20"/>
  <c r="M32" i="20"/>
  <c r="O32" i="20"/>
  <c r="N32" i="20"/>
  <c r="D31" i="20"/>
  <c r="I31" i="20"/>
  <c r="J31" i="20"/>
  <c r="M31" i="20"/>
  <c r="O31" i="20"/>
  <c r="N31" i="20"/>
  <c r="D30" i="20"/>
  <c r="I30" i="20"/>
  <c r="J30" i="20"/>
  <c r="M30" i="20"/>
  <c r="O30" i="20"/>
  <c r="N30" i="20"/>
  <c r="D29" i="20"/>
  <c r="I29" i="20"/>
  <c r="J29" i="20"/>
  <c r="M29" i="20"/>
  <c r="O29" i="20"/>
  <c r="N29" i="20"/>
  <c r="D28" i="20"/>
  <c r="I28" i="20"/>
  <c r="J28" i="20"/>
  <c r="M28" i="20"/>
  <c r="O28" i="20"/>
  <c r="N28" i="20"/>
  <c r="D27" i="20"/>
  <c r="I27" i="20"/>
  <c r="J27" i="20"/>
  <c r="M27" i="20"/>
  <c r="O27" i="20"/>
  <c r="N27" i="20"/>
  <c r="D26" i="20"/>
  <c r="I26" i="20"/>
  <c r="J26" i="20"/>
  <c r="M26" i="20"/>
  <c r="O26" i="20"/>
  <c r="N26" i="20"/>
  <c r="AG17" i="20"/>
  <c r="AE17" i="20"/>
  <c r="AF17" i="20"/>
  <c r="AI17" i="20"/>
  <c r="AK17" i="20"/>
  <c r="AH17" i="20"/>
  <c r="AJ17" i="20"/>
  <c r="K17" i="20"/>
  <c r="R17" i="20"/>
  <c r="Y17" i="20"/>
  <c r="AD17" i="20"/>
  <c r="D17" i="20"/>
  <c r="AA17" i="20"/>
  <c r="AC17" i="20"/>
  <c r="Z17" i="20"/>
  <c r="AB17" i="20"/>
  <c r="T17" i="20"/>
  <c r="V17" i="20"/>
  <c r="S17" i="20"/>
  <c r="U17" i="20"/>
  <c r="M17" i="20"/>
  <c r="O17" i="20"/>
  <c r="L17" i="20"/>
  <c r="N17" i="20"/>
  <c r="E17" i="20"/>
  <c r="AG16" i="20"/>
  <c r="AE16" i="20"/>
  <c r="AF16" i="20"/>
  <c r="AI16" i="20"/>
  <c r="AK16" i="20"/>
  <c r="AH16" i="20"/>
  <c r="AJ16" i="20"/>
  <c r="K16" i="20"/>
  <c r="R16" i="20"/>
  <c r="Y16" i="20"/>
  <c r="AD16" i="20"/>
  <c r="D16" i="20"/>
  <c r="AA16" i="20"/>
  <c r="AC16" i="20"/>
  <c r="Z16" i="20"/>
  <c r="AB16" i="20"/>
  <c r="T16" i="20"/>
  <c r="V16" i="20"/>
  <c r="S16" i="20"/>
  <c r="U16" i="20"/>
  <c r="M16" i="20"/>
  <c r="O16" i="20"/>
  <c r="L16" i="20"/>
  <c r="N16" i="20"/>
  <c r="E16" i="20"/>
  <c r="AG15" i="20"/>
  <c r="AE15" i="20"/>
  <c r="AF15" i="20"/>
  <c r="AI15" i="20"/>
  <c r="AK15" i="20"/>
  <c r="AH15" i="20"/>
  <c r="AJ15" i="20"/>
  <c r="K15" i="20"/>
  <c r="R15" i="20"/>
  <c r="Y15" i="20"/>
  <c r="AD15" i="20"/>
  <c r="Z15" i="20"/>
  <c r="D15" i="20"/>
  <c r="AA15" i="20"/>
  <c r="AB15" i="20"/>
  <c r="T15" i="20"/>
  <c r="V15" i="20"/>
  <c r="S15" i="20"/>
  <c r="U15" i="20"/>
  <c r="M15" i="20"/>
  <c r="O15" i="20"/>
  <c r="L15" i="20"/>
  <c r="N15" i="20"/>
  <c r="E15" i="20"/>
  <c r="AG14" i="20"/>
  <c r="AE14" i="20"/>
  <c r="AF14" i="20"/>
  <c r="AI14" i="20"/>
  <c r="AK14" i="20"/>
  <c r="AH14" i="20"/>
  <c r="AJ14" i="20"/>
  <c r="K14" i="20"/>
  <c r="R14" i="20"/>
  <c r="Y14" i="20"/>
  <c r="AD14" i="20"/>
  <c r="Z14" i="20"/>
  <c r="D14" i="20"/>
  <c r="AA14" i="20"/>
  <c r="AB14" i="20"/>
  <c r="T14" i="20"/>
  <c r="V14" i="20"/>
  <c r="S14" i="20"/>
  <c r="U14" i="20"/>
  <c r="M14" i="20"/>
  <c r="O14" i="20"/>
  <c r="L14" i="20"/>
  <c r="N14" i="20"/>
  <c r="E14" i="20"/>
  <c r="AG13" i="20"/>
  <c r="AE13" i="20"/>
  <c r="AF13" i="20"/>
  <c r="AI13" i="20"/>
  <c r="AK13" i="20"/>
  <c r="AH13" i="20"/>
  <c r="AJ13" i="20"/>
  <c r="K13" i="20"/>
  <c r="R13" i="20"/>
  <c r="Y13" i="20"/>
  <c r="AD13" i="20"/>
  <c r="Z13" i="20"/>
  <c r="D13" i="20"/>
  <c r="AA13" i="20"/>
  <c r="AB13" i="20"/>
  <c r="T13" i="20"/>
  <c r="V13" i="20"/>
  <c r="S13" i="20"/>
  <c r="U13" i="20"/>
  <c r="M13" i="20"/>
  <c r="O13" i="20"/>
  <c r="L13" i="20"/>
  <c r="N13" i="20"/>
  <c r="E13" i="20"/>
  <c r="AG12" i="20"/>
  <c r="AE12" i="20"/>
  <c r="AF12" i="20"/>
  <c r="AI12" i="20"/>
  <c r="AK12" i="20"/>
  <c r="AH12" i="20"/>
  <c r="AJ12" i="20"/>
  <c r="K12" i="20"/>
  <c r="R12" i="20"/>
  <c r="Y12" i="20"/>
  <c r="AD12" i="20"/>
  <c r="Z12" i="20"/>
  <c r="D12" i="20"/>
  <c r="AA12" i="20"/>
  <c r="AB12" i="20"/>
  <c r="T12" i="20"/>
  <c r="V12" i="20"/>
  <c r="S12" i="20"/>
  <c r="U12" i="20"/>
  <c r="M12" i="20"/>
  <c r="O12" i="20"/>
  <c r="L12" i="20"/>
  <c r="N12" i="20"/>
  <c r="E12" i="20"/>
  <c r="AG11" i="20"/>
  <c r="AE11" i="20"/>
  <c r="AF11" i="20"/>
  <c r="AI11" i="20"/>
  <c r="AK11" i="20"/>
  <c r="AH11" i="20"/>
  <c r="AJ11" i="20"/>
  <c r="K11" i="20"/>
  <c r="R11" i="20"/>
  <c r="Y11" i="20"/>
  <c r="AD11" i="20"/>
  <c r="Z11" i="20"/>
  <c r="D11" i="20"/>
  <c r="AA11" i="20"/>
  <c r="AB11" i="20"/>
  <c r="T11" i="20"/>
  <c r="V11" i="20"/>
  <c r="S11" i="20"/>
  <c r="U11" i="20"/>
  <c r="M11" i="20"/>
  <c r="O11" i="20"/>
  <c r="L11" i="20"/>
  <c r="N11" i="20"/>
  <c r="E11" i="20"/>
  <c r="AG10" i="20"/>
  <c r="AE10" i="20"/>
  <c r="AF10" i="20"/>
  <c r="AI10" i="20"/>
  <c r="AK10" i="20"/>
  <c r="AH10" i="20"/>
  <c r="AJ10" i="20"/>
  <c r="K10" i="20"/>
  <c r="R10" i="20"/>
  <c r="Y10" i="20"/>
  <c r="AD10" i="20"/>
  <c r="Z10" i="20"/>
  <c r="D10" i="20"/>
  <c r="AA10" i="20"/>
  <c r="AB10" i="20"/>
  <c r="T10" i="20"/>
  <c r="V10" i="20"/>
  <c r="S10" i="20"/>
  <c r="U10" i="20"/>
  <c r="M10" i="20"/>
  <c r="O10" i="20"/>
  <c r="L10" i="20"/>
  <c r="N10" i="20"/>
  <c r="E10" i="20"/>
  <c r="AG9" i="20"/>
  <c r="AE9" i="20"/>
  <c r="AF9" i="20"/>
  <c r="AI9" i="20"/>
  <c r="AK9" i="20"/>
  <c r="AH9" i="20"/>
  <c r="AJ9" i="20"/>
  <c r="K9" i="20"/>
  <c r="R9" i="20"/>
  <c r="Y9" i="20"/>
  <c r="AD9" i="20"/>
  <c r="D9" i="20"/>
  <c r="AA9" i="20"/>
  <c r="AC9" i="20"/>
  <c r="Z9" i="20"/>
  <c r="AB9" i="20"/>
  <c r="T9" i="20"/>
  <c r="V9" i="20"/>
  <c r="S9" i="20"/>
  <c r="U9" i="20"/>
  <c r="M9" i="20"/>
  <c r="O9" i="20"/>
  <c r="L9" i="20"/>
  <c r="N9" i="20"/>
  <c r="E9" i="20"/>
  <c r="AG8" i="20"/>
  <c r="AE8" i="20"/>
  <c r="AF8" i="20"/>
  <c r="AI8" i="20"/>
  <c r="AK8" i="20"/>
  <c r="AH8" i="20"/>
  <c r="AJ8" i="20"/>
  <c r="K8" i="20"/>
  <c r="R8" i="20"/>
  <c r="Y8" i="20"/>
  <c r="AD8" i="20"/>
  <c r="D8" i="20"/>
  <c r="AA8" i="20"/>
  <c r="AC8" i="20"/>
  <c r="Z8" i="20"/>
  <c r="AB8" i="20"/>
  <c r="T8" i="20"/>
  <c r="V8" i="20"/>
  <c r="S8" i="20"/>
  <c r="U8" i="20"/>
  <c r="M8" i="20"/>
  <c r="O8" i="20"/>
  <c r="L8" i="20"/>
  <c r="N8" i="20"/>
  <c r="E8" i="20"/>
  <c r="AG7" i="20"/>
  <c r="AE7" i="20"/>
  <c r="AF7" i="20"/>
  <c r="AI7" i="20"/>
  <c r="AK7" i="20"/>
  <c r="AH7" i="20"/>
  <c r="AJ7" i="20"/>
  <c r="K7" i="20"/>
  <c r="R7" i="20"/>
  <c r="Y7" i="20"/>
  <c r="AD7" i="20"/>
  <c r="Z7" i="20"/>
  <c r="D7" i="20"/>
  <c r="AA7" i="20"/>
  <c r="AB7" i="20"/>
  <c r="T7" i="20"/>
  <c r="V7" i="20"/>
  <c r="S7" i="20"/>
  <c r="U7" i="20"/>
  <c r="M7" i="20"/>
  <c r="O7" i="20"/>
  <c r="L7" i="20"/>
  <c r="N7" i="20"/>
  <c r="E7" i="20"/>
  <c r="AG6" i="20"/>
  <c r="AE6" i="20"/>
  <c r="AF6" i="20"/>
  <c r="AI6" i="20"/>
  <c r="AK6" i="20"/>
  <c r="AH6" i="20"/>
  <c r="AJ6" i="20"/>
  <c r="K6" i="20"/>
  <c r="R6" i="20"/>
  <c r="Y6" i="20"/>
  <c r="AD6" i="20"/>
  <c r="Z6" i="20"/>
  <c r="D6" i="20"/>
  <c r="AA6" i="20"/>
  <c r="AB6" i="20"/>
  <c r="T6" i="20"/>
  <c r="V6" i="20"/>
  <c r="S6" i="20"/>
  <c r="U6" i="20"/>
  <c r="M6" i="20"/>
  <c r="O6" i="20"/>
  <c r="L6" i="20"/>
  <c r="N6" i="20"/>
  <c r="E6" i="20"/>
  <c r="AG5" i="20"/>
  <c r="AE5" i="20"/>
  <c r="AF5" i="20"/>
  <c r="AI5" i="20"/>
  <c r="AK5" i="20"/>
  <c r="AH5" i="20"/>
  <c r="AJ5" i="20"/>
  <c r="K5" i="20"/>
  <c r="R5" i="20"/>
  <c r="Y5" i="20"/>
  <c r="AD5" i="20"/>
  <c r="Z5" i="20"/>
  <c r="D5" i="20"/>
  <c r="AA5" i="20"/>
  <c r="AB5" i="20"/>
  <c r="T5" i="20"/>
  <c r="V5" i="20"/>
  <c r="S5" i="20"/>
  <c r="U5" i="20"/>
  <c r="M5" i="20"/>
  <c r="O5" i="20"/>
  <c r="L5" i="20"/>
  <c r="N5" i="20"/>
  <c r="E5" i="20"/>
  <c r="AG4" i="20"/>
  <c r="AE4" i="20"/>
  <c r="AF4" i="20"/>
  <c r="AI4" i="20"/>
  <c r="AK4" i="20"/>
  <c r="AH4" i="20"/>
  <c r="AJ4" i="20"/>
  <c r="K4" i="20"/>
  <c r="R4" i="20"/>
  <c r="Y4" i="20"/>
  <c r="AD4" i="20"/>
  <c r="Z4" i="20"/>
  <c r="D4" i="20"/>
  <c r="AA4" i="20"/>
  <c r="AB4" i="20"/>
  <c r="T4" i="20"/>
  <c r="V4" i="20"/>
  <c r="S4" i="20"/>
  <c r="U4" i="20"/>
  <c r="M4" i="20"/>
  <c r="O4" i="20"/>
  <c r="L4" i="20"/>
  <c r="N4" i="20"/>
  <c r="E4" i="20"/>
  <c r="AG3" i="20"/>
  <c r="AE3" i="20"/>
  <c r="AF3" i="20"/>
  <c r="AI3" i="20"/>
  <c r="AK3" i="20"/>
  <c r="AH3" i="20"/>
  <c r="AJ3" i="20"/>
  <c r="K3" i="20"/>
  <c r="R3" i="20"/>
  <c r="Y3" i="20"/>
  <c r="AD3" i="20"/>
  <c r="Z3" i="20"/>
  <c r="D3" i="20"/>
  <c r="AA3" i="20"/>
  <c r="AB3" i="20"/>
  <c r="T3" i="20"/>
  <c r="V3" i="20"/>
  <c r="S3" i="20"/>
  <c r="U3" i="20"/>
  <c r="M3" i="20"/>
  <c r="O3" i="20"/>
  <c r="L3" i="20"/>
  <c r="N3" i="20"/>
  <c r="E3" i="20"/>
  <c r="AG2" i="20"/>
  <c r="AE2" i="20"/>
  <c r="AF2" i="20"/>
  <c r="AI2" i="20"/>
  <c r="AK2" i="20"/>
  <c r="AH2" i="20"/>
  <c r="AJ2" i="20"/>
  <c r="K2" i="20"/>
  <c r="R2" i="20"/>
  <c r="Y2" i="20"/>
  <c r="AD2" i="20"/>
  <c r="D2" i="20"/>
  <c r="AA2" i="20"/>
  <c r="AC2" i="20"/>
  <c r="Z2" i="20"/>
  <c r="AB2" i="20"/>
  <c r="T2" i="20"/>
  <c r="V2" i="20"/>
  <c r="S2" i="20"/>
  <c r="U2" i="20"/>
  <c r="M2" i="20"/>
  <c r="O2" i="20"/>
  <c r="L2" i="20"/>
  <c r="N2" i="20"/>
  <c r="E2" i="20"/>
  <c r="X17" i="14"/>
  <c r="X16" i="14"/>
  <c r="X15" i="14"/>
  <c r="X14" i="14"/>
  <c r="X13" i="14"/>
  <c r="X12" i="14"/>
  <c r="X11" i="14"/>
  <c r="X10" i="14"/>
  <c r="X9" i="14"/>
  <c r="X8" i="14"/>
  <c r="X7" i="14"/>
  <c r="X6" i="14"/>
  <c r="X5" i="14"/>
  <c r="X4" i="14"/>
  <c r="X3" i="14"/>
  <c r="X2" i="14"/>
  <c r="D34" i="19"/>
  <c r="I34" i="19"/>
  <c r="J34" i="19"/>
  <c r="M34" i="19"/>
  <c r="O34" i="19"/>
  <c r="N34" i="19"/>
  <c r="D33" i="19"/>
  <c r="I33" i="19"/>
  <c r="J33" i="19"/>
  <c r="M33" i="19"/>
  <c r="O33" i="19"/>
  <c r="N33" i="19"/>
  <c r="D32" i="19"/>
  <c r="I32" i="19"/>
  <c r="J32" i="19"/>
  <c r="M32" i="19"/>
  <c r="O32" i="19"/>
  <c r="N32" i="19"/>
  <c r="D31" i="19"/>
  <c r="I31" i="19"/>
  <c r="J31" i="19"/>
  <c r="M31" i="19"/>
  <c r="O31" i="19"/>
  <c r="N31" i="19"/>
  <c r="D30" i="19"/>
  <c r="I30" i="19"/>
  <c r="J30" i="19"/>
  <c r="M30" i="19"/>
  <c r="O30" i="19"/>
  <c r="N30" i="19"/>
  <c r="D29" i="19"/>
  <c r="I29" i="19"/>
  <c r="J29" i="19"/>
  <c r="M29" i="19"/>
  <c r="O29" i="19"/>
  <c r="N29" i="19"/>
  <c r="D28" i="19"/>
  <c r="I28" i="19"/>
  <c r="J28" i="19"/>
  <c r="M28" i="19"/>
  <c r="O28" i="19"/>
  <c r="N28" i="19"/>
  <c r="D27" i="19"/>
  <c r="I27" i="19"/>
  <c r="J27" i="19"/>
  <c r="M27" i="19"/>
  <c r="O27" i="19"/>
  <c r="N27" i="19"/>
  <c r="D26" i="19"/>
  <c r="I26" i="19"/>
  <c r="J26" i="19"/>
  <c r="M26" i="19"/>
  <c r="O26" i="19"/>
  <c r="N26" i="19"/>
  <c r="AG17" i="19"/>
  <c r="AE17" i="19"/>
  <c r="AF17" i="19"/>
  <c r="AI17" i="19"/>
  <c r="AK17" i="19"/>
  <c r="AH17" i="19"/>
  <c r="AJ17" i="19"/>
  <c r="K17" i="19"/>
  <c r="R17" i="19"/>
  <c r="Y17" i="19"/>
  <c r="AD17" i="19"/>
  <c r="D17" i="19"/>
  <c r="AA17" i="19"/>
  <c r="AC17" i="19"/>
  <c r="Z17" i="19"/>
  <c r="AB17" i="19"/>
  <c r="T17" i="19"/>
  <c r="V17" i="19"/>
  <c r="S17" i="19"/>
  <c r="U17" i="19"/>
  <c r="M17" i="19"/>
  <c r="O17" i="19"/>
  <c r="L17" i="19"/>
  <c r="N17" i="19"/>
  <c r="E17" i="19"/>
  <c r="AG16" i="19"/>
  <c r="AE16" i="19"/>
  <c r="AF16" i="19"/>
  <c r="AI16" i="19"/>
  <c r="AK16" i="19"/>
  <c r="AH16" i="19"/>
  <c r="AJ16" i="19"/>
  <c r="K16" i="19"/>
  <c r="R16" i="19"/>
  <c r="Y16" i="19"/>
  <c r="AD16" i="19"/>
  <c r="D16" i="19"/>
  <c r="AA16" i="19"/>
  <c r="AC16" i="19"/>
  <c r="Z16" i="19"/>
  <c r="AB16" i="19"/>
  <c r="T16" i="19"/>
  <c r="V16" i="19"/>
  <c r="S16" i="19"/>
  <c r="U16" i="19"/>
  <c r="M16" i="19"/>
  <c r="O16" i="19"/>
  <c r="L16" i="19"/>
  <c r="N16" i="19"/>
  <c r="E16" i="19"/>
  <c r="AG15" i="19"/>
  <c r="AE15" i="19"/>
  <c r="AF15" i="19"/>
  <c r="AI15" i="19"/>
  <c r="AK15" i="19"/>
  <c r="AH15" i="19"/>
  <c r="AJ15" i="19"/>
  <c r="K15" i="19"/>
  <c r="R15" i="19"/>
  <c r="Y15" i="19"/>
  <c r="AD15" i="19"/>
  <c r="Z15" i="19"/>
  <c r="D15" i="19"/>
  <c r="AA15" i="19"/>
  <c r="AB15" i="19"/>
  <c r="T15" i="19"/>
  <c r="V15" i="19"/>
  <c r="S15" i="19"/>
  <c r="U15" i="19"/>
  <c r="M15" i="19"/>
  <c r="O15" i="19"/>
  <c r="L15" i="19"/>
  <c r="N15" i="19"/>
  <c r="E15" i="19"/>
  <c r="AG14" i="19"/>
  <c r="AE14" i="19"/>
  <c r="AF14" i="19"/>
  <c r="AI14" i="19"/>
  <c r="AK14" i="19"/>
  <c r="AH14" i="19"/>
  <c r="AJ14" i="19"/>
  <c r="K14" i="19"/>
  <c r="R14" i="19"/>
  <c r="Y14" i="19"/>
  <c r="AD14" i="19"/>
  <c r="Z14" i="19"/>
  <c r="D14" i="19"/>
  <c r="AA14" i="19"/>
  <c r="AB14" i="19"/>
  <c r="T14" i="19"/>
  <c r="V14" i="19"/>
  <c r="S14" i="19"/>
  <c r="U14" i="19"/>
  <c r="M14" i="19"/>
  <c r="O14" i="19"/>
  <c r="L14" i="19"/>
  <c r="N14" i="19"/>
  <c r="E14" i="19"/>
  <c r="AG13" i="19"/>
  <c r="AE13" i="19"/>
  <c r="AF13" i="19"/>
  <c r="AI13" i="19"/>
  <c r="AK13" i="19"/>
  <c r="AH13" i="19"/>
  <c r="AJ13" i="19"/>
  <c r="K13" i="19"/>
  <c r="R13" i="19"/>
  <c r="Y13" i="19"/>
  <c r="AD13" i="19"/>
  <c r="Z13" i="19"/>
  <c r="D13" i="19"/>
  <c r="AA13" i="19"/>
  <c r="AB13" i="19"/>
  <c r="T13" i="19"/>
  <c r="V13" i="19"/>
  <c r="S13" i="19"/>
  <c r="U13" i="19"/>
  <c r="M13" i="19"/>
  <c r="O13" i="19"/>
  <c r="L13" i="19"/>
  <c r="N13" i="19"/>
  <c r="E13" i="19"/>
  <c r="AG12" i="19"/>
  <c r="AE12" i="19"/>
  <c r="AF12" i="19"/>
  <c r="AI12" i="19"/>
  <c r="AK12" i="19"/>
  <c r="AH12" i="19"/>
  <c r="AJ12" i="19"/>
  <c r="K12" i="19"/>
  <c r="R12" i="19"/>
  <c r="Y12" i="19"/>
  <c r="AD12" i="19"/>
  <c r="Z12" i="19"/>
  <c r="D12" i="19"/>
  <c r="AA12" i="19"/>
  <c r="AB12" i="19"/>
  <c r="T12" i="19"/>
  <c r="V12" i="19"/>
  <c r="S12" i="19"/>
  <c r="U12" i="19"/>
  <c r="M12" i="19"/>
  <c r="O12" i="19"/>
  <c r="L12" i="19"/>
  <c r="N12" i="19"/>
  <c r="E12" i="19"/>
  <c r="AG11" i="19"/>
  <c r="AE11" i="19"/>
  <c r="AF11" i="19"/>
  <c r="AI11" i="19"/>
  <c r="AK11" i="19"/>
  <c r="AH11" i="19"/>
  <c r="AJ11" i="19"/>
  <c r="K11" i="19"/>
  <c r="R11" i="19"/>
  <c r="Y11" i="19"/>
  <c r="AD11" i="19"/>
  <c r="Z11" i="19"/>
  <c r="D11" i="19"/>
  <c r="AA11" i="19"/>
  <c r="AB11" i="19"/>
  <c r="T11" i="19"/>
  <c r="V11" i="19"/>
  <c r="S11" i="19"/>
  <c r="U11" i="19"/>
  <c r="M11" i="19"/>
  <c r="O11" i="19"/>
  <c r="L11" i="19"/>
  <c r="N11" i="19"/>
  <c r="E11" i="19"/>
  <c r="AG10" i="19"/>
  <c r="AE10" i="19"/>
  <c r="AF10" i="19"/>
  <c r="AI10" i="19"/>
  <c r="AK10" i="19"/>
  <c r="AH10" i="19"/>
  <c r="AJ10" i="19"/>
  <c r="K10" i="19"/>
  <c r="R10" i="19"/>
  <c r="Y10" i="19"/>
  <c r="AD10" i="19"/>
  <c r="Z10" i="19"/>
  <c r="D10" i="19"/>
  <c r="AA10" i="19"/>
  <c r="AB10" i="19"/>
  <c r="T10" i="19"/>
  <c r="V10" i="19"/>
  <c r="S10" i="19"/>
  <c r="U10" i="19"/>
  <c r="M10" i="19"/>
  <c r="O10" i="19"/>
  <c r="L10" i="19"/>
  <c r="N10" i="19"/>
  <c r="E10" i="19"/>
  <c r="AG9" i="19"/>
  <c r="AE9" i="19"/>
  <c r="AF9" i="19"/>
  <c r="AI9" i="19"/>
  <c r="AK9" i="19"/>
  <c r="AH9" i="19"/>
  <c r="AJ9" i="19"/>
  <c r="K9" i="19"/>
  <c r="R9" i="19"/>
  <c r="Y9" i="19"/>
  <c r="AD9" i="19"/>
  <c r="D9" i="19"/>
  <c r="AA9" i="19"/>
  <c r="AC9" i="19"/>
  <c r="Z9" i="19"/>
  <c r="AB9" i="19"/>
  <c r="T9" i="19"/>
  <c r="V9" i="19"/>
  <c r="S9" i="19"/>
  <c r="U9" i="19"/>
  <c r="M9" i="19"/>
  <c r="O9" i="19"/>
  <c r="L9" i="19"/>
  <c r="N9" i="19"/>
  <c r="E9" i="19"/>
  <c r="AG8" i="19"/>
  <c r="AE8" i="19"/>
  <c r="AF8" i="19"/>
  <c r="AI8" i="19"/>
  <c r="AK8" i="19"/>
  <c r="AH8" i="19"/>
  <c r="AJ8" i="19"/>
  <c r="K8" i="19"/>
  <c r="R8" i="19"/>
  <c r="Y8" i="19"/>
  <c r="AD8" i="19"/>
  <c r="D8" i="19"/>
  <c r="AA8" i="19"/>
  <c r="AC8" i="19"/>
  <c r="Z8" i="19"/>
  <c r="AB8" i="19"/>
  <c r="T8" i="19"/>
  <c r="V8" i="19"/>
  <c r="S8" i="19"/>
  <c r="U8" i="19"/>
  <c r="M8" i="19"/>
  <c r="O8" i="19"/>
  <c r="L8" i="19"/>
  <c r="N8" i="19"/>
  <c r="E8" i="19"/>
  <c r="AG7" i="19"/>
  <c r="AE7" i="19"/>
  <c r="AF7" i="19"/>
  <c r="AI7" i="19"/>
  <c r="AK7" i="19"/>
  <c r="AH7" i="19"/>
  <c r="AJ7" i="19"/>
  <c r="K7" i="19"/>
  <c r="R7" i="19"/>
  <c r="Y7" i="19"/>
  <c r="AD7" i="19"/>
  <c r="Z7" i="19"/>
  <c r="D7" i="19"/>
  <c r="AA7" i="19"/>
  <c r="AB7" i="19"/>
  <c r="T7" i="19"/>
  <c r="V7" i="19"/>
  <c r="S7" i="19"/>
  <c r="U7" i="19"/>
  <c r="M7" i="19"/>
  <c r="O7" i="19"/>
  <c r="L7" i="19"/>
  <c r="N7" i="19"/>
  <c r="E7" i="19"/>
  <c r="AG6" i="19"/>
  <c r="AE6" i="19"/>
  <c r="AF6" i="19"/>
  <c r="AI6" i="19"/>
  <c r="AK6" i="19"/>
  <c r="AH6" i="19"/>
  <c r="AJ6" i="19"/>
  <c r="K6" i="19"/>
  <c r="R6" i="19"/>
  <c r="Y6" i="19"/>
  <c r="AD6" i="19"/>
  <c r="Z6" i="19"/>
  <c r="D6" i="19"/>
  <c r="AA6" i="19"/>
  <c r="AB6" i="19"/>
  <c r="T6" i="19"/>
  <c r="V6" i="19"/>
  <c r="S6" i="19"/>
  <c r="U6" i="19"/>
  <c r="M6" i="19"/>
  <c r="O6" i="19"/>
  <c r="L6" i="19"/>
  <c r="N6" i="19"/>
  <c r="E6" i="19"/>
  <c r="AG5" i="19"/>
  <c r="AE5" i="19"/>
  <c r="AF5" i="19"/>
  <c r="AI5" i="19"/>
  <c r="AK5" i="19"/>
  <c r="AH5" i="19"/>
  <c r="AJ5" i="19"/>
  <c r="K5" i="19"/>
  <c r="R5" i="19"/>
  <c r="Y5" i="19"/>
  <c r="AD5" i="19"/>
  <c r="Z5" i="19"/>
  <c r="D5" i="19"/>
  <c r="AA5" i="19"/>
  <c r="AB5" i="19"/>
  <c r="T5" i="19"/>
  <c r="V5" i="19"/>
  <c r="S5" i="19"/>
  <c r="U5" i="19"/>
  <c r="M5" i="19"/>
  <c r="O5" i="19"/>
  <c r="L5" i="19"/>
  <c r="N5" i="19"/>
  <c r="E5" i="19"/>
  <c r="AG4" i="19"/>
  <c r="AE4" i="19"/>
  <c r="AF4" i="19"/>
  <c r="AI4" i="19"/>
  <c r="AK4" i="19"/>
  <c r="AH4" i="19"/>
  <c r="AJ4" i="19"/>
  <c r="K4" i="19"/>
  <c r="R4" i="19"/>
  <c r="Y4" i="19"/>
  <c r="AD4" i="19"/>
  <c r="Z4" i="19"/>
  <c r="D4" i="19"/>
  <c r="AA4" i="19"/>
  <c r="AB4" i="19"/>
  <c r="T4" i="19"/>
  <c r="V4" i="19"/>
  <c r="S4" i="19"/>
  <c r="U4" i="19"/>
  <c r="M4" i="19"/>
  <c r="O4" i="19"/>
  <c r="L4" i="19"/>
  <c r="N4" i="19"/>
  <c r="E4" i="19"/>
  <c r="AG3" i="19"/>
  <c r="AE3" i="19"/>
  <c r="AF3" i="19"/>
  <c r="AI3" i="19"/>
  <c r="AK3" i="19"/>
  <c r="AH3" i="19"/>
  <c r="AJ3" i="19"/>
  <c r="K3" i="19"/>
  <c r="R3" i="19"/>
  <c r="Y3" i="19"/>
  <c r="AD3" i="19"/>
  <c r="Z3" i="19"/>
  <c r="D3" i="19"/>
  <c r="AA3" i="19"/>
  <c r="AB3" i="19"/>
  <c r="T3" i="19"/>
  <c r="V3" i="19"/>
  <c r="S3" i="19"/>
  <c r="U3" i="19"/>
  <c r="M3" i="19"/>
  <c r="O3" i="19"/>
  <c r="L3" i="19"/>
  <c r="N3" i="19"/>
  <c r="E3" i="19"/>
  <c r="AG2" i="19"/>
  <c r="AE2" i="19"/>
  <c r="AF2" i="19"/>
  <c r="AI2" i="19"/>
  <c r="AK2" i="19"/>
  <c r="AH2" i="19"/>
  <c r="AJ2" i="19"/>
  <c r="K2" i="19"/>
  <c r="R2" i="19"/>
  <c r="Y2" i="19"/>
  <c r="AD2" i="19"/>
  <c r="D2" i="19"/>
  <c r="AA2" i="19"/>
  <c r="AC2" i="19"/>
  <c r="Z2" i="19"/>
  <c r="AB2" i="19"/>
  <c r="T2" i="19"/>
  <c r="V2" i="19"/>
  <c r="S2" i="19"/>
  <c r="U2" i="19"/>
  <c r="M2" i="19"/>
  <c r="O2" i="19"/>
  <c r="L2" i="19"/>
  <c r="N2" i="19"/>
  <c r="E2" i="19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2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P3" i="14"/>
  <c r="P2" i="14"/>
  <c r="J17" i="16"/>
  <c r="D17" i="16"/>
  <c r="J17" i="14"/>
  <c r="J16" i="16"/>
  <c r="D16" i="16"/>
  <c r="J16" i="14"/>
  <c r="J15" i="16"/>
  <c r="D15" i="16"/>
  <c r="J15" i="14"/>
  <c r="J14" i="16"/>
  <c r="D14" i="16"/>
  <c r="J14" i="14"/>
  <c r="J13" i="16"/>
  <c r="D13" i="16"/>
  <c r="J13" i="14"/>
  <c r="J12" i="16"/>
  <c r="D12" i="16"/>
  <c r="J12" i="14"/>
  <c r="J11" i="16"/>
  <c r="D11" i="16"/>
  <c r="J11" i="14"/>
  <c r="J10" i="16"/>
  <c r="D10" i="16"/>
  <c r="J10" i="14"/>
  <c r="J9" i="16"/>
  <c r="D9" i="16"/>
  <c r="J9" i="14"/>
  <c r="J8" i="16"/>
  <c r="D8" i="16"/>
  <c r="J8" i="14"/>
  <c r="J7" i="16"/>
  <c r="D7" i="16"/>
  <c r="J7" i="14"/>
  <c r="J6" i="16"/>
  <c r="D6" i="16"/>
  <c r="J6" i="14"/>
  <c r="J5" i="16"/>
  <c r="D5" i="16"/>
  <c r="J5" i="14"/>
  <c r="J4" i="16"/>
  <c r="D4" i="16"/>
  <c r="J4" i="14"/>
  <c r="J3" i="16"/>
  <c r="D3" i="16"/>
  <c r="J3" i="14"/>
  <c r="J2" i="16"/>
  <c r="D2" i="16"/>
  <c r="J2" i="14"/>
  <c r="J17" i="10"/>
  <c r="D17" i="10"/>
  <c r="I17" i="14"/>
  <c r="J16" i="10"/>
  <c r="D16" i="10"/>
  <c r="I16" i="14"/>
  <c r="J15" i="10"/>
  <c r="I15" i="14"/>
  <c r="J14" i="10"/>
  <c r="I14" i="14"/>
  <c r="J13" i="10"/>
  <c r="I13" i="14"/>
  <c r="J12" i="10"/>
  <c r="I12" i="14"/>
  <c r="J11" i="10"/>
  <c r="I11" i="14"/>
  <c r="J10" i="10"/>
  <c r="I10" i="14"/>
  <c r="J9" i="10"/>
  <c r="D9" i="10"/>
  <c r="I9" i="14"/>
  <c r="J8" i="10"/>
  <c r="D8" i="10"/>
  <c r="I8" i="14"/>
  <c r="J7" i="10"/>
  <c r="I7" i="14"/>
  <c r="J6" i="10"/>
  <c r="I6" i="14"/>
  <c r="J5" i="10"/>
  <c r="I5" i="14"/>
  <c r="J4" i="10"/>
  <c r="I4" i="14"/>
  <c r="J3" i="10"/>
  <c r="I3" i="14"/>
  <c r="J2" i="10"/>
  <c r="D2" i="10"/>
  <c r="I2" i="14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D34" i="14"/>
  <c r="I34" i="14"/>
  <c r="J34" i="14"/>
  <c r="M34" i="14"/>
  <c r="O34" i="14"/>
  <c r="N34" i="14"/>
  <c r="D33" i="14"/>
  <c r="I33" i="14"/>
  <c r="J33" i="14"/>
  <c r="M33" i="14"/>
  <c r="O33" i="14"/>
  <c r="N33" i="14"/>
  <c r="D32" i="14"/>
  <c r="I32" i="14"/>
  <c r="J32" i="14"/>
  <c r="M32" i="14"/>
  <c r="O32" i="14"/>
  <c r="N32" i="14"/>
  <c r="D31" i="14"/>
  <c r="I31" i="14"/>
  <c r="J31" i="14"/>
  <c r="M31" i="14"/>
  <c r="O31" i="14"/>
  <c r="N31" i="14"/>
  <c r="D30" i="14"/>
  <c r="I30" i="14"/>
  <c r="J30" i="14"/>
  <c r="M30" i="14"/>
  <c r="O30" i="14"/>
  <c r="N30" i="14"/>
  <c r="D29" i="14"/>
  <c r="I29" i="14"/>
  <c r="J29" i="14"/>
  <c r="M29" i="14"/>
  <c r="O29" i="14"/>
  <c r="N29" i="14"/>
  <c r="D28" i="14"/>
  <c r="I28" i="14"/>
  <c r="J28" i="14"/>
  <c r="M28" i="14"/>
  <c r="O28" i="14"/>
  <c r="N28" i="14"/>
  <c r="D27" i="14"/>
  <c r="I27" i="14"/>
  <c r="J27" i="14"/>
  <c r="M27" i="14"/>
  <c r="O27" i="14"/>
  <c r="N27" i="14"/>
  <c r="D26" i="14"/>
  <c r="I26" i="14"/>
  <c r="J26" i="14"/>
  <c r="M26" i="14"/>
  <c r="O26" i="14"/>
  <c r="N26" i="14"/>
  <c r="AG17" i="14"/>
  <c r="AE17" i="14"/>
  <c r="AF17" i="14"/>
  <c r="AI17" i="14"/>
  <c r="AK17" i="14"/>
  <c r="AH17" i="14"/>
  <c r="AJ17" i="14"/>
  <c r="K17" i="14"/>
  <c r="R17" i="14"/>
  <c r="Y17" i="14"/>
  <c r="AD17" i="14"/>
  <c r="D17" i="14"/>
  <c r="AA17" i="14"/>
  <c r="AC17" i="14"/>
  <c r="Z17" i="14"/>
  <c r="AB17" i="14"/>
  <c r="T17" i="14"/>
  <c r="V17" i="14"/>
  <c r="S17" i="14"/>
  <c r="U17" i="14"/>
  <c r="M17" i="14"/>
  <c r="O17" i="14"/>
  <c r="L17" i="14"/>
  <c r="N17" i="14"/>
  <c r="E17" i="14"/>
  <c r="AG16" i="14"/>
  <c r="AE16" i="14"/>
  <c r="AF16" i="14"/>
  <c r="AI16" i="14"/>
  <c r="AK16" i="14"/>
  <c r="AH16" i="14"/>
  <c r="AJ16" i="14"/>
  <c r="K16" i="14"/>
  <c r="R16" i="14"/>
  <c r="Y16" i="14"/>
  <c r="AD16" i="14"/>
  <c r="D16" i="14"/>
  <c r="AA16" i="14"/>
  <c r="AC16" i="14"/>
  <c r="Z16" i="14"/>
  <c r="AB16" i="14"/>
  <c r="T16" i="14"/>
  <c r="V16" i="14"/>
  <c r="S16" i="14"/>
  <c r="U16" i="14"/>
  <c r="M16" i="14"/>
  <c r="O16" i="14"/>
  <c r="L16" i="14"/>
  <c r="N16" i="14"/>
  <c r="E16" i="14"/>
  <c r="AG15" i="14"/>
  <c r="AE15" i="14"/>
  <c r="AF15" i="14"/>
  <c r="AI15" i="14"/>
  <c r="AK15" i="14"/>
  <c r="AH15" i="14"/>
  <c r="AJ15" i="14"/>
  <c r="K15" i="14"/>
  <c r="R15" i="14"/>
  <c r="Y15" i="14"/>
  <c r="AD15" i="14"/>
  <c r="Z15" i="14"/>
  <c r="D15" i="14"/>
  <c r="AA15" i="14"/>
  <c r="AB15" i="14"/>
  <c r="T15" i="14"/>
  <c r="V15" i="14"/>
  <c r="S15" i="14"/>
  <c r="U15" i="14"/>
  <c r="M15" i="14"/>
  <c r="O15" i="14"/>
  <c r="L15" i="14"/>
  <c r="N15" i="14"/>
  <c r="E15" i="14"/>
  <c r="AG14" i="14"/>
  <c r="AE14" i="14"/>
  <c r="AF14" i="14"/>
  <c r="AI14" i="14"/>
  <c r="AK14" i="14"/>
  <c r="AH14" i="14"/>
  <c r="AJ14" i="14"/>
  <c r="K14" i="14"/>
  <c r="R14" i="14"/>
  <c r="Y14" i="14"/>
  <c r="AD14" i="14"/>
  <c r="Z14" i="14"/>
  <c r="D14" i="14"/>
  <c r="AA14" i="14"/>
  <c r="AB14" i="14"/>
  <c r="T14" i="14"/>
  <c r="V14" i="14"/>
  <c r="S14" i="14"/>
  <c r="U14" i="14"/>
  <c r="M14" i="14"/>
  <c r="O14" i="14"/>
  <c r="L14" i="14"/>
  <c r="N14" i="14"/>
  <c r="E14" i="14"/>
  <c r="AG13" i="14"/>
  <c r="AE13" i="14"/>
  <c r="AF13" i="14"/>
  <c r="AI13" i="14"/>
  <c r="AK13" i="14"/>
  <c r="AH13" i="14"/>
  <c r="AJ13" i="14"/>
  <c r="K13" i="14"/>
  <c r="R13" i="14"/>
  <c r="Y13" i="14"/>
  <c r="AD13" i="14"/>
  <c r="Z13" i="14"/>
  <c r="D13" i="14"/>
  <c r="AA13" i="14"/>
  <c r="AB13" i="14"/>
  <c r="T13" i="14"/>
  <c r="V13" i="14"/>
  <c r="S13" i="14"/>
  <c r="U13" i="14"/>
  <c r="M13" i="14"/>
  <c r="O13" i="14"/>
  <c r="L13" i="14"/>
  <c r="N13" i="14"/>
  <c r="E13" i="14"/>
  <c r="AG12" i="14"/>
  <c r="AE12" i="14"/>
  <c r="AF12" i="14"/>
  <c r="AI12" i="14"/>
  <c r="AK12" i="14"/>
  <c r="AH12" i="14"/>
  <c r="AJ12" i="14"/>
  <c r="K12" i="14"/>
  <c r="R12" i="14"/>
  <c r="Y12" i="14"/>
  <c r="AD12" i="14"/>
  <c r="Z12" i="14"/>
  <c r="D12" i="14"/>
  <c r="AA12" i="14"/>
  <c r="AB12" i="14"/>
  <c r="T12" i="14"/>
  <c r="V12" i="14"/>
  <c r="S12" i="14"/>
  <c r="U12" i="14"/>
  <c r="M12" i="14"/>
  <c r="O12" i="14"/>
  <c r="L12" i="14"/>
  <c r="N12" i="14"/>
  <c r="E12" i="14"/>
  <c r="AG11" i="14"/>
  <c r="AE11" i="14"/>
  <c r="AF11" i="14"/>
  <c r="AI11" i="14"/>
  <c r="AK11" i="14"/>
  <c r="AH11" i="14"/>
  <c r="AJ11" i="14"/>
  <c r="K11" i="14"/>
  <c r="R11" i="14"/>
  <c r="Y11" i="14"/>
  <c r="AD11" i="14"/>
  <c r="Z11" i="14"/>
  <c r="D11" i="14"/>
  <c r="AA11" i="14"/>
  <c r="AB11" i="14"/>
  <c r="T11" i="14"/>
  <c r="V11" i="14"/>
  <c r="S11" i="14"/>
  <c r="U11" i="14"/>
  <c r="M11" i="14"/>
  <c r="O11" i="14"/>
  <c r="L11" i="14"/>
  <c r="N11" i="14"/>
  <c r="E11" i="14"/>
  <c r="AG10" i="14"/>
  <c r="AE10" i="14"/>
  <c r="AF10" i="14"/>
  <c r="AI10" i="14"/>
  <c r="AK10" i="14"/>
  <c r="AH10" i="14"/>
  <c r="AJ10" i="14"/>
  <c r="K10" i="14"/>
  <c r="R10" i="14"/>
  <c r="Y10" i="14"/>
  <c r="AD10" i="14"/>
  <c r="Z10" i="14"/>
  <c r="D10" i="14"/>
  <c r="AA10" i="14"/>
  <c r="AB10" i="14"/>
  <c r="T10" i="14"/>
  <c r="V10" i="14"/>
  <c r="S10" i="14"/>
  <c r="U10" i="14"/>
  <c r="M10" i="14"/>
  <c r="O10" i="14"/>
  <c r="L10" i="14"/>
  <c r="N10" i="14"/>
  <c r="E10" i="14"/>
  <c r="AG9" i="14"/>
  <c r="AE9" i="14"/>
  <c r="AF9" i="14"/>
  <c r="AI9" i="14"/>
  <c r="AK9" i="14"/>
  <c r="AH9" i="14"/>
  <c r="AJ9" i="14"/>
  <c r="K9" i="14"/>
  <c r="R9" i="14"/>
  <c r="Y9" i="14"/>
  <c r="AD9" i="14"/>
  <c r="D9" i="14"/>
  <c r="AA9" i="14"/>
  <c r="AC9" i="14"/>
  <c r="Z9" i="14"/>
  <c r="AB9" i="14"/>
  <c r="T9" i="14"/>
  <c r="V9" i="14"/>
  <c r="S9" i="14"/>
  <c r="U9" i="14"/>
  <c r="M9" i="14"/>
  <c r="O9" i="14"/>
  <c r="L9" i="14"/>
  <c r="N9" i="14"/>
  <c r="E9" i="14"/>
  <c r="AG8" i="14"/>
  <c r="AE8" i="14"/>
  <c r="AF8" i="14"/>
  <c r="AI8" i="14"/>
  <c r="AK8" i="14"/>
  <c r="AH8" i="14"/>
  <c r="AJ8" i="14"/>
  <c r="K8" i="14"/>
  <c r="R8" i="14"/>
  <c r="Y8" i="14"/>
  <c r="AD8" i="14"/>
  <c r="D8" i="14"/>
  <c r="AA8" i="14"/>
  <c r="AC8" i="14"/>
  <c r="Z8" i="14"/>
  <c r="AB8" i="14"/>
  <c r="T8" i="14"/>
  <c r="V8" i="14"/>
  <c r="S8" i="14"/>
  <c r="U8" i="14"/>
  <c r="M8" i="14"/>
  <c r="O8" i="14"/>
  <c r="L8" i="14"/>
  <c r="N8" i="14"/>
  <c r="E8" i="14"/>
  <c r="AG7" i="14"/>
  <c r="AE7" i="14"/>
  <c r="AF7" i="14"/>
  <c r="AI7" i="14"/>
  <c r="AK7" i="14"/>
  <c r="AH7" i="14"/>
  <c r="AJ7" i="14"/>
  <c r="K7" i="14"/>
  <c r="R7" i="14"/>
  <c r="Y7" i="14"/>
  <c r="AD7" i="14"/>
  <c r="Z7" i="14"/>
  <c r="D7" i="14"/>
  <c r="AA7" i="14"/>
  <c r="AB7" i="14"/>
  <c r="T7" i="14"/>
  <c r="V7" i="14"/>
  <c r="S7" i="14"/>
  <c r="U7" i="14"/>
  <c r="M7" i="14"/>
  <c r="O7" i="14"/>
  <c r="L7" i="14"/>
  <c r="N7" i="14"/>
  <c r="E7" i="14"/>
  <c r="AG6" i="14"/>
  <c r="AE6" i="14"/>
  <c r="AF6" i="14"/>
  <c r="AI6" i="14"/>
  <c r="AK6" i="14"/>
  <c r="AH6" i="14"/>
  <c r="AJ6" i="14"/>
  <c r="K6" i="14"/>
  <c r="R6" i="14"/>
  <c r="Y6" i="14"/>
  <c r="AD6" i="14"/>
  <c r="Z6" i="14"/>
  <c r="D6" i="14"/>
  <c r="AA6" i="14"/>
  <c r="AB6" i="14"/>
  <c r="T6" i="14"/>
  <c r="V6" i="14"/>
  <c r="S6" i="14"/>
  <c r="U6" i="14"/>
  <c r="M6" i="14"/>
  <c r="O6" i="14"/>
  <c r="L6" i="14"/>
  <c r="N6" i="14"/>
  <c r="E6" i="14"/>
  <c r="AG5" i="14"/>
  <c r="AE5" i="14"/>
  <c r="AF5" i="14"/>
  <c r="AI5" i="14"/>
  <c r="AK5" i="14"/>
  <c r="AH5" i="14"/>
  <c r="AJ5" i="14"/>
  <c r="K5" i="14"/>
  <c r="R5" i="14"/>
  <c r="Y5" i="14"/>
  <c r="AD5" i="14"/>
  <c r="Z5" i="14"/>
  <c r="D5" i="14"/>
  <c r="AA5" i="14"/>
  <c r="AB5" i="14"/>
  <c r="T5" i="14"/>
  <c r="V5" i="14"/>
  <c r="S5" i="14"/>
  <c r="U5" i="14"/>
  <c r="M5" i="14"/>
  <c r="O5" i="14"/>
  <c r="L5" i="14"/>
  <c r="N5" i="14"/>
  <c r="E5" i="14"/>
  <c r="AG4" i="14"/>
  <c r="AE4" i="14"/>
  <c r="AF4" i="14"/>
  <c r="AI4" i="14"/>
  <c r="AK4" i="14"/>
  <c r="AH4" i="14"/>
  <c r="AJ4" i="14"/>
  <c r="K4" i="14"/>
  <c r="R4" i="14"/>
  <c r="Y4" i="14"/>
  <c r="AD4" i="14"/>
  <c r="Z4" i="14"/>
  <c r="D4" i="14"/>
  <c r="AA4" i="14"/>
  <c r="AB4" i="14"/>
  <c r="T4" i="14"/>
  <c r="V4" i="14"/>
  <c r="S4" i="14"/>
  <c r="U4" i="14"/>
  <c r="M4" i="14"/>
  <c r="O4" i="14"/>
  <c r="L4" i="14"/>
  <c r="N4" i="14"/>
  <c r="E4" i="14"/>
  <c r="AG3" i="14"/>
  <c r="AE3" i="14"/>
  <c r="AF3" i="14"/>
  <c r="AI3" i="14"/>
  <c r="AK3" i="14"/>
  <c r="AH3" i="14"/>
  <c r="AJ3" i="14"/>
  <c r="K3" i="14"/>
  <c r="R3" i="14"/>
  <c r="Y3" i="14"/>
  <c r="AD3" i="14"/>
  <c r="Z3" i="14"/>
  <c r="D3" i="14"/>
  <c r="AA3" i="14"/>
  <c r="AB3" i="14"/>
  <c r="T3" i="14"/>
  <c r="V3" i="14"/>
  <c r="S3" i="14"/>
  <c r="U3" i="14"/>
  <c r="M3" i="14"/>
  <c r="O3" i="14"/>
  <c r="L3" i="14"/>
  <c r="N3" i="14"/>
  <c r="E3" i="14"/>
  <c r="AG2" i="14"/>
  <c r="AE2" i="14"/>
  <c r="AF2" i="14"/>
  <c r="AI2" i="14"/>
  <c r="AK2" i="14"/>
  <c r="AH2" i="14"/>
  <c r="AJ2" i="14"/>
  <c r="K2" i="14"/>
  <c r="R2" i="14"/>
  <c r="Y2" i="14"/>
  <c r="AD2" i="14"/>
  <c r="D2" i="14"/>
  <c r="AA2" i="14"/>
  <c r="AC2" i="14"/>
  <c r="Z2" i="14"/>
  <c r="AB2" i="14"/>
  <c r="T2" i="14"/>
  <c r="V2" i="14"/>
  <c r="S2" i="14"/>
  <c r="U2" i="14"/>
  <c r="M2" i="14"/>
  <c r="O2" i="14"/>
  <c r="L2" i="14"/>
  <c r="N2" i="14"/>
  <c r="E2" i="14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7" i="10"/>
  <c r="E16" i="10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7" i="11"/>
  <c r="E16" i="11"/>
  <c r="E33" i="9"/>
  <c r="E38" i="9"/>
  <c r="E36" i="9"/>
  <c r="E37" i="9"/>
  <c r="I2" i="6"/>
  <c r="C3" i="6"/>
  <c r="F3" i="6"/>
  <c r="I3" i="6"/>
  <c r="C4" i="6"/>
  <c r="F4" i="6"/>
  <c r="I4" i="6"/>
  <c r="C5" i="6"/>
  <c r="F5" i="6"/>
  <c r="I5" i="6"/>
  <c r="D34" i="3"/>
  <c r="I34" i="3"/>
  <c r="J34" i="3"/>
  <c r="M34" i="3"/>
  <c r="O34" i="3"/>
  <c r="D33" i="3"/>
  <c r="I33" i="3"/>
  <c r="J33" i="3"/>
  <c r="M33" i="3"/>
  <c r="O33" i="3"/>
  <c r="D32" i="3"/>
  <c r="I32" i="3"/>
  <c r="J32" i="3"/>
  <c r="M32" i="3"/>
  <c r="O32" i="3"/>
  <c r="D31" i="3"/>
  <c r="I31" i="3"/>
  <c r="J31" i="3"/>
  <c r="M31" i="3"/>
  <c r="O31" i="3"/>
  <c r="D30" i="3"/>
  <c r="I30" i="3"/>
  <c r="J30" i="3"/>
  <c r="M30" i="3"/>
  <c r="O30" i="3"/>
  <c r="D29" i="3"/>
  <c r="J29" i="3"/>
  <c r="M29" i="3"/>
  <c r="O29" i="3"/>
  <c r="D28" i="3"/>
  <c r="J28" i="3"/>
  <c r="M28" i="3"/>
  <c r="O28" i="3"/>
  <c r="D27" i="3"/>
  <c r="J27" i="3"/>
  <c r="M27" i="3"/>
  <c r="O27" i="3"/>
  <c r="O26" i="3"/>
  <c r="N27" i="3"/>
  <c r="N28" i="3"/>
  <c r="N29" i="3"/>
  <c r="N30" i="3"/>
  <c r="N31" i="3"/>
  <c r="N32" i="3"/>
  <c r="N33" i="3"/>
  <c r="N34" i="3"/>
  <c r="N26" i="3"/>
  <c r="K2" i="3"/>
  <c r="M2" i="3"/>
  <c r="AC17" i="3"/>
  <c r="AC16" i="3"/>
  <c r="Y9" i="3"/>
  <c r="AA9" i="3"/>
  <c r="AC9" i="3"/>
  <c r="Y8" i="3"/>
  <c r="AA8" i="3"/>
  <c r="AC8" i="3"/>
  <c r="AC2" i="3"/>
  <c r="Q3" i="3"/>
  <c r="V3" i="3"/>
  <c r="Q4" i="3"/>
  <c r="V4" i="3"/>
  <c r="Q5" i="3"/>
  <c r="V5" i="3"/>
  <c r="Q6" i="3"/>
  <c r="V6" i="3"/>
  <c r="Q7" i="3"/>
  <c r="V7" i="3"/>
  <c r="Q8" i="3"/>
  <c r="V8" i="3"/>
  <c r="Q9" i="3"/>
  <c r="V9" i="3"/>
  <c r="Q10" i="3"/>
  <c r="V10" i="3"/>
  <c r="Q11" i="3"/>
  <c r="V11" i="3"/>
  <c r="Q12" i="3"/>
  <c r="V12" i="3"/>
  <c r="Q13" i="3"/>
  <c r="V13" i="3"/>
  <c r="Q14" i="3"/>
  <c r="V14" i="3"/>
  <c r="Q15" i="3"/>
  <c r="V15" i="3"/>
  <c r="Q16" i="3"/>
  <c r="V16" i="3"/>
  <c r="Q17" i="3"/>
  <c r="V17" i="3"/>
  <c r="Q2" i="3"/>
  <c r="V2" i="3"/>
  <c r="K17" i="3"/>
  <c r="M17" i="3"/>
  <c r="O17" i="3"/>
  <c r="K3" i="3"/>
  <c r="M3" i="3"/>
  <c r="O3" i="3"/>
  <c r="K4" i="3"/>
  <c r="M4" i="3"/>
  <c r="O4" i="3"/>
  <c r="K5" i="3"/>
  <c r="M5" i="3"/>
  <c r="O5" i="3"/>
  <c r="K6" i="3"/>
  <c r="M6" i="3"/>
  <c r="O6" i="3"/>
  <c r="K7" i="3"/>
  <c r="M7" i="3"/>
  <c r="O7" i="3"/>
  <c r="K8" i="3"/>
  <c r="M8" i="3"/>
  <c r="O8" i="3"/>
  <c r="K9" i="3"/>
  <c r="M9" i="3"/>
  <c r="O9" i="3"/>
  <c r="K10" i="3"/>
  <c r="M10" i="3"/>
  <c r="O10" i="3"/>
  <c r="K11" i="3"/>
  <c r="M11" i="3"/>
  <c r="O11" i="3"/>
  <c r="K12" i="3"/>
  <c r="M12" i="3"/>
  <c r="O12" i="3"/>
  <c r="K13" i="3"/>
  <c r="M13" i="3"/>
  <c r="O13" i="3"/>
  <c r="K14" i="3"/>
  <c r="M14" i="3"/>
  <c r="O14" i="3"/>
  <c r="K15" i="3"/>
  <c r="M15" i="3"/>
  <c r="O15" i="3"/>
  <c r="K16" i="3"/>
  <c r="M16" i="3"/>
  <c r="O16" i="3"/>
  <c r="O2" i="3"/>
  <c r="L2" i="3"/>
  <c r="N2" i="3"/>
  <c r="E4" i="9"/>
  <c r="E17" i="9"/>
  <c r="E19" i="9"/>
  <c r="E18" i="9"/>
  <c r="E16" i="9"/>
  <c r="E15" i="9"/>
  <c r="E14" i="9"/>
  <c r="E13" i="9"/>
  <c r="E12" i="9"/>
  <c r="E11" i="9"/>
  <c r="E10" i="9"/>
  <c r="E9" i="9"/>
  <c r="E8" i="9"/>
  <c r="E7" i="9"/>
  <c r="E6" i="9"/>
  <c r="E5" i="9"/>
  <c r="H2" i="8"/>
  <c r="G3" i="7"/>
  <c r="H3" i="8"/>
  <c r="G4" i="7"/>
  <c r="H4" i="8"/>
  <c r="G5" i="7"/>
  <c r="G6" i="7"/>
  <c r="H6" i="8"/>
  <c r="G7" i="7"/>
  <c r="H7" i="8"/>
  <c r="G8" i="7"/>
  <c r="G9" i="7"/>
  <c r="H9" i="8"/>
  <c r="H10" i="8"/>
  <c r="H11" i="8"/>
  <c r="H12" i="8"/>
  <c r="H13" i="8"/>
  <c r="H14" i="8"/>
  <c r="H15" i="8"/>
  <c r="H16" i="8"/>
  <c r="H17" i="8"/>
  <c r="L3" i="7"/>
  <c r="L4" i="7"/>
  <c r="L5" i="7"/>
  <c r="L6" i="7"/>
  <c r="L7" i="7"/>
  <c r="L8" i="7"/>
  <c r="L9" i="7"/>
  <c r="E3" i="7"/>
  <c r="I3" i="7"/>
  <c r="J3" i="7"/>
  <c r="K3" i="7"/>
  <c r="E4" i="7"/>
  <c r="I4" i="7"/>
  <c r="J4" i="7"/>
  <c r="K4" i="7"/>
  <c r="E5" i="7"/>
  <c r="I5" i="7"/>
  <c r="J5" i="7"/>
  <c r="K5" i="7"/>
  <c r="E6" i="7"/>
  <c r="I6" i="7"/>
  <c r="J6" i="7"/>
  <c r="K6" i="7"/>
  <c r="E7" i="7"/>
  <c r="I7" i="7"/>
  <c r="J7" i="7"/>
  <c r="K7" i="7"/>
  <c r="E8" i="7"/>
  <c r="I8" i="7"/>
  <c r="J8" i="7"/>
  <c r="K8" i="7"/>
  <c r="E9" i="7"/>
  <c r="I9" i="7"/>
  <c r="J9" i="7"/>
  <c r="K9" i="7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6" i="9"/>
  <c r="H26" i="9"/>
  <c r="I25" i="9"/>
  <c r="H25" i="9"/>
  <c r="I24" i="9"/>
  <c r="H24" i="9"/>
  <c r="I23" i="9"/>
  <c r="H23" i="9"/>
  <c r="I22" i="9"/>
  <c r="H22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4" i="9"/>
  <c r="I4" i="9"/>
  <c r="F38" i="9"/>
  <c r="G38" i="9"/>
  <c r="K38" i="9"/>
  <c r="D31" i="9"/>
  <c r="E31" i="9"/>
  <c r="F31" i="9"/>
  <c r="G31" i="9"/>
  <c r="J31" i="9"/>
  <c r="K31" i="9"/>
  <c r="D32" i="9"/>
  <c r="E32" i="9"/>
  <c r="F32" i="9"/>
  <c r="G32" i="9"/>
  <c r="J32" i="9"/>
  <c r="K32" i="9"/>
  <c r="F33" i="9"/>
  <c r="G33" i="9"/>
  <c r="K33" i="9"/>
  <c r="D34" i="9"/>
  <c r="E34" i="9"/>
  <c r="F34" i="9"/>
  <c r="G34" i="9"/>
  <c r="J34" i="9"/>
  <c r="K34" i="9"/>
  <c r="D35" i="9"/>
  <c r="E35" i="9"/>
  <c r="F35" i="9"/>
  <c r="G35" i="9"/>
  <c r="J35" i="9"/>
  <c r="K35" i="9"/>
  <c r="F36" i="9"/>
  <c r="G36" i="9"/>
  <c r="K36" i="9"/>
  <c r="F37" i="9"/>
  <c r="G37" i="9"/>
  <c r="K37" i="9"/>
  <c r="E30" i="9"/>
  <c r="F30" i="9"/>
  <c r="G30" i="9"/>
  <c r="K30" i="9"/>
  <c r="D23" i="9"/>
  <c r="E23" i="9"/>
  <c r="F23" i="9"/>
  <c r="G23" i="9"/>
  <c r="J23" i="9"/>
  <c r="D24" i="9"/>
  <c r="E24" i="9"/>
  <c r="F24" i="9"/>
  <c r="G24" i="9"/>
  <c r="J24" i="9"/>
  <c r="D25" i="9"/>
  <c r="E25" i="9"/>
  <c r="F25" i="9"/>
  <c r="G25" i="9"/>
  <c r="J25" i="9"/>
  <c r="D26" i="9"/>
  <c r="E26" i="9"/>
  <c r="F26" i="9"/>
  <c r="G26" i="9"/>
  <c r="J26" i="9"/>
  <c r="K26" i="9"/>
  <c r="E22" i="9"/>
  <c r="F22" i="9"/>
  <c r="G22" i="9"/>
  <c r="J22" i="9"/>
  <c r="D22" i="9"/>
  <c r="F19" i="9"/>
  <c r="G19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4" i="9"/>
  <c r="G4" i="9"/>
  <c r="E2" i="8"/>
  <c r="K11" i="8"/>
  <c r="K12" i="8"/>
  <c r="K13" i="8"/>
  <c r="K14" i="8"/>
  <c r="K15" i="8"/>
  <c r="K16" i="8"/>
  <c r="K17" i="8"/>
  <c r="K10" i="8"/>
  <c r="K3" i="8"/>
  <c r="K4" i="8"/>
  <c r="K5" i="8"/>
  <c r="K6" i="8"/>
  <c r="K7" i="8"/>
  <c r="K8" i="8"/>
  <c r="K9" i="8"/>
  <c r="E3" i="8"/>
  <c r="E4" i="8"/>
  <c r="E5" i="8"/>
  <c r="E6" i="8"/>
  <c r="E7" i="8"/>
  <c r="E8" i="8"/>
  <c r="E9" i="8"/>
  <c r="F9" i="6"/>
  <c r="G9" i="6"/>
  <c r="E17" i="3"/>
  <c r="E10" i="3"/>
  <c r="E11" i="3"/>
  <c r="E12" i="3"/>
  <c r="E13" i="3"/>
  <c r="E14" i="3"/>
  <c r="E15" i="3"/>
  <c r="E16" i="3"/>
  <c r="Q22" i="4"/>
  <c r="R22" i="4"/>
  <c r="T22" i="4"/>
  <c r="S22" i="4"/>
  <c r="T18" i="4"/>
  <c r="S18" i="4"/>
  <c r="R18" i="4"/>
  <c r="R14" i="4"/>
  <c r="T14" i="4"/>
  <c r="T10" i="4"/>
  <c r="S10" i="4"/>
  <c r="Q18" i="4"/>
  <c r="R10" i="4"/>
  <c r="Q14" i="4"/>
  <c r="Q10" i="4"/>
  <c r="P22" i="4"/>
  <c r="P18" i="4"/>
  <c r="P14" i="4"/>
  <c r="P10" i="4"/>
  <c r="O6" i="4"/>
  <c r="O10" i="4"/>
  <c r="O14" i="4"/>
  <c r="O18" i="4"/>
  <c r="O22" i="4"/>
  <c r="Y3" i="3"/>
  <c r="AD3" i="3"/>
  <c r="Y4" i="3"/>
  <c r="AD4" i="3"/>
  <c r="Y5" i="3"/>
  <c r="AD5" i="3"/>
  <c r="Y6" i="3"/>
  <c r="AD6" i="3"/>
  <c r="Y7" i="3"/>
  <c r="AD7" i="3"/>
  <c r="AD8" i="3"/>
  <c r="AD9" i="3"/>
  <c r="AD10" i="3"/>
  <c r="AD11" i="3"/>
  <c r="AD12" i="3"/>
  <c r="AD13" i="3"/>
  <c r="AD14" i="3"/>
  <c r="AD15" i="3"/>
  <c r="AD16" i="3"/>
  <c r="AD17" i="3"/>
  <c r="AD2" i="3"/>
  <c r="AA3" i="3"/>
  <c r="AA4" i="3"/>
  <c r="AA5" i="3"/>
  <c r="AA6" i="3"/>
  <c r="AA7" i="3"/>
  <c r="AE18" i="4"/>
  <c r="Z3" i="3"/>
  <c r="AB3" i="3"/>
  <c r="Z4" i="3"/>
  <c r="AB4" i="3"/>
  <c r="Z5" i="3"/>
  <c r="AB5" i="3"/>
  <c r="Z6" i="3"/>
  <c r="AB6" i="3"/>
  <c r="Z7" i="3"/>
  <c r="AB7" i="3"/>
  <c r="Z8" i="3"/>
  <c r="AB8" i="3"/>
  <c r="Z9" i="3"/>
  <c r="AB9" i="3"/>
  <c r="Z10" i="3"/>
  <c r="AB10" i="3"/>
  <c r="Z11" i="3"/>
  <c r="AB11" i="3"/>
  <c r="Z12" i="3"/>
  <c r="AB12" i="3"/>
  <c r="Z13" i="3"/>
  <c r="AB13" i="3"/>
  <c r="Z14" i="3"/>
  <c r="AB14" i="3"/>
  <c r="Z15" i="3"/>
  <c r="AB15" i="3"/>
  <c r="Z16" i="3"/>
  <c r="AB16" i="3"/>
  <c r="Z17" i="3"/>
  <c r="AB17" i="3"/>
  <c r="Z2" i="3"/>
  <c r="AB2" i="3"/>
  <c r="L3" i="3"/>
  <c r="N3" i="3"/>
  <c r="L4" i="3"/>
  <c r="N4" i="3"/>
  <c r="L5" i="3"/>
  <c r="N5" i="3"/>
  <c r="L6" i="3"/>
  <c r="N6" i="3"/>
  <c r="L7" i="3"/>
  <c r="N7" i="3"/>
  <c r="L8" i="3"/>
  <c r="N8" i="3"/>
  <c r="L9" i="3"/>
  <c r="N9" i="3"/>
  <c r="L10" i="3"/>
  <c r="N10" i="3"/>
  <c r="L11" i="3"/>
  <c r="N11" i="3"/>
  <c r="L12" i="3"/>
  <c r="N12" i="3"/>
  <c r="L13" i="3"/>
  <c r="N13" i="3"/>
  <c r="L14" i="3"/>
  <c r="N14" i="3"/>
  <c r="L15" i="3"/>
  <c r="N15" i="3"/>
  <c r="L16" i="3"/>
  <c r="N16" i="3"/>
  <c r="L17" i="3"/>
  <c r="N17" i="3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2" i="5"/>
  <c r="E3" i="3"/>
  <c r="E4" i="3"/>
  <c r="E5" i="3"/>
  <c r="E6" i="3"/>
  <c r="E7" i="3"/>
  <c r="E8" i="3"/>
  <c r="E9" i="3"/>
  <c r="AF18" i="4"/>
  <c r="E2" i="3"/>
  <c r="T42" i="4"/>
  <c r="S42" i="4"/>
  <c r="R42" i="4"/>
  <c r="Q42" i="4"/>
  <c r="P42" i="4"/>
  <c r="O42" i="4"/>
  <c r="AD18" i="4"/>
  <c r="AC18" i="4"/>
  <c r="AB18" i="4"/>
  <c r="AA18" i="4"/>
  <c r="Z18" i="4"/>
  <c r="Y18" i="4"/>
  <c r="S14" i="4"/>
  <c r="AN10" i="4"/>
  <c r="AM10" i="4"/>
  <c r="AL10" i="4"/>
  <c r="AK10" i="4"/>
  <c r="AJ10" i="4"/>
  <c r="AI10" i="4"/>
  <c r="T6" i="4"/>
  <c r="S6" i="4"/>
  <c r="R6" i="4"/>
  <c r="Q6" i="4"/>
  <c r="P6" i="4"/>
  <c r="AN2" i="4"/>
  <c r="AM2" i="4"/>
  <c r="AL2" i="4"/>
  <c r="AK2" i="4"/>
  <c r="AJ2" i="4"/>
  <c r="AI2" i="4"/>
  <c r="T2" i="4"/>
  <c r="S2" i="4"/>
  <c r="R2" i="4"/>
  <c r="Q2" i="4"/>
  <c r="P2" i="4"/>
  <c r="O2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<sst xmlns="http://schemas.openxmlformats.org/spreadsheetml/2006/main" count="1434" uniqueCount="164">
  <si>
    <t>rap</t>
  </si>
  <si>
    <t>pT</t>
  </si>
  <si>
    <t>cent</t>
  </si>
  <si>
    <t>eff_Incl</t>
  </si>
  <si>
    <t>err</t>
  </si>
  <si>
    <t>eff_Prompt</t>
  </si>
  <si>
    <t>eff_NonPrompt</t>
  </si>
  <si>
    <t>B fraction</t>
  </si>
  <si>
    <t>0.0-2.4</t>
  </si>
  <si>
    <t>6.5-30.0</t>
  </si>
  <si>
    <t>0-100</t>
  </si>
  <si>
    <t>6.5-10.0</t>
  </si>
  <si>
    <t>10.0-30.0</t>
  </si>
  <si>
    <t>0.0-1.2</t>
  </si>
  <si>
    <t>1.2-1.6</t>
  </si>
  <si>
    <t>5.5-30.0</t>
  </si>
  <si>
    <t>1.6-2.4</t>
  </si>
  <si>
    <t>3.0-30.0</t>
  </si>
  <si>
    <t>0-10</t>
  </si>
  <si>
    <t>10-20</t>
  </si>
  <si>
    <t>20-30</t>
  </si>
  <si>
    <t>30-40</t>
  </si>
  <si>
    <t>40-50</t>
  </si>
  <si>
    <t>50-100</t>
  </si>
  <si>
    <t>0-20</t>
  </si>
  <si>
    <t>20-100</t>
  </si>
  <si>
    <t>acc_Incl</t>
  </si>
  <si>
    <t>acc_Prompt</t>
  </si>
  <si>
    <t>acc_NonPrompt</t>
  </si>
  <si>
    <t>|y|</t>
  </si>
  <si>
    <t>centrality</t>
  </si>
  <si>
    <t>TAA (1/mb)</t>
  </si>
  <si>
    <t>Delta cent</t>
  </si>
  <si>
    <t>Delta y</t>
  </si>
  <si>
    <t>Delta pt</t>
  </si>
  <si>
    <t>eff</t>
  </si>
  <si>
    <t>acc</t>
  </si>
  <si>
    <t>ds/dy incl (nb)</t>
  </si>
  <si>
    <t>syst</t>
  </si>
  <si>
    <t>ds/dy prompt</t>
  </si>
  <si>
    <t>check</t>
  </si>
  <si>
    <t>N_MB</t>
  </si>
  <si>
    <t>Bin Index</t>
  </si>
  <si>
    <t>Bin Name</t>
  </si>
  <si>
    <t>Bin Boundaries</t>
  </si>
  <si>
    <t>Npart Mean</t>
  </si>
  <si>
    <t>RMS</t>
  </si>
  <si>
    <t>Ncoll Mean</t>
  </si>
  <si>
    <t>b Mean</t>
  </si>
  <si>
    <t>b RMS</t>
  </si>
  <si>
    <t>TAA Mean</t>
  </si>
  <si>
    <t>Npart</t>
  </si>
  <si>
    <t>Ncoll</t>
  </si>
  <si>
    <t>0.0 - 2.5</t>
  </si>
  <si>
    <t>2.5 - 5.0</t>
  </si>
  <si>
    <t>5.0 - 7.5</t>
  </si>
  <si>
    <t>7.5 - 10.0</t>
  </si>
  <si>
    <t>10.0 - 12.5</t>
  </si>
  <si>
    <t>12.5 - 15.0</t>
  </si>
  <si>
    <t>15.0 - 17.5</t>
  </si>
  <si>
    <t>17.5 - 20.0</t>
  </si>
  <si>
    <t>20.0 - 22.5</t>
  </si>
  <si>
    <t>22.5 - 25.0</t>
  </si>
  <si>
    <t>25.0 - 27.5</t>
  </si>
  <si>
    <t>27.5 - 30.0</t>
  </si>
  <si>
    <t>30.0 - 32.5</t>
  </si>
  <si>
    <t>32.5 - 35.0</t>
  </si>
  <si>
    <t>35.0 - 37.5</t>
  </si>
  <si>
    <t>37.5 - 40.0</t>
  </si>
  <si>
    <t>40.0 - 42.5</t>
  </si>
  <si>
    <t>40-100</t>
  </si>
  <si>
    <t>42.5 - 45.0</t>
  </si>
  <si>
    <t>45.0 - 47.5</t>
  </si>
  <si>
    <t>47.5 - 50.0</t>
  </si>
  <si>
    <t>50.0 - 52.5</t>
  </si>
  <si>
    <t>52.5 - 55.0</t>
  </si>
  <si>
    <t>55.0 - 57.5</t>
  </si>
  <si>
    <t>57.5 - 60.0</t>
  </si>
  <si>
    <t>60.0 - 62.5</t>
  </si>
  <si>
    <t>62.5 - 65.0</t>
  </si>
  <si>
    <t>65.0 - 67.5</t>
  </si>
  <si>
    <t>67.5 - 70.0</t>
  </si>
  <si>
    <t>70.0 - 72.5</t>
  </si>
  <si>
    <t>72.5 - 75.0</t>
  </si>
  <si>
    <t>75.0 - 77.5</t>
  </si>
  <si>
    <t>77.5 - 80.0</t>
  </si>
  <si>
    <t>80.0 - 82.5</t>
  </si>
  <si>
    <t>82.5 - 85.0</t>
  </si>
  <si>
    <t>85.0 - 87.5</t>
  </si>
  <si>
    <t>87.5 - 90.0</t>
  </si>
  <si>
    <t>90.0 - 92.5</t>
  </si>
  <si>
    <t>92.5 - 95.0</t>
  </si>
  <si>
    <t>95.0 - 97.5</t>
  </si>
  <si>
    <t>97.5 - 100.0</t>
  </si>
  <si>
    <t>N_Incl</t>
  </si>
  <si>
    <t>N_Prompt</t>
  </si>
  <si>
    <t>N_NonPrompt</t>
  </si>
  <si>
    <t>raw yield (incl)</t>
  </si>
  <si>
    <t>raw yield (prompt)</t>
  </si>
  <si>
    <t>raw yield (non-prompt)</t>
  </si>
  <si>
    <t>ds/dy non-prompt</t>
  </si>
  <si>
    <t>stat</t>
  </si>
  <si>
    <t>yield</t>
  </si>
  <si>
    <t>pp</t>
  </si>
  <si>
    <t>dsigma [nb]</t>
  </si>
  <si>
    <t>RAA</t>
  </si>
  <si>
    <t>NSig</t>
  </si>
  <si>
    <t>NSigErr</t>
  </si>
  <si>
    <t>PromptJ/psi</t>
  </si>
  <si>
    <t>PromptJ/psiErr</t>
  </si>
  <si>
    <t>Non-promptJ/psi</t>
  </si>
  <si>
    <t>Non-promptJ/psiErr</t>
  </si>
  <si>
    <t>Bfrac</t>
  </si>
  <si>
    <t>BfracErr</t>
  </si>
  <si>
    <t>inclusive</t>
  </si>
  <si>
    <t>prompt</t>
  </si>
  <si>
    <t>non-prompt</t>
  </si>
  <si>
    <t>L_int</t>
  </si>
  <si>
    <t>nb</t>
  </si>
  <si>
    <t>Prompt Jpsi</t>
  </si>
  <si>
    <t>fit</t>
  </si>
  <si>
    <t>efficiency</t>
  </si>
  <si>
    <t>acceptance</t>
  </si>
  <si>
    <t>TnP</t>
  </si>
  <si>
    <t>Taa</t>
  </si>
  <si>
    <t>total</t>
  </si>
  <si>
    <t>0.0 &lt; | y| &lt; 2.4</t>
  </si>
  <si>
    <t>0-100%</t>
  </si>
  <si>
    <t>0 &lt; pT &lt; 6.5</t>
  </si>
  <si>
    <t>6.5 &lt; pT &lt; 10</t>
  </si>
  <si>
    <t>0.0 &lt; | y| &lt; 1.2</t>
  </si>
  <si>
    <t>0-10 %</t>
  </si>
  <si>
    <t>10-20 %</t>
  </si>
  <si>
    <t>Non-Prompt Jpsi</t>
  </si>
  <si>
    <t>20-100 %</t>
  </si>
  <si>
    <t>Upsilon</t>
  </si>
  <si>
    <t>10 &lt; pT &lt; 20</t>
  </si>
  <si>
    <t>0 &lt; pT &lt; 20</t>
  </si>
  <si>
    <t>1.2 &lt; | y| &lt; 2.4</t>
  </si>
  <si>
    <t>old</t>
  </si>
  <si>
    <t>Data/MC</t>
  </si>
  <si>
    <t>STA reco</t>
  </si>
  <si>
    <t>raw yield</t>
  </si>
  <si>
    <t>raw b-fraction</t>
  </si>
  <si>
    <t>corr. B-fraction</t>
  </si>
  <si>
    <t>rel. eff</t>
  </si>
  <si>
    <t>rel. acc</t>
  </si>
  <si>
    <t>Upsilon 1S</t>
  </si>
  <si>
    <t>Upsilon 2S</t>
  </si>
  <si>
    <t>effUpsilon</t>
  </si>
  <si>
    <t>abs eff p err</t>
  </si>
  <si>
    <t>abs eff  np err</t>
  </si>
  <si>
    <t>abs fb err</t>
  </si>
  <si>
    <t>Dp</t>
  </si>
  <si>
    <t>Dnp</t>
  </si>
  <si>
    <t>Df</t>
  </si>
  <si>
    <t>SQRT(POWER('final systematics'!$J4,2)+POWER('final systematics'!$D4,2)+POWER('[Systematics.xlsx]final systematics (pp)'!$D4,2)+POWER(0.024/('efficiency (pp)'!$F2/efficiency!$H2),2))*J2</t>
  </si>
  <si>
    <t>SQRT(POWER('final systematics'!$J36,2)+POWER('final systematics'!$D36,2)+POWER('[Systematics.xlsx]final systematics (pp)'!$D36,2)+POWER('final systematics'!$E36,2)+POWER('final systematics'!$E$38,2))*B3</t>
  </si>
  <si>
    <t>raw yield PbPb</t>
  </si>
  <si>
    <t>TAA</t>
  </si>
  <si>
    <t>cent width</t>
  </si>
  <si>
    <t>efficeincy</t>
  </si>
  <si>
    <t>delta y</t>
  </si>
  <si>
    <t>1/fb-1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</si>
</sst>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000"/>
    <numFmt numFmtId="166" formatCode="0.0000000"/>
    <numFmt numFmtId="167" formatCode="0.0"/>
    <numFmt numFmtId="168" formatCode="0.0%"/>
    <numFmt numFmtId="173" formatCode="0.00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006100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  <font>
      <sz val="12"/>
      <color rgb="FF9C6500"/>
      <name val="Calibri"/>
      <family val="2"/>
      <charset val="128"/>
      <scheme val="minor"/>
    </font>
    <font>
      <sz val="12"/>
      <color rgb="FF9C0006"/>
      <name val="Calibri"/>
      <family val="2"/>
      <charset val="128"/>
      <scheme val="minor"/>
    </font>
    <font>
      <sz val="1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718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6" fillId="0" borderId="0" xfId="0" applyFont="1"/>
    <xf numFmtId="165" fontId="6" fillId="0" borderId="0" xfId="0" applyNumberFormat="1" applyFon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6" fillId="0" borderId="0" xfId="0" applyNumberFormat="1" applyFont="1"/>
    <xf numFmtId="166" fontId="0" fillId="0" borderId="0" xfId="0" applyNumberFormat="1"/>
    <xf numFmtId="0" fontId="0" fillId="0" borderId="0" xfId="0" applyNumberFormat="1"/>
    <xf numFmtId="167" fontId="0" fillId="0" borderId="0" xfId="0" applyNumberFormat="1"/>
    <xf numFmtId="2" fontId="3" fillId="2" borderId="0" xfId="2" applyNumberFormat="1"/>
    <xf numFmtId="0" fontId="0" fillId="0" borderId="0" xfId="0" applyAlignment="1">
      <alignment vertical="center"/>
    </xf>
    <xf numFmtId="49" fontId="0" fillId="0" borderId="0" xfId="0" applyNumberFormat="1" applyAlignment="1"/>
    <xf numFmtId="49" fontId="6" fillId="0" borderId="0" xfId="0" applyNumberFormat="1" applyFont="1" applyAlignment="1"/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10" fontId="6" fillId="0" borderId="0" xfId="1" applyNumberFormat="1" applyFont="1"/>
    <xf numFmtId="10" fontId="0" fillId="0" borderId="0" xfId="1" applyNumberFormat="1" applyFont="1"/>
    <xf numFmtId="49" fontId="6" fillId="0" borderId="0" xfId="0" applyNumberFormat="1" applyFont="1" applyAlignment="1">
      <alignment horizontal="right" vertical="center"/>
    </xf>
    <xf numFmtId="49" fontId="6" fillId="0" borderId="0" xfId="0" applyNumberFormat="1" applyFont="1" applyAlignment="1">
      <alignment horizontal="center"/>
    </xf>
    <xf numFmtId="2" fontId="7" fillId="4" borderId="0" xfId="151" applyNumberFormat="1"/>
    <xf numFmtId="164" fontId="7" fillId="4" borderId="0" xfId="151" applyNumberFormat="1"/>
    <xf numFmtId="164" fontId="3" fillId="2" borderId="0" xfId="2" applyNumberFormat="1"/>
    <xf numFmtId="165" fontId="3" fillId="2" borderId="0" xfId="2" applyNumberFormat="1"/>
    <xf numFmtId="165" fontId="7" fillId="4" borderId="0" xfId="151" applyNumberFormat="1"/>
    <xf numFmtId="9" fontId="0" fillId="0" borderId="0" xfId="1" applyFont="1"/>
    <xf numFmtId="168" fontId="0" fillId="0" borderId="0" xfId="1" applyNumberFormat="1" applyFont="1"/>
    <xf numFmtId="168" fontId="6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2" fontId="1" fillId="6" borderId="0" xfId="253" applyNumberFormat="1"/>
    <xf numFmtId="164" fontId="1" fillId="6" borderId="0" xfId="253" applyNumberFormat="1"/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right" vertic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49" fontId="6" fillId="3" borderId="0" xfId="0" applyNumberFormat="1" applyFont="1" applyFill="1" applyAlignment="1">
      <alignment horizontal="center"/>
    </xf>
    <xf numFmtId="49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5" fontId="9" fillId="0" borderId="0" xfId="252" applyNumberFormat="1" applyFont="1" applyFill="1"/>
    <xf numFmtId="165" fontId="9" fillId="0" borderId="0" xfId="0" applyNumberFormat="1" applyFont="1" applyFill="1"/>
    <xf numFmtId="173" fontId="0" fillId="0" borderId="0" xfId="1" applyNumberFormat="1" applyFont="1"/>
  </cellXfs>
  <cellStyles count="718">
    <cellStyle name="20% - Accent6" xfId="253" builtinId="50"/>
    <cellStyle name="Bad" xfId="25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Neutral" xfId="151" builtinId="2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externalLink" Target="externalLinks/externalLink1.xml"/><Relationship Id="rId24" Type="http://schemas.openxmlformats.org/officeDocument/2006/relationships/externalLink" Target="externalLinks/externalLink2.xml"/><Relationship Id="rId25" Type="http://schemas.openxmlformats.org/officeDocument/2006/relationships/externalLink" Target="externalLinks/externalLink3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Reco/Fit%20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p2760HIreco/Fit%20results%20(pp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dahms/Documents/CMS-Notes/notes/AN-11-062/trunk/Systematic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floatCB_mb_pt_fracfree"/>
      <sheetName val="floatCB_mb_pt_fracfix"/>
      <sheetName val="floatCB_mb_fracfree"/>
      <sheetName val="floatCB_mb_fracfix"/>
      <sheetName val="floatCB_pp_mb_pt_fracfree"/>
      <sheetName val="floatCB_pp_mb_pt_fracfix"/>
      <sheetName val="floatCB_pp_mb_fracfree"/>
      <sheetName val="floatCB_pp_mb_fracfix"/>
      <sheetName val="poly1_mb_pt_fracfree"/>
      <sheetName val="poly1_mb_pt_fracfix"/>
      <sheetName val="poly2_mb_pt_fracfree"/>
      <sheetName val="poly2_mb_pt_fracfix"/>
      <sheetName val="singleCB_mb_fracfree"/>
      <sheetName val="singleCB_mb_fracfix"/>
      <sheetName val="singleGaus_mb_pt_fracfree"/>
      <sheetName val="singleGaus_mb_pt_fracfix"/>
      <sheetName val="Details"/>
    </sheetNames>
    <sheetDataSet>
      <sheetData sheetId="0">
        <row r="3">
          <cell r="D3">
            <v>396.46899999999999</v>
          </cell>
          <cell r="E3">
            <v>23.965599999999998</v>
          </cell>
          <cell r="F3">
            <v>306.75</v>
          </cell>
          <cell r="G3">
            <v>22.272500000000001</v>
          </cell>
          <cell r="H3">
            <v>89.719099999999997</v>
          </cell>
          <cell r="I3">
            <v>13.478199999999999</v>
          </cell>
          <cell r="J3">
            <v>0.226295</v>
          </cell>
          <cell r="K3">
            <v>3.1122199999999999E-2</v>
          </cell>
        </row>
        <row r="4">
          <cell r="D4">
            <v>260.846</v>
          </cell>
          <cell r="E4">
            <v>19.561399999999999</v>
          </cell>
          <cell r="F4">
            <v>208.55799999999999</v>
          </cell>
          <cell r="G4">
            <v>18.416599999999999</v>
          </cell>
          <cell r="H4">
            <v>52.287999999999997</v>
          </cell>
          <cell r="I4">
            <v>10.4848</v>
          </cell>
          <cell r="J4">
            <v>0.20045499999999999</v>
          </cell>
          <cell r="K4">
            <v>3.72783E-2</v>
          </cell>
        </row>
        <row r="5">
          <cell r="D5">
            <v>137.767</v>
          </cell>
          <cell r="E5">
            <v>13.886200000000001</v>
          </cell>
          <cell r="F5">
            <v>102.992</v>
          </cell>
          <cell r="G5">
            <v>12.436199999999999</v>
          </cell>
          <cell r="H5">
            <v>34.774999999999999</v>
          </cell>
          <cell r="I5">
            <v>7.6928000000000001</v>
          </cell>
          <cell r="J5">
            <v>0.25241999999999998</v>
          </cell>
          <cell r="K5">
            <v>4.9706199999999999E-2</v>
          </cell>
        </row>
        <row r="6">
          <cell r="D6">
            <v>174.33199999999999</v>
          </cell>
          <cell r="E6">
            <v>16.419899999999998</v>
          </cell>
          <cell r="F6">
            <v>137.244</v>
          </cell>
          <cell r="G6">
            <v>15.0952</v>
          </cell>
          <cell r="H6">
            <v>37.087800000000001</v>
          </cell>
          <cell r="I6">
            <v>8.5421600000000009</v>
          </cell>
          <cell r="J6">
            <v>0.21274199999999999</v>
          </cell>
          <cell r="K6">
            <v>4.4714999999999998E-2</v>
          </cell>
        </row>
        <row r="7">
          <cell r="D7">
            <v>90.325299999999999</v>
          </cell>
          <cell r="E7">
            <v>11.1724</v>
          </cell>
          <cell r="F7">
            <v>71.643100000000004</v>
          </cell>
          <cell r="G7">
            <v>10.733499999999999</v>
          </cell>
          <cell r="H7">
            <v>18.682200000000002</v>
          </cell>
          <cell r="I7">
            <v>6.4822699999999998</v>
          </cell>
          <cell r="J7">
            <v>0.20683199999999999</v>
          </cell>
          <cell r="K7">
            <v>6.7050999999999999E-2</v>
          </cell>
        </row>
        <row r="8">
          <cell r="D8">
            <v>103.078</v>
          </cell>
          <cell r="E8">
            <v>13.0311</v>
          </cell>
          <cell r="F8">
            <v>87.739199999999997</v>
          </cell>
          <cell r="G8">
            <v>13.145099999999999</v>
          </cell>
          <cell r="H8">
            <v>15.3393</v>
          </cell>
          <cell r="I8">
            <v>7.3159000000000001</v>
          </cell>
          <cell r="J8">
            <v>0.148811</v>
          </cell>
          <cell r="K8">
            <v>6.8435399999999993E-2</v>
          </cell>
        </row>
        <row r="9">
          <cell r="D9">
            <v>149.86600000000001</v>
          </cell>
          <cell r="E9">
            <v>14.499000000000001</v>
          </cell>
          <cell r="F9">
            <v>125.804</v>
          </cell>
          <cell r="G9">
            <v>14.110900000000001</v>
          </cell>
          <cell r="H9">
            <v>24.061900000000001</v>
          </cell>
          <cell r="I9">
            <v>7.5100300000000004</v>
          </cell>
          <cell r="J9">
            <v>0.16055700000000001</v>
          </cell>
          <cell r="K9">
            <v>4.7643499999999998E-2</v>
          </cell>
        </row>
        <row r="10">
          <cell r="D10">
            <v>447.24099999999999</v>
          </cell>
          <cell r="E10">
            <v>63.208599999999997</v>
          </cell>
          <cell r="F10">
            <v>374.04700000000003</v>
          </cell>
          <cell r="G10">
            <v>55.187899999999999</v>
          </cell>
          <cell r="H10">
            <v>73.194500000000005</v>
          </cell>
          <cell r="I10">
            <v>18.9237</v>
          </cell>
          <cell r="J10">
            <v>0.163658</v>
          </cell>
          <cell r="K10">
            <v>3.5430400000000001E-2</v>
          </cell>
        </row>
        <row r="11">
          <cell r="D11">
            <v>112.855</v>
          </cell>
          <cell r="E11">
            <v>12.4671</v>
          </cell>
          <cell r="F11">
            <v>79.252200000000002</v>
          </cell>
          <cell r="G11">
            <v>11.388500000000001</v>
          </cell>
          <cell r="H11">
            <v>33.602699999999999</v>
          </cell>
          <cell r="I11">
            <v>8.1747399999999999</v>
          </cell>
          <cell r="J11">
            <v>0.29775099999999999</v>
          </cell>
          <cell r="K11">
            <v>6.4536999999999997E-2</v>
          </cell>
        </row>
        <row r="12">
          <cell r="D12">
            <v>79.810500000000005</v>
          </cell>
          <cell r="E12">
            <v>10.086</v>
          </cell>
          <cell r="F12">
            <v>56.794199999999996</v>
          </cell>
          <cell r="G12">
            <v>9.2707300000000004</v>
          </cell>
          <cell r="H12">
            <v>23.016300000000001</v>
          </cell>
          <cell r="I12">
            <v>6.5492800000000004</v>
          </cell>
          <cell r="J12">
            <v>0.288387</v>
          </cell>
          <cell r="K12">
            <v>7.3523400000000003E-2</v>
          </cell>
        </row>
        <row r="13">
          <cell r="D13">
            <v>63.361800000000002</v>
          </cell>
          <cell r="E13">
            <v>8.8439399999999999</v>
          </cell>
          <cell r="F13">
            <v>58.876100000000001</v>
          </cell>
          <cell r="G13">
            <v>8.7785499999999992</v>
          </cell>
          <cell r="H13">
            <v>4.4857199999999997</v>
          </cell>
          <cell r="I13">
            <v>3.1499600000000001</v>
          </cell>
          <cell r="J13">
            <v>7.0795200000000003E-2</v>
          </cell>
          <cell r="K13">
            <v>4.8721899999999999E-2</v>
          </cell>
        </row>
        <row r="14">
          <cell r="D14">
            <v>58.244999999999997</v>
          </cell>
          <cell r="E14">
            <v>8.2205399999999997</v>
          </cell>
          <cell r="F14">
            <v>47.667900000000003</v>
          </cell>
          <cell r="G14">
            <v>7.7744499999999999</v>
          </cell>
          <cell r="H14">
            <v>10.5771</v>
          </cell>
          <cell r="I14">
            <v>4.1723400000000002</v>
          </cell>
          <cell r="J14">
            <v>0.18159700000000001</v>
          </cell>
          <cell r="K14">
            <v>6.6892300000000002E-2</v>
          </cell>
        </row>
        <row r="15">
          <cell r="D15">
            <v>45.228099999999998</v>
          </cell>
          <cell r="E15">
            <v>7.0477100000000004</v>
          </cell>
          <cell r="F15">
            <v>34.704799999999999</v>
          </cell>
          <cell r="G15">
            <v>6.7179500000000001</v>
          </cell>
          <cell r="H15">
            <v>10.523300000000001</v>
          </cell>
          <cell r="I15">
            <v>4.3098099999999997</v>
          </cell>
          <cell r="J15">
            <v>0.23267199999999999</v>
          </cell>
          <cell r="K15">
            <v>8.8123599999999996E-2</v>
          </cell>
        </row>
        <row r="16">
          <cell r="D16">
            <v>36.657800000000002</v>
          </cell>
          <cell r="E16">
            <v>6.2381700000000002</v>
          </cell>
          <cell r="F16">
            <v>29.239000000000001</v>
          </cell>
          <cell r="G16">
            <v>5.7256900000000002</v>
          </cell>
          <cell r="H16">
            <v>7.4187700000000003</v>
          </cell>
          <cell r="I16">
            <v>3.1015899999999998</v>
          </cell>
          <cell r="J16">
            <v>0.202379</v>
          </cell>
          <cell r="K16">
            <v>7.7282900000000002E-2</v>
          </cell>
        </row>
        <row r="17">
          <cell r="D17">
            <v>192.94200000000001</v>
          </cell>
          <cell r="E17">
            <v>16.0366</v>
          </cell>
          <cell r="F17">
            <v>137.012</v>
          </cell>
          <cell r="G17">
            <v>15.0991</v>
          </cell>
          <cell r="H17">
            <v>55.930399999999999</v>
          </cell>
          <cell r="I17">
            <v>10.9504</v>
          </cell>
          <cell r="J17">
            <v>0.28988199999999997</v>
          </cell>
          <cell r="K17">
            <v>5.1386599999999998E-2</v>
          </cell>
        </row>
        <row r="18">
          <cell r="D18">
            <v>204.755</v>
          </cell>
          <cell r="E18">
            <v>15.3818</v>
          </cell>
          <cell r="F18">
            <v>172.54599999999999</v>
          </cell>
          <cell r="G18">
            <v>14.903499999999999</v>
          </cell>
          <cell r="H18">
            <v>32.209800000000001</v>
          </cell>
          <cell r="I18">
            <v>7.7429699999999997</v>
          </cell>
          <cell r="J18">
            <v>0.157308</v>
          </cell>
          <cell r="K18">
            <v>3.5921799999999997E-2</v>
          </cell>
        </row>
        <row r="165">
          <cell r="J165">
            <v>1.6883993688021285E-3</v>
          </cell>
        </row>
        <row r="166">
          <cell r="J166">
            <v>3.9647205630229639E-3</v>
          </cell>
        </row>
        <row r="167">
          <cell r="J167">
            <v>4.6226004431642927E-3</v>
          </cell>
        </row>
        <row r="168">
          <cell r="J168">
            <v>1.4551214092694432E-2</v>
          </cell>
        </row>
        <row r="169">
          <cell r="J169">
            <v>2.3708104400936847E-3</v>
          </cell>
        </row>
        <row r="170">
          <cell r="J170">
            <v>4.0553966487350442E-2</v>
          </cell>
        </row>
        <row r="171">
          <cell r="J171">
            <v>3.8582589337679287E-3</v>
          </cell>
        </row>
        <row r="172">
          <cell r="J172">
            <v>1.671144003797569E-2</v>
          </cell>
        </row>
        <row r="173">
          <cell r="J173">
            <v>2.4245011333703843E-2</v>
          </cell>
        </row>
        <row r="174">
          <cell r="J174">
            <v>9.6567957048761376E-3</v>
          </cell>
        </row>
        <row r="175">
          <cell r="J175">
            <v>5.3124480520485365E-3</v>
          </cell>
        </row>
        <row r="176">
          <cell r="J176">
            <v>5.6123304810543314E-3</v>
          </cell>
        </row>
        <row r="177">
          <cell r="J177">
            <v>4.7328521754102619E-3</v>
          </cell>
        </row>
        <row r="178">
          <cell r="J178">
            <v>2.4315112564000201E-2</v>
          </cell>
        </row>
        <row r="179">
          <cell r="J179">
            <v>1.3924045881649657E-2</v>
          </cell>
        </row>
        <row r="180">
          <cell r="J180">
            <v>5.5292020736656582E-3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floatCB_mb_pt_fracfree"/>
      <sheetName val="floatCB_mb_pt_fracfix"/>
      <sheetName val="floatCB_mb_fracfree"/>
      <sheetName val="floatCB_mb_fracfix"/>
      <sheetName val="floatCB_pp_mb_pt_fracfree"/>
      <sheetName val="floatCB_pp_mb_pt_fracfix"/>
      <sheetName val="floatCB_pp_mb_fracfree"/>
      <sheetName val="floatCB_pp_mb_fracfix"/>
      <sheetName val="singleCB_mb_fracfree"/>
      <sheetName val="singleCB_mb_fracfix"/>
      <sheetName val="singleGaus_mb_pt_fracfree"/>
      <sheetName val="singleGaus_mb_pt_fracfix"/>
      <sheetName val="poly1_mb_pt_fracfree"/>
      <sheetName val="poly1_mb_pt_fracfix"/>
      <sheetName val="poly2_mb_pt_fracfree"/>
      <sheetName val="poly2_mb_pt_fracfix"/>
      <sheetName val="Details"/>
      <sheetName val="Sheet1"/>
    </sheetNames>
    <sheetDataSet>
      <sheetData sheetId="0">
        <row r="3">
          <cell r="D3">
            <v>1025.5899999999999</v>
          </cell>
          <cell r="E3">
            <v>35.270299999999999</v>
          </cell>
          <cell r="F3">
            <v>819.93299999999999</v>
          </cell>
          <cell r="G3">
            <v>33.9923</v>
          </cell>
          <cell r="H3">
            <v>205.655</v>
          </cell>
          <cell r="I3">
            <v>20.257899999999999</v>
          </cell>
          <cell r="J3">
            <v>0.20052400000000001</v>
          </cell>
          <cell r="K3">
            <v>1.8509600000000001E-2</v>
          </cell>
        </row>
        <row r="4">
          <cell r="D4">
            <v>683.43899999999996</v>
          </cell>
          <cell r="E4">
            <v>29.790299999999998</v>
          </cell>
          <cell r="F4">
            <v>566.96699999999998</v>
          </cell>
          <cell r="G4">
            <v>28.7989</v>
          </cell>
          <cell r="H4">
            <v>116.47199999999999</v>
          </cell>
          <cell r="I4">
            <v>15.633100000000001</v>
          </cell>
          <cell r="J4">
            <v>0.17041999999999999</v>
          </cell>
          <cell r="K4">
            <v>2.1634400000000002E-2</v>
          </cell>
        </row>
        <row r="5">
          <cell r="D5">
            <v>342.68799999999999</v>
          </cell>
          <cell r="E5">
            <v>19.511199999999999</v>
          </cell>
          <cell r="F5">
            <v>255.73699999999999</v>
          </cell>
          <cell r="G5">
            <v>18.028500000000001</v>
          </cell>
          <cell r="H5">
            <v>86.950400000000002</v>
          </cell>
          <cell r="I5">
            <v>11.7271</v>
          </cell>
          <cell r="J5">
            <v>0.25373099999999998</v>
          </cell>
          <cell r="K5">
            <v>3.10221E-2</v>
          </cell>
        </row>
        <row r="6">
          <cell r="D6">
            <v>447.36599999999999</v>
          </cell>
          <cell r="E6">
            <v>35.901800000000001</v>
          </cell>
          <cell r="F6">
            <v>355.33100000000002</v>
          </cell>
          <cell r="G6">
            <v>30.979199999999999</v>
          </cell>
          <cell r="H6">
            <v>92.034499999999994</v>
          </cell>
          <cell r="I6">
            <v>14.1812</v>
          </cell>
          <cell r="J6">
            <v>0.20572499999999999</v>
          </cell>
          <cell r="K6">
            <v>2.7060600000000001E-2</v>
          </cell>
        </row>
        <row r="7">
          <cell r="D7">
            <v>278.488</v>
          </cell>
          <cell r="E7">
            <v>20.9192</v>
          </cell>
          <cell r="F7">
            <v>221.95</v>
          </cell>
          <cell r="G7">
            <v>19.525200000000002</v>
          </cell>
          <cell r="H7">
            <v>56.538400000000003</v>
          </cell>
          <cell r="I7">
            <v>11.014099999999999</v>
          </cell>
          <cell r="J7">
            <v>0.20301900000000001</v>
          </cell>
          <cell r="K7">
            <v>3.6491099999999999E-2</v>
          </cell>
        </row>
        <row r="8">
          <cell r="D8">
            <v>355.84800000000001</v>
          </cell>
          <cell r="E8">
            <v>21.6935</v>
          </cell>
          <cell r="F8">
            <v>295.279</v>
          </cell>
          <cell r="G8">
            <v>21.418600000000001</v>
          </cell>
          <cell r="H8">
            <v>60.569600000000001</v>
          </cell>
          <cell r="I8">
            <v>12.18</v>
          </cell>
          <cell r="J8">
            <v>0.170212</v>
          </cell>
          <cell r="K8">
            <v>3.2617300000000002E-2</v>
          </cell>
        </row>
        <row r="9">
          <cell r="D9">
            <v>328.52800000000002</v>
          </cell>
          <cell r="E9">
            <v>8.9943100000000005</v>
          </cell>
          <cell r="F9">
            <v>259.512</v>
          </cell>
          <cell r="G9">
            <v>13.145899999999999</v>
          </cell>
          <cell r="H9">
            <v>69.016000000000005</v>
          </cell>
          <cell r="I9">
            <v>11.220800000000001</v>
          </cell>
          <cell r="J9">
            <v>0.21007600000000001</v>
          </cell>
          <cell r="K9">
            <v>3.3667000000000002E-2</v>
          </cell>
        </row>
        <row r="10">
          <cell r="D10">
            <v>1006.61</v>
          </cell>
          <cell r="E10">
            <v>33.9497</v>
          </cell>
          <cell r="F10">
            <v>871.45899999999995</v>
          </cell>
          <cell r="G10">
            <v>34.686900000000001</v>
          </cell>
          <cell r="H10">
            <v>135.15600000000001</v>
          </cell>
          <cell r="I10">
            <v>18.976600000000001</v>
          </cell>
          <cell r="J10">
            <v>0.134268</v>
          </cell>
          <cell r="K10">
            <v>1.8299900000000001E-2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inal systematics"/>
      <sheetName val="final systematics (pp)"/>
      <sheetName val="syst yield"/>
      <sheetName val="syst yield (pp)"/>
      <sheetName val="syst efficiency"/>
      <sheetName val="syst efficiency (pp)"/>
      <sheetName val="syst acceptance"/>
      <sheetName val="centrality"/>
    </sheetNames>
    <sheetDataSet>
      <sheetData sheetId="0">
        <row r="4">
          <cell r="D4">
            <v>7.8333553835581975E-3</v>
          </cell>
          <cell r="E4">
            <v>1.766024707371891E-2</v>
          </cell>
          <cell r="F4">
            <v>3.5027772556296861E-2</v>
          </cell>
          <cell r="G4">
            <v>0.13700000000000001</v>
          </cell>
          <cell r="H4">
            <v>0</v>
          </cell>
          <cell r="I4">
            <v>0.01</v>
          </cell>
          <cell r="J4">
            <v>5.7000000000000002E-2</v>
          </cell>
          <cell r="K4">
            <v>0.15400711228227607</v>
          </cell>
        </row>
        <row r="5">
          <cell r="D5">
            <v>4.7583200344962027E-3</v>
          </cell>
          <cell r="E5">
            <v>2.4325566305668782E-2</v>
          </cell>
          <cell r="F5">
            <v>4.1989624030908584E-2</v>
          </cell>
          <cell r="G5">
            <v>0.13700000000000001</v>
          </cell>
          <cell r="H5">
            <v>0</v>
          </cell>
          <cell r="I5">
            <v>0.01</v>
          </cell>
          <cell r="J5">
            <v>5.7000000000000002E-2</v>
          </cell>
          <cell r="K5">
            <v>0.15651039362259375</v>
          </cell>
        </row>
        <row r="6">
          <cell r="D6">
            <v>1.4625516456959959E-2</v>
          </cell>
          <cell r="E6">
            <v>2.0644313808763703E-2</v>
          </cell>
          <cell r="F6">
            <v>1.1368835654229218E-2</v>
          </cell>
          <cell r="G6">
            <v>0.13700000000000001</v>
          </cell>
          <cell r="H6">
            <v>0</v>
          </cell>
          <cell r="I6">
            <v>0.01</v>
          </cell>
          <cell r="J6">
            <v>5.7000000000000002E-2</v>
          </cell>
          <cell r="K6">
            <v>0.15128563662291405</v>
          </cell>
        </row>
        <row r="7">
          <cell r="D7">
            <v>4.9032636371806479E-2</v>
          </cell>
          <cell r="E7">
            <v>2.7652634521923205E-2</v>
          </cell>
          <cell r="F7">
            <v>2.4944382578492963E-2</v>
          </cell>
          <cell r="G7">
            <v>0.13700000000000001</v>
          </cell>
          <cell r="H7">
            <v>0</v>
          </cell>
          <cell r="I7">
            <v>0.01</v>
          </cell>
          <cell r="J7">
            <v>5.7000000000000002E-2</v>
          </cell>
          <cell r="K7">
            <v>0.16096300769989075</v>
          </cell>
        </row>
        <row r="8">
          <cell r="D8">
            <v>2.1166970833768693E-2</v>
          </cell>
          <cell r="E8">
            <v>3.1686120977077084E-2</v>
          </cell>
          <cell r="F8">
            <v>9.1855865354369265E-3</v>
          </cell>
          <cell r="G8">
            <v>0.13700000000000001</v>
          </cell>
          <cell r="H8">
            <v>0</v>
          </cell>
          <cell r="I8">
            <v>0.01</v>
          </cell>
          <cell r="J8">
            <v>5.7000000000000002E-2</v>
          </cell>
          <cell r="K8">
            <v>0.15379995421602563</v>
          </cell>
        </row>
        <row r="9">
          <cell r="D9">
            <v>5.1368960879948238E-2</v>
          </cell>
          <cell r="E9">
            <v>3.2756204337476051E-2</v>
          </cell>
          <cell r="F9">
            <v>1.2060438395001209E-2</v>
          </cell>
          <cell r="G9">
            <v>0.13700000000000001</v>
          </cell>
          <cell r="H9">
            <v>0</v>
          </cell>
          <cell r="I9">
            <v>0.01</v>
          </cell>
          <cell r="J9">
            <v>5.7000000000000002E-2</v>
          </cell>
          <cell r="K9">
            <v>0.16116821410800505</v>
          </cell>
        </row>
        <row r="10">
          <cell r="D10">
            <v>9.3540596283972106E-3</v>
          </cell>
          <cell r="E10">
            <v>3.3229581492602807E-2</v>
          </cell>
          <cell r="F10">
            <v>2.1400900185413688E-2</v>
          </cell>
          <cell r="G10">
            <v>0.13700000000000001</v>
          </cell>
          <cell r="H10">
            <v>0</v>
          </cell>
          <cell r="I10">
            <v>0.01</v>
          </cell>
          <cell r="J10">
            <v>5.7000000000000002E-2</v>
          </cell>
          <cell r="K10">
            <v>0.15416777239893942</v>
          </cell>
        </row>
        <row r="11">
          <cell r="D11">
            <v>2.999909138272212E-2</v>
          </cell>
          <cell r="E11">
            <v>3.13733384144202E-2</v>
          </cell>
          <cell r="F11">
            <v>2.5874891649118034E-2</v>
          </cell>
          <cell r="G11">
            <v>0.13700000000000001</v>
          </cell>
          <cell r="H11">
            <v>0</v>
          </cell>
          <cell r="I11">
            <v>0.01</v>
          </cell>
          <cell r="J11">
            <v>5.7000000000000002E-2</v>
          </cell>
          <cell r="K11">
            <v>0.15707240962342256</v>
          </cell>
        </row>
        <row r="12">
          <cell r="D12">
            <v>2.9146975513635272E-2</v>
          </cell>
          <cell r="E12">
            <v>3.4301326097394287E-2</v>
          </cell>
          <cell r="F12">
            <v>3.5027772556296861E-2</v>
          </cell>
          <cell r="G12">
            <v>0.13700000000000001</v>
          </cell>
          <cell r="H12">
            <v>0</v>
          </cell>
          <cell r="I12">
            <v>0.01</v>
          </cell>
          <cell r="J12">
            <v>4.2999999999999997E-2</v>
          </cell>
          <cell r="K12">
            <v>0.15482594099144983</v>
          </cell>
        </row>
        <row r="13">
          <cell r="D13">
            <v>2.0365052672686262E-2</v>
          </cell>
          <cell r="E13">
            <v>3.3665266209471613E-2</v>
          </cell>
          <cell r="F13">
            <v>4.1989624030908584E-2</v>
          </cell>
          <cell r="G13">
            <v>0.13700000000000001</v>
          </cell>
          <cell r="H13">
            <v>0</v>
          </cell>
          <cell r="I13">
            <v>0.01</v>
          </cell>
          <cell r="J13">
            <v>5.1999999999999998E-2</v>
          </cell>
          <cell r="K13">
            <v>0.15774731073959053</v>
          </cell>
        </row>
        <row r="14">
          <cell r="D14">
            <v>6.1424620049249081E-3</v>
          </cell>
          <cell r="E14">
            <v>3.325641211485552E-2</v>
          </cell>
          <cell r="F14">
            <v>1.1368835654229218E-2</v>
          </cell>
          <cell r="G14">
            <v>0.13700000000000001</v>
          </cell>
          <cell r="H14">
            <v>0</v>
          </cell>
          <cell r="I14">
            <v>0.01</v>
          </cell>
          <cell r="J14">
            <v>6.6000000000000003E-2</v>
          </cell>
          <cell r="K14">
            <v>0.15651827117102954</v>
          </cell>
        </row>
        <row r="15">
          <cell r="D15">
            <v>6.851792923227927E-3</v>
          </cell>
          <cell r="E15">
            <v>3.1955018447178157E-2</v>
          </cell>
          <cell r="F15">
            <v>2.4944382578492963E-2</v>
          </cell>
          <cell r="G15">
            <v>0.13700000000000001</v>
          </cell>
          <cell r="H15">
            <v>0</v>
          </cell>
          <cell r="I15">
            <v>0.01</v>
          </cell>
          <cell r="J15">
            <v>8.5000000000000006E-2</v>
          </cell>
          <cell r="K15">
            <v>0.16668620966488057</v>
          </cell>
        </row>
        <row r="16">
          <cell r="D16">
            <v>5.732570033065377E-3</v>
          </cell>
          <cell r="E16">
            <v>3.0535037464747273E-2</v>
          </cell>
          <cell r="F16">
            <v>9.1855865354369265E-3</v>
          </cell>
          <cell r="G16">
            <v>0.13700000000000001</v>
          </cell>
          <cell r="H16">
            <v>0</v>
          </cell>
          <cell r="I16">
            <v>0.01</v>
          </cell>
          <cell r="J16">
            <v>0.109</v>
          </cell>
          <cell r="K16">
            <v>0.17832449599580402</v>
          </cell>
        </row>
        <row r="17">
          <cell r="D17">
            <v>3.0466919364934463E-2</v>
          </cell>
          <cell r="E17">
            <v>1.9274376417233566E-2</v>
          </cell>
          <cell r="F17">
            <v>1.2060438395001209E-2</v>
          </cell>
          <cell r="G17">
            <v>0.13700000000000001</v>
          </cell>
          <cell r="H17">
            <v>0</v>
          </cell>
          <cell r="I17">
            <v>0.01</v>
          </cell>
          <cell r="J17">
            <v>0.15</v>
          </cell>
          <cell r="K17">
            <v>0.20691589821988607</v>
          </cell>
        </row>
        <row r="18">
          <cell r="D18">
            <v>1.6412144218442247E-2</v>
          </cell>
          <cell r="E18">
            <v>2.5958333419620758E-2</v>
          </cell>
          <cell r="F18">
            <v>2.1400900185413688E-2</v>
          </cell>
          <cell r="G18">
            <v>0.13700000000000001</v>
          </cell>
          <cell r="H18">
            <v>0</v>
          </cell>
          <cell r="I18">
            <v>0.01</v>
          </cell>
          <cell r="J18">
            <v>4.5999999999999999E-2</v>
          </cell>
          <cell r="K18">
            <v>0.14962015933863054</v>
          </cell>
        </row>
        <row r="19">
          <cell r="D19">
            <v>5.0365724234178351E-3</v>
          </cell>
          <cell r="E19">
            <v>1.8440178744741735E-2</v>
          </cell>
          <cell r="F19">
            <v>2.5874891649118034E-2</v>
          </cell>
          <cell r="G19">
            <v>0.13700000000000001</v>
          </cell>
          <cell r="H19">
            <v>0</v>
          </cell>
          <cell r="I19">
            <v>0.01</v>
          </cell>
          <cell r="J19">
            <v>8.5999999999999993E-2</v>
          </cell>
          <cell r="K19">
            <v>0.1652268660713746</v>
          </cell>
        </row>
        <row r="22">
          <cell r="D22">
            <v>1.3855709335341557E-2</v>
          </cell>
          <cell r="E22">
            <v>2.206181288822796E-2</v>
          </cell>
          <cell r="F22">
            <v>3.2192422102356989E-2</v>
          </cell>
          <cell r="G22">
            <v>0.13700000000000001</v>
          </cell>
          <cell r="H22">
            <v>0</v>
          </cell>
          <cell r="I22">
            <v>0.01</v>
          </cell>
          <cell r="J22">
            <v>5.7000000000000002E-2</v>
          </cell>
          <cell r="K22">
            <v>0.15437958514621347</v>
          </cell>
        </row>
        <row r="23">
          <cell r="D23">
            <v>2.6983230189745806E-2</v>
          </cell>
          <cell r="E23">
            <v>4.152176593487035E-2</v>
          </cell>
          <cell r="F23">
            <v>2.0198590414462265E-2</v>
          </cell>
          <cell r="G23">
            <v>0.13700000000000001</v>
          </cell>
          <cell r="H23">
            <v>0</v>
          </cell>
          <cell r="I23">
            <v>0.01</v>
          </cell>
          <cell r="J23">
            <v>5.7000000000000002E-2</v>
          </cell>
          <cell r="K23">
            <v>0.15804472408958858</v>
          </cell>
        </row>
        <row r="24">
          <cell r="D24">
            <v>0.13966284891743244</v>
          </cell>
          <cell r="E24">
            <v>3.3446784700118026E-2</v>
          </cell>
          <cell r="F24">
            <v>2.919186754329571E-2</v>
          </cell>
          <cell r="G24">
            <v>0.13700000000000001</v>
          </cell>
          <cell r="H24">
            <v>0</v>
          </cell>
          <cell r="I24">
            <v>0.01</v>
          </cell>
          <cell r="J24">
            <v>5.7000000000000002E-2</v>
          </cell>
          <cell r="K24">
            <v>0.20879311268615863</v>
          </cell>
        </row>
        <row r="25">
          <cell r="D25">
            <v>5.6628149041255078E-2</v>
          </cell>
          <cell r="E25">
            <v>3.3335260282685047E-2</v>
          </cell>
          <cell r="F25">
            <v>3.2192422102356989E-2</v>
          </cell>
          <cell r="G25">
            <v>0.13700000000000001</v>
          </cell>
          <cell r="H25">
            <v>0</v>
          </cell>
          <cell r="I25">
            <v>0.01</v>
          </cell>
          <cell r="J25">
            <v>4.5999999999999999E-2</v>
          </cell>
          <cell r="K25">
            <v>0.16229398905310474</v>
          </cell>
        </row>
        <row r="26">
          <cell r="D26">
            <v>4.0363728203015863E-2</v>
          </cell>
          <cell r="E26">
            <v>2.3456878762191463E-2</v>
          </cell>
          <cell r="F26">
            <v>3.2192422102356989E-2</v>
          </cell>
          <cell r="G26">
            <v>0.13700000000000001</v>
          </cell>
          <cell r="H26">
            <v>0</v>
          </cell>
          <cell r="I26">
            <v>0.01</v>
          </cell>
          <cell r="J26">
            <v>8.5999999999999993E-2</v>
          </cell>
          <cell r="K26">
            <v>0.17169976050224245</v>
          </cell>
        </row>
        <row r="38">
          <cell r="D38">
            <v>0.1024159402241594</v>
          </cell>
          <cell r="E38">
            <v>1.4063953868583388E-2</v>
          </cell>
          <cell r="F38">
            <v>2.1859536481363372E-2</v>
          </cell>
          <cell r="G38">
            <v>0.13700000000000001</v>
          </cell>
          <cell r="H38">
            <v>0</v>
          </cell>
          <cell r="I38">
            <v>0.01</v>
          </cell>
          <cell r="J38">
            <v>5.7000000000000002E-2</v>
          </cell>
          <cell r="K38">
            <v>0.18243535552517307</v>
          </cell>
        </row>
        <row r="39">
          <cell r="D39">
            <v>0.10764635603345281</v>
          </cell>
          <cell r="E39">
            <v>2.3239940633616493E-2</v>
          </cell>
          <cell r="F39">
            <v>2.5251648413508621E-2</v>
          </cell>
          <cell r="G39">
            <v>0.13700000000000001</v>
          </cell>
          <cell r="H39">
            <v>0</v>
          </cell>
          <cell r="I39">
            <v>0.01</v>
          </cell>
          <cell r="J39">
            <v>5.7000000000000002E-2</v>
          </cell>
          <cell r="K39">
            <v>0.18677119305592702</v>
          </cell>
        </row>
        <row r="40">
          <cell r="D40">
            <v>8.6657917760279965E-2</v>
          </cell>
          <cell r="E40">
            <v>2.5537520110328685E-2</v>
          </cell>
          <cell r="F40">
            <v>2.7247337180565295E-2</v>
          </cell>
          <cell r="G40">
            <v>0.13700000000000001</v>
          </cell>
          <cell r="H40">
            <v>0</v>
          </cell>
          <cell r="I40">
            <v>0.01</v>
          </cell>
          <cell r="J40">
            <v>5.7000000000000002E-2</v>
          </cell>
          <cell r="K40">
            <v>0.176131135882797</v>
          </cell>
        </row>
        <row r="41">
          <cell r="D41">
            <v>0.10321037391413823</v>
          </cell>
          <cell r="E41">
            <v>2.1135532056508352E-2</v>
          </cell>
          <cell r="F41">
            <v>2.795084971874735E-2</v>
          </cell>
          <cell r="G41">
            <v>0.13700000000000001</v>
          </cell>
          <cell r="H41">
            <v>0</v>
          </cell>
          <cell r="I41">
            <v>0.01</v>
          </cell>
          <cell r="J41">
            <v>5.7000000000000002E-2</v>
          </cell>
          <cell r="K41">
            <v>0.18438639320407543</v>
          </cell>
        </row>
        <row r="42">
          <cell r="D42">
            <v>0.10353784146887596</v>
          </cell>
          <cell r="E42">
            <v>1.7910041025764753E-2</v>
          </cell>
          <cell r="F42">
            <v>1.5149375106991533E-2</v>
          </cell>
          <cell r="G42">
            <v>0.13700000000000001</v>
          </cell>
          <cell r="H42">
            <v>0</v>
          </cell>
          <cell r="I42">
            <v>0.01</v>
          </cell>
          <cell r="J42">
            <v>5.7000000000000002E-2</v>
          </cell>
          <cell r="K42">
            <v>0.18272481427466553</v>
          </cell>
        </row>
        <row r="43">
          <cell r="D43">
            <v>0.10389830508474576</v>
          </cell>
          <cell r="E43">
            <v>2.4977347427896694E-2</v>
          </cell>
          <cell r="F43">
            <v>2.5648007343066392E-2</v>
          </cell>
          <cell r="G43">
            <v>0.13700000000000001</v>
          </cell>
          <cell r="H43">
            <v>0</v>
          </cell>
          <cell r="I43">
            <v>0.01</v>
          </cell>
          <cell r="J43">
            <v>5.7000000000000002E-2</v>
          </cell>
          <cell r="K43">
            <v>0.18491767347846111</v>
          </cell>
        </row>
        <row r="44">
          <cell r="D44">
            <v>0.13346593734460468</v>
          </cell>
          <cell r="E44">
            <v>2.743957632323232E-2</v>
          </cell>
          <cell r="F44">
            <v>2.795084971874735E-2</v>
          </cell>
          <cell r="G44">
            <v>0.13700000000000001</v>
          </cell>
          <cell r="H44">
            <v>0</v>
          </cell>
          <cell r="I44">
            <v>0.01</v>
          </cell>
          <cell r="J44">
            <v>4.2999999999999997E-2</v>
          </cell>
          <cell r="K44">
            <v>0.20016327530311956</v>
          </cell>
        </row>
        <row r="45">
          <cell r="D45">
            <v>0.10274522932708402</v>
          </cell>
          <cell r="E45">
            <v>2.742872377242643E-2</v>
          </cell>
          <cell r="F45">
            <v>2.795084971874735E-2</v>
          </cell>
          <cell r="G45">
            <v>0.13700000000000001</v>
          </cell>
          <cell r="H45">
            <v>0</v>
          </cell>
          <cell r="I45">
            <v>0.01</v>
          </cell>
          <cell r="J45">
            <v>5.1999999999999998E-2</v>
          </cell>
          <cell r="K45">
            <v>0.1834752491134953</v>
          </cell>
        </row>
        <row r="46">
          <cell r="D46">
            <v>0.10390000000000001</v>
          </cell>
          <cell r="E46">
            <v>1.5225354454942703E-2</v>
          </cell>
          <cell r="F46">
            <v>2.795084971874735E-2</v>
          </cell>
          <cell r="G46">
            <v>0.13700000000000001</v>
          </cell>
          <cell r="H46">
            <v>0</v>
          </cell>
          <cell r="I46">
            <v>0.01</v>
          </cell>
          <cell r="J46">
            <v>8.5999999999999993E-2</v>
          </cell>
          <cell r="K46">
            <v>0.19512373361095428</v>
          </cell>
        </row>
        <row r="47">
          <cell r="D47">
            <v>0.13346593734460468</v>
          </cell>
          <cell r="E47">
            <v>2.044511699596939E-2</v>
          </cell>
          <cell r="F47">
            <v>2.795084971874735E-2</v>
          </cell>
          <cell r="G47">
            <v>0.13700000000000001</v>
          </cell>
          <cell r="H47">
            <v>0</v>
          </cell>
          <cell r="I47">
            <v>0.01</v>
          </cell>
          <cell r="J47">
            <v>4.5999999999999999E-2</v>
          </cell>
          <cell r="K47">
            <v>0.1999935229957531</v>
          </cell>
        </row>
      </sheetData>
      <sheetData sheetId="1">
        <row r="4">
          <cell r="D4">
            <v>4.3229438336104917E-2</v>
          </cell>
        </row>
        <row r="5">
          <cell r="D5">
            <v>6.2301300167015961E-2</v>
          </cell>
        </row>
        <row r="6">
          <cell r="D6">
            <v>3.8818159734423348E-3</v>
          </cell>
        </row>
        <row r="7">
          <cell r="D7">
            <v>1.7705865141565576E-2</v>
          </cell>
        </row>
        <row r="8">
          <cell r="D8">
            <v>5.6796828010284919E-2</v>
          </cell>
        </row>
        <row r="9">
          <cell r="D9">
            <v>4.1931521132979925E-2</v>
          </cell>
        </row>
        <row r="10">
          <cell r="D10">
            <v>1.3454757052536567E-2</v>
          </cell>
        </row>
        <row r="11">
          <cell r="D11">
            <v>9.5178408255631747E-3</v>
          </cell>
        </row>
        <row r="12">
          <cell r="D12">
            <v>4.3229438336104917E-2</v>
          </cell>
        </row>
        <row r="13">
          <cell r="D13">
            <v>4.3229438336104917E-2</v>
          </cell>
        </row>
        <row r="14">
          <cell r="D14">
            <v>4.3229438336104917E-2</v>
          </cell>
        </row>
        <row r="15">
          <cell r="D15">
            <v>4.3229438336104917E-2</v>
          </cell>
        </row>
        <row r="16">
          <cell r="D16">
            <v>4.3229438336104917E-2</v>
          </cell>
        </row>
        <row r="17">
          <cell r="D17">
            <v>4.3229438336104917E-2</v>
          </cell>
        </row>
        <row r="18">
          <cell r="D18">
            <v>4.3229438336104917E-2</v>
          </cell>
        </row>
        <row r="19">
          <cell r="D19">
            <v>4.3229438336104917E-2</v>
          </cell>
        </row>
        <row r="30">
          <cell r="D30">
            <v>0.1</v>
          </cell>
        </row>
        <row r="31">
          <cell r="D31">
            <v>0.1</v>
          </cell>
        </row>
        <row r="32">
          <cell r="D32">
            <v>0.1</v>
          </cell>
        </row>
        <row r="33">
          <cell r="D33">
            <v>0.1</v>
          </cell>
        </row>
        <row r="34">
          <cell r="D34">
            <v>0.1</v>
          </cell>
        </row>
        <row r="35">
          <cell r="D35">
            <v>0.1</v>
          </cell>
        </row>
        <row r="36">
          <cell r="D36">
            <v>0.1</v>
          </cell>
        </row>
        <row r="37">
          <cell r="D37">
            <v>0.1</v>
          </cell>
        </row>
        <row r="38">
          <cell r="D38">
            <v>0.1</v>
          </cell>
        </row>
        <row r="39">
          <cell r="D39">
            <v>0.1</v>
          </cell>
        </row>
      </sheetData>
      <sheetData sheetId="2"/>
      <sheetData sheetId="3"/>
      <sheetData sheetId="4">
        <row r="4">
          <cell r="X4">
            <v>6.763874629234343E-3</v>
          </cell>
        </row>
        <row r="5">
          <cell r="W5">
            <v>2.4325566305668782E-2</v>
          </cell>
          <cell r="X5">
            <v>8.4409715080670661E-3</v>
          </cell>
        </row>
        <row r="6">
          <cell r="W6">
            <v>2.0644313808763703E-2</v>
          </cell>
          <cell r="X6">
            <v>1.0012492197250396E-2</v>
          </cell>
        </row>
        <row r="7">
          <cell r="X7">
            <v>1.0535653752852741E-2</v>
          </cell>
        </row>
        <row r="8">
          <cell r="X8">
            <v>1.3181426326464067E-2</v>
          </cell>
        </row>
        <row r="9">
          <cell r="X9">
            <v>1.2349089035228472E-2</v>
          </cell>
        </row>
        <row r="10">
          <cell r="X10">
            <v>1.2062338081814819E-2</v>
          </cell>
        </row>
        <row r="11">
          <cell r="X11">
            <v>9.1923881554251182E-3</v>
          </cell>
        </row>
        <row r="12">
          <cell r="X12">
            <v>1.2519984025548915E-2</v>
          </cell>
        </row>
        <row r="13">
          <cell r="X13">
            <v>1.2893796958227628E-2</v>
          </cell>
        </row>
        <row r="14">
          <cell r="X14">
            <v>1.2903487900563943E-2</v>
          </cell>
        </row>
        <row r="15">
          <cell r="X15">
            <v>1.2718097341976908E-2</v>
          </cell>
        </row>
        <row r="16">
          <cell r="X16">
            <v>1.2549900398011129E-2</v>
          </cell>
        </row>
        <row r="17">
          <cell r="X17">
            <v>8.5000000000000023E-3</v>
          </cell>
        </row>
        <row r="18">
          <cell r="X18">
            <v>9.6824583655185422E-3</v>
          </cell>
        </row>
        <row r="19">
          <cell r="X19">
            <v>7.4498322128756615E-3</v>
          </cell>
        </row>
        <row r="22">
          <cell r="X22">
            <v>6.442049363362564E-3</v>
          </cell>
        </row>
        <row r="23">
          <cell r="X23">
            <v>1.2124355652982142E-2</v>
          </cell>
        </row>
        <row r="24">
          <cell r="X24">
            <v>8.2613558209291525E-3</v>
          </cell>
        </row>
        <row r="25">
          <cell r="X25">
            <v>9.3005376188691289E-3</v>
          </cell>
        </row>
        <row r="26">
          <cell r="X26">
            <v>7.3654599313281192E-3</v>
          </cell>
        </row>
        <row r="30">
          <cell r="D30">
            <v>0.54500000000000004</v>
          </cell>
        </row>
        <row r="31">
          <cell r="D31">
            <v>0.52700000000000002</v>
          </cell>
        </row>
        <row r="32">
          <cell r="D32">
            <v>0.56100000000000005</v>
          </cell>
        </row>
        <row r="33">
          <cell r="D33">
            <v>0.59</v>
          </cell>
        </row>
        <row r="34">
          <cell r="D34">
            <v>0.53700000000000003</v>
          </cell>
        </row>
        <row r="35">
          <cell r="D35">
            <v>0.55800000000000005</v>
          </cell>
        </row>
        <row r="36">
          <cell r="D36">
            <v>0.51700000000000002</v>
          </cell>
        </row>
        <row r="37">
          <cell r="D37">
            <v>0.55800000000000005</v>
          </cell>
        </row>
        <row r="38">
          <cell r="D38">
            <v>0.56499999999999995</v>
          </cell>
        </row>
        <row r="39">
          <cell r="D39">
            <v>0.53300000000000003</v>
          </cell>
        </row>
      </sheetData>
      <sheetData sheetId="5"/>
      <sheetData sheetId="6">
        <row r="21">
          <cell r="C21">
            <v>0.19</v>
          </cell>
        </row>
        <row r="22">
          <cell r="C22">
            <v>0.216</v>
          </cell>
        </row>
        <row r="23">
          <cell r="C23">
            <v>0.23499999999999999</v>
          </cell>
        </row>
        <row r="24">
          <cell r="C24">
            <v>0.4</v>
          </cell>
        </row>
        <row r="25">
          <cell r="C25">
            <v>0.23799999999999999</v>
          </cell>
        </row>
        <row r="26">
          <cell r="C26">
            <v>0.188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Ruler="0" workbookViewId="0">
      <selection activeCell="A10" sqref="A10:C17"/>
    </sheetView>
  </sheetViews>
  <sheetFormatPr baseColWidth="10" defaultRowHeight="15" x14ac:dyDescent="0"/>
  <sheetData>
    <row r="1" spans="1:12">
      <c r="A1" s="1" t="s">
        <v>29</v>
      </c>
      <c r="B1" s="1" t="s">
        <v>1</v>
      </c>
      <c r="C1" s="1" t="s">
        <v>30</v>
      </c>
      <c r="D1" s="1" t="s">
        <v>94</v>
      </c>
      <c r="E1" s="1" t="s">
        <v>4</v>
      </c>
      <c r="F1" s="1" t="s">
        <v>95</v>
      </c>
      <c r="G1" s="1" t="s">
        <v>4</v>
      </c>
      <c r="H1" s="1" t="s">
        <v>96</v>
      </c>
      <c r="I1" s="1" t="s">
        <v>4</v>
      </c>
      <c r="J1" s="1" t="s">
        <v>7</v>
      </c>
      <c r="K1" s="1" t="s">
        <v>4</v>
      </c>
      <c r="L1" s="1" t="s">
        <v>40</v>
      </c>
    </row>
    <row r="2" spans="1:12">
      <c r="A2" s="41" t="s">
        <v>8</v>
      </c>
      <c r="B2" s="1" t="s">
        <v>9</v>
      </c>
      <c r="C2" s="42" t="s">
        <v>10</v>
      </c>
      <c r="D2" s="2">
        <f ca="1">[1]Summary!D3</f>
        <v>396.46899999999999</v>
      </c>
      <c r="E2" s="2">
        <f ca="1">[1]Summary!E3</f>
        <v>23.965599999999998</v>
      </c>
      <c r="F2" s="2">
        <f ca="1">[1]Summary!F3</f>
        <v>306.75</v>
      </c>
      <c r="G2" s="2">
        <f ca="1">[1]Summary!G3</f>
        <v>22.272500000000001</v>
      </c>
      <c r="H2" s="2">
        <f ca="1">[1]Summary!H3</f>
        <v>89.719099999999997</v>
      </c>
      <c r="I2" s="2">
        <f ca="1">[1]Summary!I3</f>
        <v>13.478199999999999</v>
      </c>
      <c r="J2" s="4">
        <f ca="1">[1]Summary!J3</f>
        <v>0.226295</v>
      </c>
      <c r="K2" s="4">
        <f ca="1">[1]Summary!K3</f>
        <v>3.1122199999999999E-2</v>
      </c>
      <c r="L2" s="4">
        <f ca="1">D2-F2-H2</f>
        <v>-1.0000000000331966E-4</v>
      </c>
    </row>
    <row r="3" spans="1:12">
      <c r="A3" s="41"/>
      <c r="B3" s="1" t="s">
        <v>11</v>
      </c>
      <c r="C3" s="42"/>
      <c r="D3" s="2">
        <f ca="1">[1]Summary!D4</f>
        <v>260.846</v>
      </c>
      <c r="E3" s="2">
        <f ca="1">[1]Summary!E4</f>
        <v>19.561399999999999</v>
      </c>
      <c r="F3" s="2">
        <f ca="1">[1]Summary!F4</f>
        <v>208.55799999999999</v>
      </c>
      <c r="G3" s="2">
        <f ca="1">[1]Summary!G4</f>
        <v>18.416599999999999</v>
      </c>
      <c r="H3" s="2">
        <f ca="1">[1]Summary!H4</f>
        <v>52.287999999999997</v>
      </c>
      <c r="I3" s="2">
        <f ca="1">[1]Summary!I4</f>
        <v>10.4848</v>
      </c>
      <c r="J3" s="4">
        <f ca="1">[1]Summary!J4</f>
        <v>0.20045499999999999</v>
      </c>
      <c r="K3" s="4">
        <f ca="1">[1]Summary!K4</f>
        <v>3.72783E-2</v>
      </c>
      <c r="L3" s="4">
        <f t="shared" ref="L3:L17" ca="1" si="0">D3-F3-H3</f>
        <v>0</v>
      </c>
    </row>
    <row r="4" spans="1:12">
      <c r="A4" s="41"/>
      <c r="B4" s="1" t="s">
        <v>12</v>
      </c>
      <c r="C4" s="42"/>
      <c r="D4" s="2">
        <f ca="1">[1]Summary!D5</f>
        <v>137.767</v>
      </c>
      <c r="E4" s="2">
        <f ca="1">[1]Summary!E5</f>
        <v>13.886200000000001</v>
      </c>
      <c r="F4" s="2">
        <f ca="1">[1]Summary!F5</f>
        <v>102.992</v>
      </c>
      <c r="G4" s="2">
        <f ca="1">[1]Summary!G5</f>
        <v>12.436199999999999</v>
      </c>
      <c r="H4" s="2">
        <f ca="1">[1]Summary!H5</f>
        <v>34.774999999999999</v>
      </c>
      <c r="I4" s="2">
        <f ca="1">[1]Summary!I5</f>
        <v>7.6928000000000001</v>
      </c>
      <c r="J4" s="4">
        <f ca="1">[1]Summary!J5</f>
        <v>0.25241999999999998</v>
      </c>
      <c r="K4" s="4">
        <f ca="1">[1]Summary!K5</f>
        <v>4.9706199999999999E-2</v>
      </c>
      <c r="L4" s="4">
        <f t="shared" ca="1" si="0"/>
        <v>0</v>
      </c>
    </row>
    <row r="5" spans="1:12">
      <c r="A5" s="7" t="s">
        <v>13</v>
      </c>
      <c r="B5" s="1" t="s">
        <v>9</v>
      </c>
      <c r="C5" s="42"/>
      <c r="D5" s="2">
        <f ca="1">[1]Summary!D6</f>
        <v>174.33199999999999</v>
      </c>
      <c r="E5" s="2">
        <f ca="1">[1]Summary!E6</f>
        <v>16.419899999999998</v>
      </c>
      <c r="F5" s="2">
        <f ca="1">[1]Summary!F6</f>
        <v>137.244</v>
      </c>
      <c r="G5" s="2">
        <f ca="1">[1]Summary!G6</f>
        <v>15.0952</v>
      </c>
      <c r="H5" s="2">
        <f ca="1">[1]Summary!H6</f>
        <v>37.087800000000001</v>
      </c>
      <c r="I5" s="2">
        <f ca="1">[1]Summary!I6</f>
        <v>8.5421600000000009</v>
      </c>
      <c r="J5" s="4">
        <f ca="1">[1]Summary!J6</f>
        <v>0.21274199999999999</v>
      </c>
      <c r="K5" s="4">
        <f ca="1">[1]Summary!K6</f>
        <v>4.4714999999999998E-2</v>
      </c>
      <c r="L5" s="4">
        <f t="shared" ca="1" si="0"/>
        <v>1.9999999999242846E-4</v>
      </c>
    </row>
    <row r="6" spans="1:12">
      <c r="A6" s="41" t="s">
        <v>14</v>
      </c>
      <c r="B6" s="1" t="s">
        <v>9</v>
      </c>
      <c r="C6" s="42"/>
      <c r="D6" s="2">
        <f ca="1">[1]Summary!D7</f>
        <v>90.325299999999999</v>
      </c>
      <c r="E6" s="2">
        <f ca="1">[1]Summary!E7</f>
        <v>11.1724</v>
      </c>
      <c r="F6" s="2">
        <f ca="1">[1]Summary!F7</f>
        <v>71.643100000000004</v>
      </c>
      <c r="G6" s="2">
        <f ca="1">[1]Summary!G7</f>
        <v>10.733499999999999</v>
      </c>
      <c r="H6" s="2">
        <f ca="1">[1]Summary!H7</f>
        <v>18.682200000000002</v>
      </c>
      <c r="I6" s="2">
        <f ca="1">[1]Summary!I7</f>
        <v>6.4822699999999998</v>
      </c>
      <c r="J6" s="4">
        <f ca="1">[1]Summary!J7</f>
        <v>0.20683199999999999</v>
      </c>
      <c r="K6" s="4">
        <f ca="1">[1]Summary!K7</f>
        <v>6.7050999999999999E-2</v>
      </c>
      <c r="L6" s="4">
        <f t="shared" ca="1" si="0"/>
        <v>0</v>
      </c>
    </row>
    <row r="7" spans="1:12">
      <c r="A7" s="41"/>
      <c r="B7" s="1" t="s">
        <v>15</v>
      </c>
      <c r="C7" s="42"/>
      <c r="D7" s="2">
        <f ca="1">[1]Summary!D8</f>
        <v>103.078</v>
      </c>
      <c r="E7" s="2">
        <f ca="1">[1]Summary!E8</f>
        <v>13.0311</v>
      </c>
      <c r="F7" s="2">
        <f ca="1">[1]Summary!F8</f>
        <v>87.739199999999997</v>
      </c>
      <c r="G7" s="2">
        <f ca="1">[1]Summary!G8</f>
        <v>13.145099999999999</v>
      </c>
      <c r="H7" s="2">
        <f ca="1">[1]Summary!H8</f>
        <v>15.3393</v>
      </c>
      <c r="I7" s="2">
        <f ca="1">[1]Summary!I8</f>
        <v>7.3159000000000001</v>
      </c>
      <c r="J7" s="4">
        <f ca="1">[1]Summary!J8</f>
        <v>0.148811</v>
      </c>
      <c r="K7" s="4">
        <f ca="1">[1]Summary!K8</f>
        <v>6.8435399999999993E-2</v>
      </c>
      <c r="L7" s="4">
        <f t="shared" ca="1" si="0"/>
        <v>-4.9999999999350564E-4</v>
      </c>
    </row>
    <row r="8" spans="1:12">
      <c r="A8" s="41" t="s">
        <v>16</v>
      </c>
      <c r="B8" s="1" t="s">
        <v>9</v>
      </c>
      <c r="C8" s="42"/>
      <c r="D8" s="2">
        <f ca="1">[1]Summary!D9</f>
        <v>149.86600000000001</v>
      </c>
      <c r="E8" s="2">
        <f ca="1">[1]Summary!E9</f>
        <v>14.499000000000001</v>
      </c>
      <c r="F8" s="2">
        <f ca="1">[1]Summary!F9</f>
        <v>125.804</v>
      </c>
      <c r="G8" s="2">
        <f ca="1">[1]Summary!G9</f>
        <v>14.110900000000001</v>
      </c>
      <c r="H8" s="2">
        <f ca="1">[1]Summary!H9</f>
        <v>24.061900000000001</v>
      </c>
      <c r="I8" s="2">
        <f ca="1">[1]Summary!I9</f>
        <v>7.5100300000000004</v>
      </c>
      <c r="J8" s="4">
        <f ca="1">[1]Summary!J9</f>
        <v>0.16055700000000001</v>
      </c>
      <c r="K8" s="4">
        <f ca="1">[1]Summary!K9</f>
        <v>4.7643499999999998E-2</v>
      </c>
      <c r="L8" s="4">
        <f t="shared" ca="1" si="0"/>
        <v>1.0000000001042508E-4</v>
      </c>
    </row>
    <row r="9" spans="1:12">
      <c r="A9" s="41"/>
      <c r="B9" s="1" t="s">
        <v>17</v>
      </c>
      <c r="C9" s="42"/>
      <c r="D9" s="2">
        <f ca="1">[1]Summary!D10</f>
        <v>447.24099999999999</v>
      </c>
      <c r="E9" s="2">
        <f ca="1">[1]Summary!E10</f>
        <v>63.208599999999997</v>
      </c>
      <c r="F9" s="2">
        <f ca="1">[1]Summary!F10</f>
        <v>374.04700000000003</v>
      </c>
      <c r="G9" s="2">
        <f ca="1">[1]Summary!G10</f>
        <v>55.187899999999999</v>
      </c>
      <c r="H9" s="2">
        <f ca="1">[1]Summary!H10</f>
        <v>73.194500000000005</v>
      </c>
      <c r="I9" s="2">
        <f ca="1">[1]Summary!I10</f>
        <v>18.9237</v>
      </c>
      <c r="J9" s="4">
        <f ca="1">[1]Summary!J10</f>
        <v>0.163658</v>
      </c>
      <c r="K9" s="4">
        <f ca="1">[1]Summary!K10</f>
        <v>3.5430400000000001E-2</v>
      </c>
      <c r="L9" s="4">
        <f t="shared" ca="1" si="0"/>
        <v>-5.0000000004501999E-4</v>
      </c>
    </row>
    <row r="10" spans="1:12">
      <c r="A10" s="41" t="s">
        <v>8</v>
      </c>
      <c r="B10" s="41" t="s">
        <v>9</v>
      </c>
      <c r="C10" s="8" t="s">
        <v>18</v>
      </c>
      <c r="D10" s="2">
        <f ca="1">[1]Summary!D11</f>
        <v>112.855</v>
      </c>
      <c r="E10" s="2">
        <f ca="1">[1]Summary!E11</f>
        <v>12.4671</v>
      </c>
      <c r="F10" s="2">
        <f ca="1">[1]Summary!F11</f>
        <v>79.252200000000002</v>
      </c>
      <c r="G10" s="2">
        <f ca="1">[1]Summary!G11</f>
        <v>11.388500000000001</v>
      </c>
      <c r="H10" s="2">
        <f ca="1">[1]Summary!H11</f>
        <v>33.602699999999999</v>
      </c>
      <c r="I10" s="2">
        <f ca="1">[1]Summary!I11</f>
        <v>8.1747399999999999</v>
      </c>
      <c r="J10" s="4">
        <f ca="1">[1]Summary!J11</f>
        <v>0.29775099999999999</v>
      </c>
      <c r="K10" s="4">
        <f ca="1">[1]Summary!K11</f>
        <v>6.4536999999999997E-2</v>
      </c>
      <c r="L10" s="4">
        <f t="shared" ca="1" si="0"/>
        <v>1.0000000000331966E-4</v>
      </c>
    </row>
    <row r="11" spans="1:12">
      <c r="A11" s="41"/>
      <c r="B11" s="41"/>
      <c r="C11" s="8" t="s">
        <v>19</v>
      </c>
      <c r="D11" s="2">
        <f ca="1">[1]Summary!D12</f>
        <v>79.810500000000005</v>
      </c>
      <c r="E11" s="2">
        <f ca="1">[1]Summary!E12</f>
        <v>10.086</v>
      </c>
      <c r="F11" s="2">
        <f ca="1">[1]Summary!F12</f>
        <v>56.794199999999996</v>
      </c>
      <c r="G11" s="2">
        <f ca="1">[1]Summary!G12</f>
        <v>9.2707300000000004</v>
      </c>
      <c r="H11" s="2">
        <f ca="1">[1]Summary!H12</f>
        <v>23.016300000000001</v>
      </c>
      <c r="I11" s="2">
        <f ca="1">[1]Summary!I12</f>
        <v>6.5492800000000004</v>
      </c>
      <c r="J11" s="4">
        <f ca="1">[1]Summary!J12</f>
        <v>0.288387</v>
      </c>
      <c r="K11" s="4">
        <f ca="1">[1]Summary!K12</f>
        <v>7.3523400000000003E-2</v>
      </c>
      <c r="L11" s="4">
        <f t="shared" ca="1" si="0"/>
        <v>0</v>
      </c>
    </row>
    <row r="12" spans="1:12">
      <c r="A12" s="41"/>
      <c r="B12" s="41"/>
      <c r="C12" s="8" t="s">
        <v>20</v>
      </c>
      <c r="D12" s="2">
        <f ca="1">[1]Summary!D13</f>
        <v>63.361800000000002</v>
      </c>
      <c r="E12" s="2">
        <f ca="1">[1]Summary!E13</f>
        <v>8.8439399999999999</v>
      </c>
      <c r="F12" s="2">
        <f ca="1">[1]Summary!F13</f>
        <v>58.876100000000001</v>
      </c>
      <c r="G12" s="2">
        <f ca="1">[1]Summary!G13</f>
        <v>8.7785499999999992</v>
      </c>
      <c r="H12" s="2">
        <f ca="1">[1]Summary!H13</f>
        <v>4.4857199999999997</v>
      </c>
      <c r="I12" s="2">
        <f ca="1">[1]Summary!I13</f>
        <v>3.1499600000000001</v>
      </c>
      <c r="J12" s="4">
        <f ca="1">[1]Summary!J13</f>
        <v>7.0795200000000003E-2</v>
      </c>
      <c r="K12" s="4">
        <f ca="1">[1]Summary!K13</f>
        <v>4.8721899999999999E-2</v>
      </c>
      <c r="L12" s="4">
        <f t="shared" ca="1" si="0"/>
        <v>-1.9999999998354667E-5</v>
      </c>
    </row>
    <row r="13" spans="1:12">
      <c r="A13" s="41"/>
      <c r="B13" s="41"/>
      <c r="C13" s="8" t="s">
        <v>21</v>
      </c>
      <c r="D13" s="2">
        <f ca="1">[1]Summary!D14</f>
        <v>58.244999999999997</v>
      </c>
      <c r="E13" s="2">
        <f ca="1">[1]Summary!E14</f>
        <v>8.2205399999999997</v>
      </c>
      <c r="F13" s="2">
        <f ca="1">[1]Summary!F14</f>
        <v>47.667900000000003</v>
      </c>
      <c r="G13" s="2">
        <f ca="1">[1]Summary!G14</f>
        <v>7.7744499999999999</v>
      </c>
      <c r="H13" s="2">
        <f ca="1">[1]Summary!H14</f>
        <v>10.5771</v>
      </c>
      <c r="I13" s="2">
        <f ca="1">[1]Summary!I14</f>
        <v>4.1723400000000002</v>
      </c>
      <c r="J13" s="4">
        <f ca="1">[1]Summary!J14</f>
        <v>0.18159700000000001</v>
      </c>
      <c r="K13" s="4">
        <f ca="1">[1]Summary!K14</f>
        <v>6.6892300000000002E-2</v>
      </c>
      <c r="L13" s="4">
        <f t="shared" ca="1" si="0"/>
        <v>0</v>
      </c>
    </row>
    <row r="14" spans="1:12">
      <c r="A14" s="41"/>
      <c r="B14" s="41"/>
      <c r="C14" s="8" t="s">
        <v>22</v>
      </c>
      <c r="D14" s="2">
        <f ca="1">[1]Summary!D15</f>
        <v>45.228099999999998</v>
      </c>
      <c r="E14" s="2">
        <f ca="1">[1]Summary!E15</f>
        <v>7.0477100000000004</v>
      </c>
      <c r="F14" s="2">
        <f ca="1">[1]Summary!F15</f>
        <v>34.704799999999999</v>
      </c>
      <c r="G14" s="2">
        <f ca="1">[1]Summary!G15</f>
        <v>6.7179500000000001</v>
      </c>
      <c r="H14" s="2">
        <f ca="1">[1]Summary!H15</f>
        <v>10.523300000000001</v>
      </c>
      <c r="I14" s="2">
        <f ca="1">[1]Summary!I15</f>
        <v>4.3098099999999997</v>
      </c>
      <c r="J14" s="4">
        <f ca="1">[1]Summary!J15</f>
        <v>0.23267199999999999</v>
      </c>
      <c r="K14" s="4">
        <f ca="1">[1]Summary!K15</f>
        <v>8.8123599999999996E-2</v>
      </c>
      <c r="L14" s="4">
        <f t="shared" ca="1" si="0"/>
        <v>0</v>
      </c>
    </row>
    <row r="15" spans="1:12">
      <c r="A15" s="41"/>
      <c r="B15" s="41"/>
      <c r="C15" s="8" t="s">
        <v>23</v>
      </c>
      <c r="D15" s="2">
        <f ca="1">[1]Summary!D16</f>
        <v>36.657800000000002</v>
      </c>
      <c r="E15" s="2">
        <f ca="1">[1]Summary!E16</f>
        <v>6.2381700000000002</v>
      </c>
      <c r="F15" s="2">
        <f ca="1">[1]Summary!F16</f>
        <v>29.239000000000001</v>
      </c>
      <c r="G15" s="2">
        <f ca="1">[1]Summary!G16</f>
        <v>5.7256900000000002</v>
      </c>
      <c r="H15" s="2">
        <f ca="1">[1]Summary!H16</f>
        <v>7.4187700000000003</v>
      </c>
      <c r="I15" s="2">
        <f ca="1">[1]Summary!I16</f>
        <v>3.1015899999999998</v>
      </c>
      <c r="J15" s="4">
        <f ca="1">[1]Summary!J16</f>
        <v>0.202379</v>
      </c>
      <c r="K15" s="4">
        <f ca="1">[1]Summary!K16</f>
        <v>7.7282900000000002E-2</v>
      </c>
      <c r="L15" s="4">
        <f t="shared" ca="1" si="0"/>
        <v>3.0000000000640625E-5</v>
      </c>
    </row>
    <row r="16" spans="1:12">
      <c r="A16" s="41"/>
      <c r="B16" s="41"/>
      <c r="C16" s="8" t="s">
        <v>24</v>
      </c>
      <c r="D16" s="2">
        <f ca="1">[1]Summary!D17</f>
        <v>192.94200000000001</v>
      </c>
      <c r="E16" s="2">
        <f ca="1">[1]Summary!E17</f>
        <v>16.0366</v>
      </c>
      <c r="F16" s="2">
        <f ca="1">[1]Summary!F17</f>
        <v>137.012</v>
      </c>
      <c r="G16" s="2">
        <f ca="1">[1]Summary!G17</f>
        <v>15.0991</v>
      </c>
      <c r="H16" s="2">
        <f ca="1">[1]Summary!H17</f>
        <v>55.930399999999999</v>
      </c>
      <c r="I16" s="2">
        <f ca="1">[1]Summary!I17</f>
        <v>10.9504</v>
      </c>
      <c r="J16" s="4">
        <f ca="1">[1]Summary!J17</f>
        <v>0.28988199999999997</v>
      </c>
      <c r="K16" s="4">
        <f ca="1">[1]Summary!K17</f>
        <v>5.1386599999999998E-2</v>
      </c>
      <c r="L16" s="4">
        <f t="shared" ca="1" si="0"/>
        <v>-3.9999999999196234E-4</v>
      </c>
    </row>
    <row r="17" spans="1:12">
      <c r="A17" s="41"/>
      <c r="B17" s="41"/>
      <c r="C17" s="8" t="s">
        <v>25</v>
      </c>
      <c r="D17" s="2">
        <f ca="1">[1]Summary!D18</f>
        <v>204.755</v>
      </c>
      <c r="E17" s="2">
        <f ca="1">[1]Summary!E18</f>
        <v>15.3818</v>
      </c>
      <c r="F17" s="2">
        <f ca="1">[1]Summary!F18</f>
        <v>172.54599999999999</v>
      </c>
      <c r="G17" s="2">
        <f ca="1">[1]Summary!G18</f>
        <v>14.903499999999999</v>
      </c>
      <c r="H17" s="2">
        <f ca="1">[1]Summary!H18</f>
        <v>32.209800000000001</v>
      </c>
      <c r="I17" s="2">
        <f ca="1">[1]Summary!I18</f>
        <v>7.7429699999999997</v>
      </c>
      <c r="J17" s="4">
        <f ca="1">[1]Summary!J18</f>
        <v>0.157308</v>
      </c>
      <c r="K17" s="4">
        <f ca="1">[1]Summary!K18</f>
        <v>3.5921799999999997E-2</v>
      </c>
      <c r="L17" s="4">
        <f t="shared" ca="1" si="0"/>
        <v>-7.9999999999813554E-4</v>
      </c>
    </row>
  </sheetData>
  <mergeCells count="6">
    <mergeCell ref="A2:A4"/>
    <mergeCell ref="C2:C9"/>
    <mergeCell ref="A6:A7"/>
    <mergeCell ref="A8:A9"/>
    <mergeCell ref="A10:A17"/>
    <mergeCell ref="B10:B1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showRuler="0" workbookViewId="0">
      <pane xSplit="4" ySplit="1" topLeftCell="R21" activePane="bottomRight" state="frozen"/>
      <selection pane="topRight" activeCell="E1" sqref="E1"/>
      <selection pane="bottomLeft" activeCell="A2" sqref="A2"/>
      <selection pane="bottomRight" activeCell="U42" sqref="U42"/>
    </sheetView>
  </sheetViews>
  <sheetFormatPr baseColWidth="10" defaultRowHeight="15" x14ac:dyDescent="0"/>
  <cols>
    <col min="1" max="1" width="8.83203125" bestFit="1" customWidth="1"/>
    <col min="2" max="2" width="8.83203125" customWidth="1"/>
    <col min="4" max="4" width="13.5" hidden="1" customWidth="1"/>
    <col min="5" max="5" width="11.1640625" bestFit="1" customWidth="1"/>
    <col min="6" max="6" width="9.1640625" bestFit="1" customWidth="1"/>
    <col min="7" max="7" width="10.5" bestFit="1" customWidth="1"/>
    <col min="8" max="8" width="9.1640625" bestFit="1" customWidth="1"/>
    <col min="9" max="9" width="8.1640625" bestFit="1" customWidth="1"/>
    <col min="10" max="10" width="9.1640625" bestFit="1" customWidth="1"/>
    <col min="11" max="12" width="12.1640625" bestFit="1" customWidth="1"/>
    <col min="14" max="20" width="10.83203125" style="1"/>
  </cols>
  <sheetData>
    <row r="1" spans="1:42">
      <c r="A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46</v>
      </c>
      <c r="I1" t="s">
        <v>48</v>
      </c>
      <c r="J1" t="s">
        <v>49</v>
      </c>
      <c r="K1" t="s">
        <v>50</v>
      </c>
      <c r="L1" t="s">
        <v>46</v>
      </c>
      <c r="O1" t="s">
        <v>51</v>
      </c>
      <c r="P1" t="s">
        <v>46</v>
      </c>
      <c r="Q1" t="s">
        <v>52</v>
      </c>
      <c r="R1" t="s">
        <v>46</v>
      </c>
      <c r="S1" t="s">
        <v>48</v>
      </c>
      <c r="T1" t="s">
        <v>46</v>
      </c>
      <c r="U1" t="s">
        <v>50</v>
      </c>
      <c r="V1" t="s">
        <v>46</v>
      </c>
      <c r="Y1" t="s">
        <v>51</v>
      </c>
      <c r="Z1" t="s">
        <v>46</v>
      </c>
      <c r="AA1" t="s">
        <v>52</v>
      </c>
      <c r="AB1" t="s">
        <v>46</v>
      </c>
      <c r="AC1" t="s">
        <v>48</v>
      </c>
      <c r="AD1" t="s">
        <v>46</v>
      </c>
      <c r="AE1" t="s">
        <v>50</v>
      </c>
      <c r="AF1" t="s">
        <v>46</v>
      </c>
      <c r="AI1" t="s">
        <v>51</v>
      </c>
      <c r="AJ1" t="s">
        <v>46</v>
      </c>
      <c r="AK1" t="s">
        <v>52</v>
      </c>
      <c r="AL1" t="s">
        <v>46</v>
      </c>
      <c r="AM1" t="s">
        <v>48</v>
      </c>
      <c r="AN1" t="s">
        <v>46</v>
      </c>
      <c r="AO1" t="s">
        <v>50</v>
      </c>
      <c r="AP1" t="s">
        <v>46</v>
      </c>
    </row>
    <row r="2" spans="1:42">
      <c r="A2">
        <v>0</v>
      </c>
      <c r="B2">
        <v>2.5</v>
      </c>
      <c r="C2" t="s">
        <v>53</v>
      </c>
      <c r="D2">
        <v>3627.12</v>
      </c>
      <c r="E2" s="4">
        <v>393.62200000000001</v>
      </c>
      <c r="F2" s="4">
        <v>12.485099999999999</v>
      </c>
      <c r="G2" s="4">
        <v>1747.86</v>
      </c>
      <c r="H2" s="4">
        <v>127.75</v>
      </c>
      <c r="I2" s="4">
        <v>1.87574</v>
      </c>
      <c r="J2" s="4">
        <v>0.78811900000000001</v>
      </c>
      <c r="K2" s="4">
        <f t="shared" ref="K2:L41" si="0">G2/64</f>
        <v>27.310312499999998</v>
      </c>
      <c r="L2" s="4">
        <f t="shared" si="0"/>
        <v>1.99609375</v>
      </c>
      <c r="N2" s="41" t="s">
        <v>18</v>
      </c>
      <c r="O2" s="52">
        <f>AVERAGE(E2:E5)</f>
        <v>355.35275000000001</v>
      </c>
      <c r="P2" s="44">
        <f>SQRT(F2*F2+F3*F3+F4*F4+F5*F5)/4</f>
        <v>8.2900993484698358</v>
      </c>
      <c r="Q2" s="52">
        <f>AVERAGE(G2:G5)</f>
        <v>1483.8874999999998</v>
      </c>
      <c r="R2" s="44">
        <f>SQRT(H2*H2+H3*H3+H4*H4+H5*H5)/4</f>
        <v>71.835171076743464</v>
      </c>
      <c r="S2" s="52">
        <f>AVERAGE(I2:I5)</f>
        <v>3.3612399999999996</v>
      </c>
      <c r="T2" s="44">
        <f>SQRT(J2*J2+J3*J3+J4*J4+J5*J5)/4</f>
        <v>0.34399962880694002</v>
      </c>
      <c r="U2" s="52">
        <f>AVERAGE(K2:K5)</f>
        <v>23.185742187499997</v>
      </c>
      <c r="V2" s="44">
        <f>SQRT(L2*L2+L3*L3+L4*L4+L5*L5)/4</f>
        <v>1.1224245480741166</v>
      </c>
      <c r="AH2" s="44" t="s">
        <v>24</v>
      </c>
      <c r="AI2" s="52">
        <f>AVERAGE(E2:E9)</f>
        <v>308.38525000000004</v>
      </c>
      <c r="AJ2" s="44">
        <f>SQRT(F2*F2+F3*F3+F4*F4+F5*F5+F6*F6+F7*F7+F8*F8+F9*F9)/8</f>
        <v>6.3334077448726207</v>
      </c>
      <c r="AK2" s="52">
        <f>AVERAGE(G2:G9)</f>
        <v>1205.2299999999998</v>
      </c>
      <c r="AL2" s="44">
        <f>SQRT(H2*H2+H3*H3+H4*H4+H5*H5+H6*H6+H7*H7+H8*H8+H9*H9)/8</f>
        <v>48.993574808335836</v>
      </c>
      <c r="AM2" s="52">
        <f>AVERAGE(I2:I9)</f>
        <v>4.6866162499999993</v>
      </c>
      <c r="AN2" s="44">
        <f>SQRT(J2*J2+J3*J3+J4*J4+J5*J5+J6*J6+J7*J7+J8*J8+J9*J9)/8</f>
        <v>0.22108180846623976</v>
      </c>
      <c r="AO2" s="52">
        <f>AVERAGE(K2:K9)</f>
        <v>18.831718749999997</v>
      </c>
      <c r="AP2" s="44">
        <f>SQRT(L2*L2+L3*L3+L4*L4+L5*L5+L6*L6+L7*L7+L8*L8+L9*L9)/8</f>
        <v>0.76552460638024744</v>
      </c>
    </row>
    <row r="3" spans="1:42">
      <c r="A3">
        <v>1</v>
      </c>
      <c r="B3">
        <v>5</v>
      </c>
      <c r="C3" t="s">
        <v>54</v>
      </c>
      <c r="D3">
        <v>3269.48</v>
      </c>
      <c r="E3" s="4">
        <v>368.96499999999997</v>
      </c>
      <c r="F3" s="4">
        <v>16.7561</v>
      </c>
      <c r="G3" s="4">
        <v>1567.53</v>
      </c>
      <c r="H3" s="4">
        <v>151.09100000000001</v>
      </c>
      <c r="I3" s="4">
        <v>3.0189900000000001</v>
      </c>
      <c r="J3" s="4">
        <v>0.72649399999999997</v>
      </c>
      <c r="K3" s="4">
        <f t="shared" si="0"/>
        <v>24.49265625</v>
      </c>
      <c r="L3" s="4">
        <f t="shared" si="0"/>
        <v>2.3607968750000001</v>
      </c>
      <c r="N3" s="41"/>
      <c r="O3" s="44"/>
      <c r="P3" s="44"/>
      <c r="Q3" s="44"/>
      <c r="R3" s="44"/>
      <c r="S3" s="44"/>
      <c r="T3" s="44"/>
      <c r="U3" s="44"/>
      <c r="V3" s="44"/>
      <c r="AH3" s="44"/>
      <c r="AI3" s="44"/>
      <c r="AJ3" s="44"/>
      <c r="AK3" s="44"/>
      <c r="AL3" s="44"/>
      <c r="AM3" s="44"/>
      <c r="AN3" s="44"/>
      <c r="AO3" s="44"/>
      <c r="AP3" s="44"/>
    </row>
    <row r="4" spans="1:42">
      <c r="A4">
        <v>2</v>
      </c>
      <c r="B4">
        <v>7.5</v>
      </c>
      <c r="C4" t="s">
        <v>55</v>
      </c>
      <c r="D4">
        <v>2959.09</v>
      </c>
      <c r="E4" s="4">
        <v>342.32900000000001</v>
      </c>
      <c r="F4" s="4">
        <v>17.5397</v>
      </c>
      <c r="G4" s="4">
        <v>1388.39</v>
      </c>
      <c r="H4" s="4">
        <v>147.21899999999999</v>
      </c>
      <c r="I4" s="4">
        <v>3.91675</v>
      </c>
      <c r="J4" s="4">
        <v>0.61128400000000005</v>
      </c>
      <c r="K4" s="4">
        <f t="shared" si="0"/>
        <v>21.693593750000002</v>
      </c>
      <c r="L4" s="4">
        <f t="shared" si="0"/>
        <v>2.3002968749999999</v>
      </c>
      <c r="N4" s="41"/>
      <c r="O4" s="44"/>
      <c r="P4" s="44"/>
      <c r="Q4" s="44"/>
      <c r="R4" s="44"/>
      <c r="S4" s="44"/>
      <c r="T4" s="44"/>
      <c r="U4" s="44"/>
      <c r="V4" s="44"/>
      <c r="AH4" s="44"/>
      <c r="AI4" s="44"/>
      <c r="AJ4" s="44"/>
      <c r="AK4" s="44"/>
      <c r="AL4" s="44"/>
      <c r="AM4" s="44"/>
      <c r="AN4" s="44"/>
      <c r="AO4" s="44"/>
      <c r="AP4" s="44"/>
    </row>
    <row r="5" spans="1:42">
      <c r="A5">
        <v>3</v>
      </c>
      <c r="B5">
        <v>10</v>
      </c>
      <c r="C5" t="s">
        <v>56</v>
      </c>
      <c r="D5">
        <v>2685.35</v>
      </c>
      <c r="E5" s="4">
        <v>316.495</v>
      </c>
      <c r="F5" s="4">
        <v>18.850100000000001</v>
      </c>
      <c r="G5" s="4">
        <v>1231.77</v>
      </c>
      <c r="H5" s="4">
        <v>147.45400000000001</v>
      </c>
      <c r="I5" s="4">
        <v>4.6334799999999996</v>
      </c>
      <c r="J5" s="4">
        <v>0.60891600000000001</v>
      </c>
      <c r="K5" s="4">
        <f t="shared" si="0"/>
        <v>19.24640625</v>
      </c>
      <c r="L5" s="4">
        <f t="shared" si="0"/>
        <v>2.3039687500000001</v>
      </c>
      <c r="N5" s="41"/>
      <c r="O5" s="44"/>
      <c r="P5" s="44"/>
      <c r="Q5" s="44"/>
      <c r="R5" s="44"/>
      <c r="S5" s="44"/>
      <c r="T5" s="44"/>
      <c r="U5" s="44"/>
      <c r="V5" s="44"/>
      <c r="AH5" s="44"/>
      <c r="AI5" s="44"/>
      <c r="AJ5" s="44"/>
      <c r="AK5" s="44"/>
      <c r="AL5" s="44"/>
      <c r="AM5" s="44"/>
      <c r="AN5" s="44"/>
      <c r="AO5" s="44"/>
      <c r="AP5" s="44"/>
    </row>
    <row r="6" spans="1:42">
      <c r="A6">
        <v>4</v>
      </c>
      <c r="B6">
        <v>12.5</v>
      </c>
      <c r="C6" t="s">
        <v>57</v>
      </c>
      <c r="D6">
        <v>2435.3000000000002</v>
      </c>
      <c r="E6" s="4">
        <v>293.49799999999999</v>
      </c>
      <c r="F6" s="4">
        <v>19.7212</v>
      </c>
      <c r="G6" s="4">
        <v>1098.2</v>
      </c>
      <c r="H6" s="4">
        <v>144.96</v>
      </c>
      <c r="I6" s="4">
        <v>5.23109</v>
      </c>
      <c r="J6" s="4">
        <v>0.59947399999999995</v>
      </c>
      <c r="K6" s="4">
        <f t="shared" si="0"/>
        <v>17.159375000000001</v>
      </c>
      <c r="L6" s="4">
        <f t="shared" si="0"/>
        <v>2.2650000000000001</v>
      </c>
      <c r="N6" s="41" t="s">
        <v>19</v>
      </c>
      <c r="O6" s="52">
        <f>AVERAGE(E6:E9)</f>
        <v>261.41774999999996</v>
      </c>
      <c r="P6" s="44">
        <f>SQRT(F6*F6+F7*F7+F8*F8+F9*F9)/4</f>
        <v>9.577184734761568</v>
      </c>
      <c r="Q6" s="52">
        <f>AVERAGE(G6:G9)</f>
        <v>926.57249999999999</v>
      </c>
      <c r="R6" s="44">
        <f>SQRT(H6*H6+H7*H7+H8*H8+H9*H9)/4</f>
        <v>66.642251510396918</v>
      </c>
      <c r="S6" s="52">
        <f>AVERAGE(I6:I9)</f>
        <v>6.0119924999999999</v>
      </c>
      <c r="T6" s="44">
        <f>SQRT(J6*J6+J7*J7+J8*J8+J9*J9)/4</f>
        <v>0.27780014312361323</v>
      </c>
      <c r="U6" s="52">
        <f>AVERAGE(K6:K9)</f>
        <v>14.4776953125</v>
      </c>
      <c r="V6" s="44">
        <f>SQRT(L6*L6+L7*L7+L8*L8+L9*L9)/4</f>
        <v>1.0412851798499518</v>
      </c>
      <c r="AH6" s="44"/>
      <c r="AI6" s="44"/>
      <c r="AJ6" s="44"/>
      <c r="AK6" s="44"/>
      <c r="AL6" s="44"/>
      <c r="AM6" s="44"/>
      <c r="AN6" s="44"/>
      <c r="AO6" s="44"/>
      <c r="AP6" s="44"/>
    </row>
    <row r="7" spans="1:42">
      <c r="A7">
        <v>5</v>
      </c>
      <c r="B7">
        <v>15</v>
      </c>
      <c r="C7" t="s">
        <v>58</v>
      </c>
      <c r="D7">
        <v>2207.9699999999998</v>
      </c>
      <c r="E7" s="4">
        <v>271.983</v>
      </c>
      <c r="F7" s="4">
        <v>20.715399999999999</v>
      </c>
      <c r="G7" s="4">
        <v>980.43899999999996</v>
      </c>
      <c r="H7" s="4">
        <v>143.48599999999999</v>
      </c>
      <c r="I7" s="4">
        <v>5.7602399999999996</v>
      </c>
      <c r="J7" s="4">
        <v>0.58823199999999998</v>
      </c>
      <c r="K7" s="4">
        <f t="shared" si="0"/>
        <v>15.319359374999999</v>
      </c>
      <c r="L7" s="4">
        <f t="shared" si="0"/>
        <v>2.2419687499999998</v>
      </c>
      <c r="N7" s="41"/>
      <c r="O7" s="44"/>
      <c r="P7" s="44"/>
      <c r="Q7" s="44"/>
      <c r="R7" s="44"/>
      <c r="S7" s="44"/>
      <c r="T7" s="44"/>
      <c r="U7" s="44"/>
      <c r="V7" s="44"/>
      <c r="AH7" s="44"/>
      <c r="AI7" s="44"/>
      <c r="AJ7" s="44"/>
      <c r="AK7" s="44"/>
      <c r="AL7" s="44"/>
      <c r="AM7" s="44"/>
      <c r="AN7" s="44"/>
      <c r="AO7" s="44"/>
      <c r="AP7" s="44"/>
    </row>
    <row r="8" spans="1:42">
      <c r="A8">
        <v>6</v>
      </c>
      <c r="B8">
        <v>17.5</v>
      </c>
      <c r="C8" t="s">
        <v>59</v>
      </c>
      <c r="D8">
        <v>2002.66</v>
      </c>
      <c r="E8" s="4">
        <v>249.65600000000001</v>
      </c>
      <c r="F8" s="4">
        <v>19.076499999999999</v>
      </c>
      <c r="G8" s="4">
        <v>861.60900000000004</v>
      </c>
      <c r="H8" s="4">
        <v>128.881</v>
      </c>
      <c r="I8" s="4">
        <v>6.30288</v>
      </c>
      <c r="J8" s="4">
        <v>0.54016399999999998</v>
      </c>
      <c r="K8" s="4">
        <f t="shared" si="0"/>
        <v>13.462640625000001</v>
      </c>
      <c r="L8" s="4">
        <f t="shared" si="0"/>
        <v>2.013765625</v>
      </c>
      <c r="N8" s="41"/>
      <c r="O8" s="44"/>
      <c r="P8" s="44"/>
      <c r="Q8" s="44"/>
      <c r="R8" s="44"/>
      <c r="S8" s="44"/>
      <c r="T8" s="44"/>
      <c r="U8" s="44"/>
      <c r="V8" s="44"/>
      <c r="AH8" s="44"/>
      <c r="AI8" s="44"/>
      <c r="AJ8" s="44"/>
      <c r="AK8" s="44"/>
      <c r="AL8" s="44"/>
      <c r="AM8" s="44"/>
      <c r="AN8" s="44"/>
      <c r="AO8" s="44"/>
      <c r="AP8" s="44"/>
    </row>
    <row r="9" spans="1:42">
      <c r="A9">
        <v>7</v>
      </c>
      <c r="B9">
        <v>20</v>
      </c>
      <c r="C9" t="s">
        <v>60</v>
      </c>
      <c r="D9">
        <v>1809.61</v>
      </c>
      <c r="E9" s="4">
        <v>230.53399999999999</v>
      </c>
      <c r="F9" s="4">
        <v>16.8995</v>
      </c>
      <c r="G9" s="4">
        <v>766.04200000000003</v>
      </c>
      <c r="H9" s="4">
        <v>113.345</v>
      </c>
      <c r="I9" s="4">
        <v>6.7537599999999998</v>
      </c>
      <c r="J9" s="4">
        <v>0.48744599999999999</v>
      </c>
      <c r="K9" s="4">
        <f t="shared" si="0"/>
        <v>11.96940625</v>
      </c>
      <c r="L9" s="4">
        <f t="shared" si="0"/>
        <v>1.771015625</v>
      </c>
      <c r="N9" s="41"/>
      <c r="O9" s="44"/>
      <c r="P9" s="44"/>
      <c r="Q9" s="44"/>
      <c r="R9" s="44"/>
      <c r="S9" s="44"/>
      <c r="T9" s="44"/>
      <c r="U9" s="44"/>
      <c r="V9" s="44"/>
      <c r="AH9" s="44"/>
      <c r="AI9" s="44"/>
      <c r="AJ9" s="44"/>
      <c r="AK9" s="44"/>
      <c r="AL9" s="44"/>
      <c r="AM9" s="44"/>
      <c r="AN9" s="44"/>
      <c r="AO9" s="44"/>
      <c r="AP9" s="44"/>
    </row>
    <row r="10" spans="1:42">
      <c r="A10">
        <v>8</v>
      </c>
      <c r="B10">
        <v>22.5</v>
      </c>
      <c r="C10" t="s">
        <v>61</v>
      </c>
      <c r="D10">
        <v>1636.32</v>
      </c>
      <c r="E10" s="4">
        <v>212.28</v>
      </c>
      <c r="F10" s="4">
        <v>15.688499999999999</v>
      </c>
      <c r="G10" s="4">
        <v>676.51499999999999</v>
      </c>
      <c r="H10" s="4">
        <v>103.877</v>
      </c>
      <c r="I10" s="4">
        <v>7.1863799999999998</v>
      </c>
      <c r="J10" s="4">
        <v>0.46609600000000001</v>
      </c>
      <c r="K10" s="4">
        <f t="shared" si="0"/>
        <v>10.570546875</v>
      </c>
      <c r="L10" s="4">
        <f t="shared" si="0"/>
        <v>1.6230781249999999</v>
      </c>
      <c r="N10" s="41" t="s">
        <v>20</v>
      </c>
      <c r="O10" s="52">
        <f>AVERAGE(E10:E13)</f>
        <v>187.14699999999999</v>
      </c>
      <c r="P10" s="44">
        <f>SQRT(F10*F10+F11*F11+F12*F12+F13*F13)/4</f>
        <v>7.2837975592234852</v>
      </c>
      <c r="Q10" s="52">
        <f>AVERAGE(G10:G13)</f>
        <v>562.1105</v>
      </c>
      <c r="R10" s="44">
        <f>SQRT(H10*H10+H11*H11+H12*H12+H13*H13)/4</f>
        <v>46.283365920929143</v>
      </c>
      <c r="S10" s="52">
        <f>AVERAGE(I10:I13)</f>
        <v>7.7927800000000005</v>
      </c>
      <c r="T10" s="44">
        <f>SQRT(J10*J10+J11*J11+J12*J12+J13*J13)/4</f>
        <v>0.22838233944473466</v>
      </c>
      <c r="U10" s="52">
        <f>AVERAGE(K10:K13)</f>
        <v>8.7829765625</v>
      </c>
      <c r="V10" s="44">
        <f>SQRT(L10*L10+L11*L11+L12*L12+L13*L13)/4</f>
        <v>0.72317759251451785</v>
      </c>
      <c r="AH10" s="41" t="s">
        <v>25</v>
      </c>
      <c r="AI10" s="52">
        <f>AVERAGE(E10:E41)</f>
        <v>64.218384687500006</v>
      </c>
      <c r="AJ10" s="44">
        <f>SQRT(F10*F10+F11*F11+F12*F12+F13*F13+F14*F14+F15*F15+F16*F16+F17*F17+F18*F18+F19*F19+F20*F20+F21*F21+F22*F22+F23*F23+F24*F24+F25*F25+F26*F26+F27*F27+F28*F28+F29*F29+F30*F30+F31*F31+F32*F32+F33*F33+F34*F34+F35*F35+F36*F36+F37*F37+F38*F38+F39*F39+F40*F40+F41*F41)/32</f>
        <v>1.3847062524620013</v>
      </c>
      <c r="AK10" s="52">
        <f>AVERAGE(G10:G41)</f>
        <v>151.69338937499998</v>
      </c>
      <c r="AL10" s="44">
        <f>SQRT(H10*H10+H11*H11+H12*H12+H13*H13+H14*H14+H15*H15+H16*H16+H17*H17+H18*H18+H19*H19+H20*H20+H21*H21+H22*H22+H23*H23+H24*H24+H25*H25+H26*H26+H27*H27+H28*H28+H29*H29+H30*H30+H31*H31+H32*H32+H33*H33+H34*H34+H35*H35+H36*H36+H37*H37+H38*H38+H39*H39+H40*H40+H41*H41)/32</f>
        <v>7.5848351581431332</v>
      </c>
      <c r="AM10" s="52">
        <f>AVERAGE(I10:I41)</f>
        <v>11.919269375000001</v>
      </c>
      <c r="AN10" s="44">
        <f>SQRT(J10*J10+J11*J11+J12*J12+J13*J13+J14*J14+J15*J15+J16*J16+J17*J17+J18*J18+J19*J19+J20*J20+J21*J21+J22*J22+J23*J23+J24*J24+J25*J25+J26*J26+J27*J27+J28*J28+J29*J29+J30*J30+J31*J31+J32*J32+J33*J33+J34*J34+J35*J35+J36*J36+J37*J37+J38*J38+J39*J39+J40*J40+J41*J41)/32</f>
        <v>0.11728071439529728</v>
      </c>
      <c r="AO10" s="52">
        <f>AVERAGE(K10:K41)</f>
        <v>2.3702092089843747</v>
      </c>
      <c r="AP10" s="44">
        <f>SQRT(L10*L10+L11*L11+L12*L12+L13*L13+L14*L14+L15*L15+L16*L16+L17*L17+L18*L18+L19*L19+L20*L20+L21*L21+L22*L22+L23*L23+L24*L24+L25*L25+L26*L26+L27*L27+L28*L28+L29*L29+L30*L30+L31*L31+L32*L32+L33*L33+L34*L34+L35*L35+L36*L36+L37*L37+L38*L38+L39*L39+L40*L40+L41*L41)/32</f>
        <v>0.11851304934598646</v>
      </c>
    </row>
    <row r="11" spans="1:42">
      <c r="A11">
        <v>9</v>
      </c>
      <c r="B11">
        <v>25</v>
      </c>
      <c r="C11" t="s">
        <v>62</v>
      </c>
      <c r="D11">
        <v>1475.21</v>
      </c>
      <c r="E11" s="4">
        <v>194.50399999999999</v>
      </c>
      <c r="F11" s="4">
        <v>15.268599999999999</v>
      </c>
      <c r="G11" s="4">
        <v>593.47299999999996</v>
      </c>
      <c r="H11" s="4">
        <v>97.251400000000004</v>
      </c>
      <c r="I11" s="4">
        <v>7.6138199999999996</v>
      </c>
      <c r="J11" s="4">
        <v>0.467364</v>
      </c>
      <c r="K11" s="4">
        <f t="shared" si="0"/>
        <v>9.2730156249999993</v>
      </c>
      <c r="L11" s="4">
        <f t="shared" si="0"/>
        <v>1.5195531250000001</v>
      </c>
      <c r="N11" s="41"/>
      <c r="O11" s="52"/>
      <c r="P11" s="44"/>
      <c r="Q11" s="52"/>
      <c r="R11" s="44"/>
      <c r="S11" s="52"/>
      <c r="T11" s="44"/>
      <c r="U11" s="52"/>
      <c r="V11" s="44"/>
      <c r="AH11" s="41"/>
      <c r="AI11" s="52"/>
      <c r="AJ11" s="44"/>
      <c r="AK11" s="52"/>
      <c r="AL11" s="44"/>
      <c r="AM11" s="52"/>
      <c r="AN11" s="44"/>
      <c r="AO11" s="52"/>
      <c r="AP11" s="44"/>
    </row>
    <row r="12" spans="1:42">
      <c r="A12">
        <v>10</v>
      </c>
      <c r="B12">
        <v>27.5</v>
      </c>
      <c r="C12" t="s">
        <v>63</v>
      </c>
      <c r="D12">
        <v>1327.22</v>
      </c>
      <c r="E12" s="4">
        <v>178.547</v>
      </c>
      <c r="F12" s="4">
        <v>13.6373</v>
      </c>
      <c r="G12" s="4">
        <v>521.91200000000003</v>
      </c>
      <c r="H12" s="4">
        <v>85.858900000000006</v>
      </c>
      <c r="I12" s="4">
        <v>8.0006900000000005</v>
      </c>
      <c r="J12" s="4">
        <v>0.442164</v>
      </c>
      <c r="K12" s="4">
        <f t="shared" si="0"/>
        <v>8.1548750000000005</v>
      </c>
      <c r="L12" s="4">
        <f t="shared" si="0"/>
        <v>1.3415453125000001</v>
      </c>
      <c r="N12" s="41"/>
      <c r="O12" s="52"/>
      <c r="P12" s="44"/>
      <c r="Q12" s="52"/>
      <c r="R12" s="44"/>
      <c r="S12" s="52"/>
      <c r="T12" s="44"/>
      <c r="U12" s="52"/>
      <c r="V12" s="44"/>
      <c r="AH12" s="41"/>
      <c r="AI12" s="52"/>
      <c r="AJ12" s="44"/>
      <c r="AK12" s="52"/>
      <c r="AL12" s="44"/>
      <c r="AM12" s="52"/>
      <c r="AN12" s="44"/>
      <c r="AO12" s="52"/>
      <c r="AP12" s="44"/>
    </row>
    <row r="13" spans="1:42">
      <c r="A13">
        <v>11</v>
      </c>
      <c r="B13">
        <v>30</v>
      </c>
      <c r="C13" t="s">
        <v>64</v>
      </c>
      <c r="D13">
        <v>1191.57</v>
      </c>
      <c r="E13" s="4">
        <v>163.25700000000001</v>
      </c>
      <c r="F13" s="4">
        <v>13.550800000000001</v>
      </c>
      <c r="G13" s="4">
        <v>456.54199999999997</v>
      </c>
      <c r="H13" s="4">
        <v>81.574399999999997</v>
      </c>
      <c r="I13" s="4">
        <v>8.3702299999999994</v>
      </c>
      <c r="J13" s="4">
        <v>0.45094600000000001</v>
      </c>
      <c r="K13" s="4">
        <f t="shared" si="0"/>
        <v>7.1334687499999996</v>
      </c>
      <c r="L13" s="4">
        <f t="shared" si="0"/>
        <v>1.2746</v>
      </c>
      <c r="N13" s="41"/>
      <c r="O13" s="52"/>
      <c r="P13" s="44"/>
      <c r="Q13" s="52"/>
      <c r="R13" s="44"/>
      <c r="S13" s="52"/>
      <c r="T13" s="44"/>
      <c r="U13" s="52"/>
      <c r="V13" s="44"/>
      <c r="AH13" s="41"/>
      <c r="AI13" s="52"/>
      <c r="AJ13" s="44"/>
      <c r="AK13" s="52"/>
      <c r="AL13" s="44"/>
      <c r="AM13" s="52"/>
      <c r="AN13" s="44"/>
      <c r="AO13" s="52"/>
      <c r="AP13" s="44"/>
    </row>
    <row r="14" spans="1:42">
      <c r="A14">
        <v>12</v>
      </c>
      <c r="B14">
        <v>32.5</v>
      </c>
      <c r="C14" t="s">
        <v>65</v>
      </c>
      <c r="D14">
        <v>1066.5</v>
      </c>
      <c r="E14" s="4">
        <v>149.05199999999999</v>
      </c>
      <c r="F14" s="4">
        <v>12.4969</v>
      </c>
      <c r="G14" s="4">
        <v>398.54599999999999</v>
      </c>
      <c r="H14" s="4">
        <v>72.888099999999994</v>
      </c>
      <c r="I14" s="4">
        <v>8.7295200000000008</v>
      </c>
      <c r="J14" s="4">
        <v>0.444961</v>
      </c>
      <c r="K14" s="4">
        <f t="shared" si="0"/>
        <v>6.2272812499999999</v>
      </c>
      <c r="L14" s="4">
        <f t="shared" si="0"/>
        <v>1.1388765624999999</v>
      </c>
      <c r="N14" s="41" t="s">
        <v>21</v>
      </c>
      <c r="O14" s="52">
        <f>AVERAGE(E14:E17)</f>
        <v>129.98349999999999</v>
      </c>
      <c r="P14" s="44">
        <f>SQRT(F14*F14+F15*F15+F16*F16+F17*F17)/4</f>
        <v>5.5459030997783625</v>
      </c>
      <c r="Q14" s="52">
        <f>AVERAGE(G14:G17)</f>
        <v>325.71050000000002</v>
      </c>
      <c r="R14" s="44">
        <f>SQRT(H14*H14+H15*H15+H16*H16+H17*H17)/4</f>
        <v>31.193919074336428</v>
      </c>
      <c r="S14" s="44">
        <f>AVERAGE(I14:I17)</f>
        <v>9.2278750000000009</v>
      </c>
      <c r="T14" s="44">
        <f>SQRT(J14*J14+J15*J15+J16*J16+J17*J17)/4</f>
        <v>0.21786937671831028</v>
      </c>
      <c r="U14" s="44">
        <f>AVERAGE(K14:K17)</f>
        <v>5.0892265625000004</v>
      </c>
      <c r="V14" s="44">
        <f>SQRT(L14*L14+L15*L15+L16*L16+L17*L17)/4</f>
        <v>0.48740498553650669</v>
      </c>
      <c r="AH14" s="41"/>
      <c r="AI14" s="52"/>
      <c r="AJ14" s="44"/>
      <c r="AK14" s="52"/>
      <c r="AL14" s="44"/>
      <c r="AM14" s="52"/>
      <c r="AN14" s="44"/>
      <c r="AO14" s="52"/>
      <c r="AP14" s="44"/>
    </row>
    <row r="15" spans="1:42">
      <c r="A15">
        <v>13</v>
      </c>
      <c r="B15">
        <v>35</v>
      </c>
      <c r="C15" t="s">
        <v>66</v>
      </c>
      <c r="D15">
        <v>951.01199999999994</v>
      </c>
      <c r="E15" s="4">
        <v>135.91999999999999</v>
      </c>
      <c r="F15" s="4">
        <v>11.214499999999999</v>
      </c>
      <c r="G15" s="4">
        <v>346.64699999999999</v>
      </c>
      <c r="H15" s="4">
        <v>64.426900000000003</v>
      </c>
      <c r="I15" s="4">
        <v>9.0648999999999997</v>
      </c>
      <c r="J15" s="4">
        <v>0.43291800000000003</v>
      </c>
      <c r="K15" s="4">
        <f t="shared" si="0"/>
        <v>5.4163593749999999</v>
      </c>
      <c r="L15" s="4">
        <f t="shared" si="0"/>
        <v>1.0066703125000001</v>
      </c>
      <c r="N15" s="41"/>
      <c r="O15" s="44"/>
      <c r="P15" s="44"/>
      <c r="Q15" s="52"/>
      <c r="R15" s="44"/>
      <c r="S15" s="44"/>
      <c r="T15" s="44"/>
      <c r="U15" s="44"/>
      <c r="V15" s="44"/>
      <c r="AH15" s="41"/>
      <c r="AI15" s="52"/>
      <c r="AJ15" s="44"/>
      <c r="AK15" s="52"/>
      <c r="AL15" s="44"/>
      <c r="AM15" s="52"/>
      <c r="AN15" s="44"/>
      <c r="AO15" s="52"/>
      <c r="AP15" s="44"/>
    </row>
    <row r="16" spans="1:42">
      <c r="A16">
        <v>14</v>
      </c>
      <c r="B16">
        <v>37.5</v>
      </c>
      <c r="C16" t="s">
        <v>67</v>
      </c>
      <c r="D16">
        <v>845.28700000000003</v>
      </c>
      <c r="E16" s="4">
        <v>123.283</v>
      </c>
      <c r="F16" s="4">
        <v>10.796099999999999</v>
      </c>
      <c r="G16" s="4">
        <v>299.30500000000001</v>
      </c>
      <c r="H16" s="4">
        <v>58.263199999999998</v>
      </c>
      <c r="I16" s="4">
        <v>9.3992199999999997</v>
      </c>
      <c r="J16" s="4">
        <v>0.43507899999999999</v>
      </c>
      <c r="K16" s="4">
        <f t="shared" si="0"/>
        <v>4.6766406250000001</v>
      </c>
      <c r="L16" s="4">
        <f t="shared" si="0"/>
        <v>0.91036249999999996</v>
      </c>
      <c r="N16" s="41"/>
      <c r="O16" s="44"/>
      <c r="P16" s="44"/>
      <c r="Q16" s="52"/>
      <c r="R16" s="44"/>
      <c r="S16" s="44"/>
      <c r="T16" s="44"/>
      <c r="U16" s="44"/>
      <c r="V16" s="44"/>
      <c r="AH16" s="41"/>
      <c r="AI16" s="52"/>
      <c r="AJ16" s="44"/>
      <c r="AK16" s="52"/>
      <c r="AL16" s="44"/>
      <c r="AM16" s="52"/>
      <c r="AN16" s="44"/>
      <c r="AO16" s="52"/>
      <c r="AP16" s="44"/>
    </row>
    <row r="17" spans="1:42">
      <c r="A17">
        <v>15</v>
      </c>
      <c r="B17">
        <v>40</v>
      </c>
      <c r="C17" t="s">
        <v>68</v>
      </c>
      <c r="D17">
        <v>748.18899999999996</v>
      </c>
      <c r="E17" s="4">
        <v>111.679</v>
      </c>
      <c r="F17" s="4">
        <v>9.6757100000000005</v>
      </c>
      <c r="G17" s="4">
        <v>258.34399999999999</v>
      </c>
      <c r="H17" s="4">
        <v>52.066000000000003</v>
      </c>
      <c r="I17" s="4">
        <v>9.7178599999999999</v>
      </c>
      <c r="J17" s="4">
        <v>0.42985000000000001</v>
      </c>
      <c r="K17" s="4">
        <f t="shared" si="0"/>
        <v>4.0366249999999999</v>
      </c>
      <c r="L17" s="4">
        <f t="shared" si="0"/>
        <v>0.81353125000000004</v>
      </c>
      <c r="N17" s="41"/>
      <c r="O17" s="44"/>
      <c r="P17" s="44"/>
      <c r="Q17" s="52"/>
      <c r="R17" s="44"/>
      <c r="S17" s="44"/>
      <c r="T17" s="44"/>
      <c r="U17" s="44"/>
      <c r="V17" s="44"/>
      <c r="AH17" s="41"/>
      <c r="AI17" s="52"/>
      <c r="AJ17" s="44"/>
      <c r="AK17" s="52"/>
      <c r="AL17" s="44"/>
      <c r="AM17" s="52"/>
      <c r="AN17" s="44"/>
      <c r="AO17" s="52"/>
      <c r="AP17" s="44"/>
    </row>
    <row r="18" spans="1:42">
      <c r="A18">
        <v>16</v>
      </c>
      <c r="B18">
        <v>42.5</v>
      </c>
      <c r="C18" t="s">
        <v>69</v>
      </c>
      <c r="D18">
        <v>658.73</v>
      </c>
      <c r="E18" s="4">
        <v>100.792</v>
      </c>
      <c r="F18" s="4">
        <v>9.5054800000000004</v>
      </c>
      <c r="G18" s="4">
        <v>221.21600000000001</v>
      </c>
      <c r="H18" s="4">
        <v>47.049799999999998</v>
      </c>
      <c r="I18" s="4">
        <v>10.029</v>
      </c>
      <c r="J18" s="4">
        <v>0.44469399999999998</v>
      </c>
      <c r="K18" s="4">
        <f t="shared" si="0"/>
        <v>3.4565000000000001</v>
      </c>
      <c r="L18" s="4">
        <f t="shared" si="0"/>
        <v>0.73515312499999996</v>
      </c>
      <c r="N18" s="41" t="s">
        <v>22</v>
      </c>
      <c r="O18" s="52">
        <f>AVERAGE(E18:E21)</f>
        <v>86.262225000000001</v>
      </c>
      <c r="P18" s="44">
        <f>SQRT(F18*F18+F19*F19+F20*F20+F21*F21)/4</f>
        <v>4.2555187120358786</v>
      </c>
      <c r="Q18" s="52">
        <f>AVERAGE(G18:G21)</f>
        <v>175.89474999999999</v>
      </c>
      <c r="R18" s="44">
        <f>SQRT(H18*H18+H19*H19+H20*H20+H21*H21)/4</f>
        <v>19.783221063331041</v>
      </c>
      <c r="S18" s="52">
        <f>AVERAGE(I18:I21)</f>
        <v>10.473600000000001</v>
      </c>
      <c r="T18" s="44">
        <f>SQRT(J18*J18+J19*J19+J20*J20+J21*J21)/4</f>
        <v>0.22570278956600204</v>
      </c>
      <c r="U18" s="52">
        <f>AVERAGE(K18:K21)</f>
        <v>2.7483554687499998</v>
      </c>
      <c r="V18" s="44">
        <f>SQRT(L18*L18+L19*L19+L20*L20+L21*L21)/4</f>
        <v>0.30911282911454752</v>
      </c>
      <c r="X18" s="41" t="s">
        <v>70</v>
      </c>
      <c r="Y18" s="52">
        <f>AVERAGE(E18:E41)</f>
        <v>32.76942958333332</v>
      </c>
      <c r="Z18" s="44">
        <f>SQRT(F18*F18+F19*F19+F20*F20+F21*F21+F22*F22+F23*F23+F24*F24+F25*F25+F26*F26+F27*F27+F28*F28+F29*F29+F30*F30+F31*F31+F32*F32+F33*F33+F34*F34+F35*F35+F36*F36+F37*F37+F38*F38+F39*F39+F40*F40+F41*F41)/24</f>
        <v>1.0395455989543079</v>
      </c>
      <c r="AA18" s="52">
        <f>AVERAGE(G18:G41)</f>
        <v>54.287685833333335</v>
      </c>
      <c r="AB18" s="44">
        <f>SQRT(H18*H18+H19*H19+H20*H20+H21*H21+H22*H22+H23*H23+H24*H24+H25*H25+H26*H26+H27*H27+H28*H28+H29*H29+H30*H30+H31*H31+H32*H32+H33*H33+H34*H34+H35*H35+H36*H36+H37*H37+H38*H38+H39*H39+H40*H40+H41*H41)/24</f>
        <v>3.9675482629921457</v>
      </c>
      <c r="AC18" s="52">
        <f>AVERAGE(I18:I41)</f>
        <v>13.055583333333333</v>
      </c>
      <c r="AD18" s="44">
        <f>SQRT(J18*J18+J19*J19+J20*J20+J21*J21+J22*J22+J23*J23+J24*J24+J25*J25+J26*J26+J27*J27+J28*J28+J29*J29+J30*J30+J31*J31+J32*J32+J33*J33+J34*J34+J35*J35+J36*J36+J37*J37+J38*J38+J39*J39+J40*J40+J41*J41)/24</f>
        <v>0.14726011224838853</v>
      </c>
      <c r="AE18" s="52">
        <f>AVERAGE(K18:K41)</f>
        <v>0.84824509114583335</v>
      </c>
      <c r="AF18" s="44">
        <f>SQRT(L18*L18+L19*L19+L20*L20+L21*L21+L22*L22+L23*L23+L24*L24+L25*L25+L26*L26+L27*L27+L28*L28+L29*L29+L30*L30+L31*L31+L32*L32+L33*L33+L34*L34+L35*L35+L36*L36+L37*L37+L38*L38+L39*L39+L40*L40+L41*L41)/24</f>
        <v>6.1992941609252276E-2</v>
      </c>
      <c r="AH18" s="41"/>
      <c r="AI18" s="52"/>
      <c r="AJ18" s="44"/>
      <c r="AK18" s="52"/>
      <c r="AL18" s="44"/>
      <c r="AM18" s="52"/>
      <c r="AN18" s="44"/>
      <c r="AO18" s="52"/>
      <c r="AP18" s="44"/>
    </row>
    <row r="19" spans="1:42">
      <c r="A19">
        <v>17</v>
      </c>
      <c r="B19">
        <v>45</v>
      </c>
      <c r="C19" t="s">
        <v>71</v>
      </c>
      <c r="D19">
        <v>578.44399999999996</v>
      </c>
      <c r="E19" s="4">
        <v>90.713200000000001</v>
      </c>
      <c r="F19" s="4">
        <v>8.7437900000000006</v>
      </c>
      <c r="G19" s="4">
        <v>188.67699999999999</v>
      </c>
      <c r="H19" s="4">
        <v>41.371400000000001</v>
      </c>
      <c r="I19" s="4">
        <v>10.3253</v>
      </c>
      <c r="J19" s="4">
        <v>0.44600099999999998</v>
      </c>
      <c r="K19" s="4">
        <f t="shared" si="0"/>
        <v>2.9480781249999999</v>
      </c>
      <c r="L19" s="4">
        <f t="shared" si="0"/>
        <v>0.64642812500000002</v>
      </c>
      <c r="N19" s="41"/>
      <c r="O19" s="52"/>
      <c r="P19" s="44"/>
      <c r="Q19" s="52"/>
      <c r="R19" s="44"/>
      <c r="S19" s="52"/>
      <c r="T19" s="44"/>
      <c r="U19" s="52"/>
      <c r="V19" s="44"/>
      <c r="X19" s="41"/>
      <c r="Y19" s="44"/>
      <c r="Z19" s="44"/>
      <c r="AA19" s="44"/>
      <c r="AB19" s="44"/>
      <c r="AC19" s="44"/>
      <c r="AD19" s="44"/>
      <c r="AE19" s="44"/>
      <c r="AF19" s="44"/>
      <c r="AH19" s="41"/>
      <c r="AI19" s="52"/>
      <c r="AJ19" s="44"/>
      <c r="AK19" s="52"/>
      <c r="AL19" s="44"/>
      <c r="AM19" s="52"/>
      <c r="AN19" s="44"/>
      <c r="AO19" s="52"/>
      <c r="AP19" s="44"/>
    </row>
    <row r="20" spans="1:42">
      <c r="A20">
        <v>18</v>
      </c>
      <c r="B20">
        <v>47.5</v>
      </c>
      <c r="C20" t="s">
        <v>72</v>
      </c>
      <c r="D20">
        <v>505.21899999999999</v>
      </c>
      <c r="E20" s="4">
        <v>80.935199999999995</v>
      </c>
      <c r="F20" s="4">
        <v>8.1942299999999992</v>
      </c>
      <c r="G20" s="4">
        <v>158.98599999999999</v>
      </c>
      <c r="H20" s="4">
        <v>36.807499999999997</v>
      </c>
      <c r="I20" s="4">
        <v>10.633900000000001</v>
      </c>
      <c r="J20" s="4">
        <v>0.454432</v>
      </c>
      <c r="K20" s="4">
        <f t="shared" si="0"/>
        <v>2.4841562499999998</v>
      </c>
      <c r="L20" s="4">
        <f t="shared" si="0"/>
        <v>0.57511718749999996</v>
      </c>
      <c r="N20" s="41"/>
      <c r="O20" s="52"/>
      <c r="P20" s="44"/>
      <c r="Q20" s="52"/>
      <c r="R20" s="44"/>
      <c r="S20" s="52"/>
      <c r="T20" s="44"/>
      <c r="U20" s="52"/>
      <c r="V20" s="44"/>
      <c r="X20" s="41"/>
      <c r="Y20" s="44"/>
      <c r="Z20" s="44"/>
      <c r="AA20" s="44"/>
      <c r="AB20" s="44"/>
      <c r="AC20" s="44"/>
      <c r="AD20" s="44"/>
      <c r="AE20" s="44"/>
      <c r="AF20" s="44"/>
      <c r="AH20" s="41"/>
      <c r="AI20" s="52"/>
      <c r="AJ20" s="44"/>
      <c r="AK20" s="52"/>
      <c r="AL20" s="44"/>
      <c r="AM20" s="52"/>
      <c r="AN20" s="44"/>
      <c r="AO20" s="52"/>
      <c r="AP20" s="44"/>
    </row>
    <row r="21" spans="1:42">
      <c r="A21">
        <v>19</v>
      </c>
      <c r="B21">
        <v>50</v>
      </c>
      <c r="C21" t="s">
        <v>73</v>
      </c>
      <c r="D21">
        <v>438.798</v>
      </c>
      <c r="E21" s="4">
        <v>72.608500000000006</v>
      </c>
      <c r="F21" s="4">
        <v>7.4697800000000001</v>
      </c>
      <c r="G21" s="4">
        <v>134.69999999999999</v>
      </c>
      <c r="H21" s="4">
        <v>31.335999999999999</v>
      </c>
      <c r="I21" s="4">
        <v>10.9062</v>
      </c>
      <c r="J21" s="4">
        <v>0.46031499999999997</v>
      </c>
      <c r="K21" s="4">
        <f t="shared" si="0"/>
        <v>2.1046874999999998</v>
      </c>
      <c r="L21" s="4">
        <f t="shared" si="0"/>
        <v>0.48962499999999998</v>
      </c>
      <c r="N21" s="41"/>
      <c r="O21" s="52"/>
      <c r="P21" s="44"/>
      <c r="Q21" s="52"/>
      <c r="R21" s="44"/>
      <c r="S21" s="52"/>
      <c r="T21" s="44"/>
      <c r="U21" s="52"/>
      <c r="V21" s="44"/>
      <c r="X21" s="41"/>
      <c r="Y21" s="44"/>
      <c r="Z21" s="44"/>
      <c r="AA21" s="44"/>
      <c r="AB21" s="44"/>
      <c r="AC21" s="44"/>
      <c r="AD21" s="44"/>
      <c r="AE21" s="44"/>
      <c r="AF21" s="44"/>
      <c r="AH21" s="41"/>
      <c r="AI21" s="52"/>
      <c r="AJ21" s="44"/>
      <c r="AK21" s="52"/>
      <c r="AL21" s="44"/>
      <c r="AM21" s="52"/>
      <c r="AN21" s="44"/>
      <c r="AO21" s="52"/>
      <c r="AP21" s="44"/>
    </row>
    <row r="22" spans="1:42">
      <c r="A22">
        <v>20</v>
      </c>
      <c r="B22">
        <v>52.5</v>
      </c>
      <c r="C22" t="s">
        <v>74</v>
      </c>
      <c r="D22">
        <v>379.38299999999998</v>
      </c>
      <c r="E22" s="4">
        <v>64.153499999999994</v>
      </c>
      <c r="F22" s="4">
        <v>7.3698300000000003</v>
      </c>
      <c r="G22" s="4">
        <v>112.547</v>
      </c>
      <c r="H22" s="4">
        <v>28.151900000000001</v>
      </c>
      <c r="I22" s="4">
        <v>11.192</v>
      </c>
      <c r="J22" s="4">
        <v>0.47744900000000001</v>
      </c>
      <c r="K22" s="4">
        <f t="shared" si="0"/>
        <v>1.758546875</v>
      </c>
      <c r="L22" s="4">
        <f t="shared" si="0"/>
        <v>0.43987343750000002</v>
      </c>
      <c r="N22" s="41" t="s">
        <v>23</v>
      </c>
      <c r="O22" s="52">
        <f>AVERAGE(E22:E41)</f>
        <v>22.070870500000002</v>
      </c>
      <c r="P22" s="44">
        <f>SQRT(F22*F22+F23*F23+F24*F24+F25*F25+F26*F26+F27*F27+F28*F28+F29*F29+F30*F30+F31*F31+F32*F32+F33*F33+F34*F34+F35*F35+F36*F36+F37*F37+F38*F38+F39*F39+F40*F40+F41*F41)/20</f>
        <v>0.91201189410012096</v>
      </c>
      <c r="Q22" s="52">
        <f>AVERAGE(G22:G41)</f>
        <v>29.966273000000012</v>
      </c>
      <c r="R22" s="44">
        <f>SQRT(H22*H22+H23*H23+H24*H24+H25*H25+H26*H26+H27*H27+H28*H28+H29*H29+H30*H30+H31*H31+H32*H32+H33*H33+H34*H34+H35*H35+H36*H36+H37*H37+H38*H38+H39*H39+H40*H40+H41*H41)/20</f>
        <v>2.6481387897885282</v>
      </c>
      <c r="S22" s="52">
        <f>AVERAGE(I22:I41)</f>
        <v>13.571980000000002</v>
      </c>
      <c r="T22" s="44">
        <f>SQRT(J22*J22+J23*J23+J24*J24+J25*J25+J26*J26+J27*J27+J28*J28+J29*J29+J30*J30+J31*J31+J32*J32+J33*J33+J34*J34+J35*J35+J36*J36+J37*J37+J38*J38+J39*J39+J40*J40+J41*J41)/20</f>
        <v>0.17084937395504995</v>
      </c>
      <c r="U22" s="52">
        <f>AVERAGE(K22:K41)</f>
        <v>0.46822301562500018</v>
      </c>
      <c r="V22" s="44">
        <f>SQRT(L22*L22+L23*L23+L24*L24+L25*L25+L26*L26+L27*L27+L28*L28+L29*L29+L30*L30+L31*L31+L32*L32+L33*L33+L34*L34+L35*L35+L36*L36+L37*L37+L38*L38+L39*L39+L40*L40+L41*L41)/20</f>
        <v>4.1377168590445754E-2</v>
      </c>
      <c r="X22" s="41"/>
      <c r="Y22" s="44"/>
      <c r="Z22" s="44"/>
      <c r="AA22" s="44"/>
      <c r="AB22" s="44"/>
      <c r="AC22" s="44"/>
      <c r="AD22" s="44"/>
      <c r="AE22" s="44"/>
      <c r="AF22" s="44"/>
      <c r="AH22" s="41"/>
      <c r="AI22" s="52"/>
      <c r="AJ22" s="44"/>
      <c r="AK22" s="52"/>
      <c r="AL22" s="44"/>
      <c r="AM22" s="52"/>
      <c r="AN22" s="44"/>
      <c r="AO22" s="52"/>
      <c r="AP22" s="44"/>
    </row>
    <row r="23" spans="1:42">
      <c r="A23">
        <v>21</v>
      </c>
      <c r="B23">
        <v>55</v>
      </c>
      <c r="C23" t="s">
        <v>75</v>
      </c>
      <c r="D23">
        <v>325.87799999999999</v>
      </c>
      <c r="E23" s="4">
        <v>56.611699999999999</v>
      </c>
      <c r="F23" s="4">
        <v>6.5274999999999999</v>
      </c>
      <c r="G23" s="4">
        <v>93.453699999999998</v>
      </c>
      <c r="H23" s="4">
        <v>23.804300000000001</v>
      </c>
      <c r="I23" s="4">
        <v>11.465</v>
      </c>
      <c r="J23" s="4">
        <v>0.48594900000000002</v>
      </c>
      <c r="K23" s="4">
        <f t="shared" si="0"/>
        <v>1.4602140625</v>
      </c>
      <c r="L23" s="4">
        <f t="shared" si="0"/>
        <v>0.37194218750000002</v>
      </c>
      <c r="N23" s="41"/>
      <c r="O23" s="44"/>
      <c r="P23" s="44"/>
      <c r="Q23" s="52"/>
      <c r="R23" s="44"/>
      <c r="S23" s="52"/>
      <c r="T23" s="44"/>
      <c r="U23" s="52"/>
      <c r="V23" s="44"/>
      <c r="X23" s="41"/>
      <c r="Y23" s="44"/>
      <c r="Z23" s="44"/>
      <c r="AA23" s="44"/>
      <c r="AB23" s="44"/>
      <c r="AC23" s="44"/>
      <c r="AD23" s="44"/>
      <c r="AE23" s="44"/>
      <c r="AF23" s="44"/>
      <c r="AH23" s="41"/>
      <c r="AI23" s="52"/>
      <c r="AJ23" s="44"/>
      <c r="AK23" s="52"/>
      <c r="AL23" s="44"/>
      <c r="AM23" s="52"/>
      <c r="AN23" s="44"/>
      <c r="AO23" s="52"/>
      <c r="AP23" s="44"/>
    </row>
    <row r="24" spans="1:42">
      <c r="A24">
        <v>22</v>
      </c>
      <c r="B24">
        <v>57.5</v>
      </c>
      <c r="C24" t="s">
        <v>76</v>
      </c>
      <c r="D24">
        <v>278.36900000000003</v>
      </c>
      <c r="E24" s="4">
        <v>49.950099999999999</v>
      </c>
      <c r="F24" s="4">
        <v>6.3155200000000002</v>
      </c>
      <c r="G24" s="4">
        <v>77.931399999999996</v>
      </c>
      <c r="H24" s="4">
        <v>20.9925</v>
      </c>
      <c r="I24" s="4">
        <v>11.723000000000001</v>
      </c>
      <c r="J24" s="4">
        <v>0.49722499999999997</v>
      </c>
      <c r="K24" s="4">
        <f t="shared" si="0"/>
        <v>1.2176781249999999</v>
      </c>
      <c r="L24" s="4">
        <f t="shared" si="0"/>
        <v>0.3280078125</v>
      </c>
      <c r="N24" s="41"/>
      <c r="O24" s="44"/>
      <c r="P24" s="44"/>
      <c r="Q24" s="52"/>
      <c r="R24" s="44"/>
      <c r="S24" s="52"/>
      <c r="T24" s="44"/>
      <c r="U24" s="52"/>
      <c r="V24" s="44"/>
      <c r="X24" s="41"/>
      <c r="Y24" s="44"/>
      <c r="Z24" s="44"/>
      <c r="AA24" s="44"/>
      <c r="AB24" s="44"/>
      <c r="AC24" s="44"/>
      <c r="AD24" s="44"/>
      <c r="AE24" s="44"/>
      <c r="AF24" s="44"/>
      <c r="AH24" s="41"/>
      <c r="AI24" s="52"/>
      <c r="AJ24" s="44"/>
      <c r="AK24" s="52"/>
      <c r="AL24" s="44"/>
      <c r="AM24" s="52"/>
      <c r="AN24" s="44"/>
      <c r="AO24" s="52"/>
      <c r="AP24" s="44"/>
    </row>
    <row r="25" spans="1:42">
      <c r="A25">
        <v>23</v>
      </c>
      <c r="B25">
        <v>60</v>
      </c>
      <c r="C25" t="s">
        <v>77</v>
      </c>
      <c r="D25">
        <v>236.12</v>
      </c>
      <c r="E25" s="4">
        <v>43.391800000000003</v>
      </c>
      <c r="F25" s="4">
        <v>5.8554899999999996</v>
      </c>
      <c r="G25" s="4">
        <v>63.503100000000003</v>
      </c>
      <c r="H25" s="4">
        <v>17.654800000000002</v>
      </c>
      <c r="I25" s="4">
        <v>11.9969</v>
      </c>
      <c r="J25" s="4">
        <v>0.51205400000000001</v>
      </c>
      <c r="K25" s="4">
        <f t="shared" si="0"/>
        <v>0.99223593750000005</v>
      </c>
      <c r="L25" s="4">
        <f t="shared" si="0"/>
        <v>0.27585625000000003</v>
      </c>
      <c r="N25" s="41"/>
      <c r="O25" s="44"/>
      <c r="P25" s="44"/>
      <c r="Q25" s="52"/>
      <c r="R25" s="44"/>
      <c r="S25" s="52"/>
      <c r="T25" s="44"/>
      <c r="U25" s="52"/>
      <c r="V25" s="44"/>
      <c r="X25" s="41"/>
      <c r="Y25" s="44"/>
      <c r="Z25" s="44"/>
      <c r="AA25" s="44"/>
      <c r="AB25" s="44"/>
      <c r="AC25" s="44"/>
      <c r="AD25" s="44"/>
      <c r="AE25" s="44"/>
      <c r="AF25" s="44"/>
      <c r="AH25" s="41"/>
      <c r="AI25" s="52"/>
      <c r="AJ25" s="44"/>
      <c r="AK25" s="52"/>
      <c r="AL25" s="44"/>
      <c r="AM25" s="52"/>
      <c r="AN25" s="44"/>
      <c r="AO25" s="52"/>
      <c r="AP25" s="44"/>
    </row>
    <row r="26" spans="1:42">
      <c r="A26">
        <v>24</v>
      </c>
      <c r="B26">
        <v>62.5</v>
      </c>
      <c r="C26" t="s">
        <v>78</v>
      </c>
      <c r="D26">
        <v>199.268</v>
      </c>
      <c r="E26" s="4">
        <v>37.839500000000001</v>
      </c>
      <c r="F26" s="4">
        <v>5.2454700000000001</v>
      </c>
      <c r="G26" s="4">
        <v>52.046900000000001</v>
      </c>
      <c r="H26" s="4">
        <v>14.468400000000001</v>
      </c>
      <c r="I26" s="4">
        <v>12.2456</v>
      </c>
      <c r="J26" s="4">
        <v>0.52308600000000005</v>
      </c>
      <c r="K26" s="4">
        <f t="shared" si="0"/>
        <v>0.81323281250000001</v>
      </c>
      <c r="L26" s="4">
        <f t="shared" si="0"/>
        <v>0.22606875000000001</v>
      </c>
      <c r="N26" s="41"/>
      <c r="O26" s="44"/>
      <c r="P26" s="44"/>
      <c r="Q26" s="52"/>
      <c r="R26" s="44"/>
      <c r="S26" s="52"/>
      <c r="T26" s="44"/>
      <c r="U26" s="52"/>
      <c r="V26" s="44"/>
      <c r="X26" s="41"/>
      <c r="Y26" s="44"/>
      <c r="Z26" s="44"/>
      <c r="AA26" s="44"/>
      <c r="AB26" s="44"/>
      <c r="AC26" s="44"/>
      <c r="AD26" s="44"/>
      <c r="AE26" s="44"/>
      <c r="AF26" s="44"/>
      <c r="AH26" s="41"/>
      <c r="AI26" s="52"/>
      <c r="AJ26" s="44"/>
      <c r="AK26" s="52"/>
      <c r="AL26" s="44"/>
      <c r="AM26" s="52"/>
      <c r="AN26" s="44"/>
      <c r="AO26" s="52"/>
      <c r="AP26" s="44"/>
    </row>
    <row r="27" spans="1:42">
      <c r="A27">
        <v>25</v>
      </c>
      <c r="B27">
        <v>65</v>
      </c>
      <c r="C27" t="s">
        <v>79</v>
      </c>
      <c r="D27">
        <v>166.83099999999999</v>
      </c>
      <c r="E27" s="4">
        <v>32.705599999999997</v>
      </c>
      <c r="F27" s="4">
        <v>5.0172400000000001</v>
      </c>
      <c r="G27" s="4">
        <v>42.354199999999999</v>
      </c>
      <c r="H27" s="4">
        <v>12.424300000000001</v>
      </c>
      <c r="I27" s="4">
        <v>12.4983</v>
      </c>
      <c r="J27" s="4">
        <v>0.54451899999999998</v>
      </c>
      <c r="K27" s="4">
        <f t="shared" si="0"/>
        <v>0.66178437499999998</v>
      </c>
      <c r="L27" s="4">
        <f t="shared" si="0"/>
        <v>0.19412968750000001</v>
      </c>
      <c r="N27" s="41"/>
      <c r="O27" s="44"/>
      <c r="P27" s="44"/>
      <c r="Q27" s="52"/>
      <c r="R27" s="44"/>
      <c r="S27" s="52"/>
      <c r="T27" s="44"/>
      <c r="U27" s="52"/>
      <c r="V27" s="44"/>
      <c r="X27" s="41"/>
      <c r="Y27" s="44"/>
      <c r="Z27" s="44"/>
      <c r="AA27" s="44"/>
      <c r="AB27" s="44"/>
      <c r="AC27" s="44"/>
      <c r="AD27" s="44"/>
      <c r="AE27" s="44"/>
      <c r="AF27" s="44"/>
      <c r="AH27" s="41"/>
      <c r="AI27" s="52"/>
      <c r="AJ27" s="44"/>
      <c r="AK27" s="52"/>
      <c r="AL27" s="44"/>
      <c r="AM27" s="52"/>
      <c r="AN27" s="44"/>
      <c r="AO27" s="52"/>
      <c r="AP27" s="44"/>
    </row>
    <row r="28" spans="1:42">
      <c r="A28">
        <v>26</v>
      </c>
      <c r="B28">
        <v>67.5</v>
      </c>
      <c r="C28" t="s">
        <v>80</v>
      </c>
      <c r="D28">
        <v>139.065</v>
      </c>
      <c r="E28" s="4">
        <v>27.866499999999998</v>
      </c>
      <c r="F28" s="4">
        <v>4.5191499999999998</v>
      </c>
      <c r="G28" s="4">
        <v>33.920400000000001</v>
      </c>
      <c r="H28" s="4">
        <v>10.223100000000001</v>
      </c>
      <c r="I28" s="4">
        <v>12.7662</v>
      </c>
      <c r="J28" s="4">
        <v>0.56631399999999998</v>
      </c>
      <c r="K28" s="4">
        <f t="shared" si="0"/>
        <v>0.53000625000000001</v>
      </c>
      <c r="L28" s="4">
        <f t="shared" si="0"/>
        <v>0.15973593750000001</v>
      </c>
      <c r="N28" s="41"/>
      <c r="O28" s="44"/>
      <c r="P28" s="44"/>
      <c r="Q28" s="52"/>
      <c r="R28" s="44"/>
      <c r="S28" s="52"/>
      <c r="T28" s="44"/>
      <c r="U28" s="52"/>
      <c r="V28" s="44"/>
      <c r="X28" s="41"/>
      <c r="Y28" s="44"/>
      <c r="Z28" s="44"/>
      <c r="AA28" s="44"/>
      <c r="AB28" s="44"/>
      <c r="AC28" s="44"/>
      <c r="AD28" s="44"/>
      <c r="AE28" s="44"/>
      <c r="AF28" s="44"/>
      <c r="AH28" s="41"/>
      <c r="AI28" s="52"/>
      <c r="AJ28" s="44"/>
      <c r="AK28" s="52"/>
      <c r="AL28" s="44"/>
      <c r="AM28" s="52"/>
      <c r="AN28" s="44"/>
      <c r="AO28" s="52"/>
      <c r="AP28" s="44"/>
    </row>
    <row r="29" spans="1:42">
      <c r="A29">
        <v>27</v>
      </c>
      <c r="B29">
        <v>70</v>
      </c>
      <c r="C29" t="s">
        <v>81</v>
      </c>
      <c r="D29">
        <v>115.03400000000001</v>
      </c>
      <c r="E29" s="4">
        <v>23.792100000000001</v>
      </c>
      <c r="F29" s="4">
        <v>4.1069699999999996</v>
      </c>
      <c r="G29" s="4">
        <v>27.316299999999998</v>
      </c>
      <c r="H29" s="4">
        <v>8.5081199999999999</v>
      </c>
      <c r="I29" s="4">
        <v>13.0055</v>
      </c>
      <c r="J29" s="4">
        <v>0.59159700000000004</v>
      </c>
      <c r="K29" s="4">
        <f t="shared" si="0"/>
        <v>0.42681718749999997</v>
      </c>
      <c r="L29" s="4">
        <f t="shared" si="0"/>
        <v>0.132939375</v>
      </c>
      <c r="N29" s="41"/>
      <c r="O29" s="44"/>
      <c r="P29" s="44"/>
      <c r="Q29" s="52"/>
      <c r="R29" s="44"/>
      <c r="S29" s="52"/>
      <c r="T29" s="44"/>
      <c r="U29" s="52"/>
      <c r="V29" s="44"/>
      <c r="X29" s="41"/>
      <c r="Y29" s="44"/>
      <c r="Z29" s="44"/>
      <c r="AA29" s="44"/>
      <c r="AB29" s="44"/>
      <c r="AC29" s="44"/>
      <c r="AD29" s="44"/>
      <c r="AE29" s="44"/>
      <c r="AF29" s="44"/>
      <c r="AH29" s="41"/>
      <c r="AI29" s="52"/>
      <c r="AJ29" s="44"/>
      <c r="AK29" s="52"/>
      <c r="AL29" s="44"/>
      <c r="AM29" s="52"/>
      <c r="AN29" s="44"/>
      <c r="AO29" s="52"/>
      <c r="AP29" s="44"/>
    </row>
    <row r="30" spans="1:42">
      <c r="A30">
        <v>28</v>
      </c>
      <c r="B30">
        <v>72.5</v>
      </c>
      <c r="C30" t="s">
        <v>82</v>
      </c>
      <c r="D30">
        <v>94.503399999999999</v>
      </c>
      <c r="E30" s="4">
        <v>20.203099999999999</v>
      </c>
      <c r="F30" s="4">
        <v>3.7775400000000001</v>
      </c>
      <c r="G30" s="4">
        <v>21.802800000000001</v>
      </c>
      <c r="H30" s="4">
        <v>6.95078</v>
      </c>
      <c r="I30" s="4">
        <v>13.24</v>
      </c>
      <c r="J30" s="4">
        <v>0.61679300000000004</v>
      </c>
      <c r="K30" s="4">
        <f t="shared" si="0"/>
        <v>0.34066875000000002</v>
      </c>
      <c r="L30" s="4">
        <f t="shared" si="0"/>
        <v>0.1086059375</v>
      </c>
      <c r="N30" s="41"/>
      <c r="O30" s="44"/>
      <c r="P30" s="44"/>
      <c r="Q30" s="52"/>
      <c r="R30" s="44"/>
      <c r="S30" s="52"/>
      <c r="T30" s="44"/>
      <c r="U30" s="52"/>
      <c r="V30" s="44"/>
      <c r="X30" s="41"/>
      <c r="Y30" s="44"/>
      <c r="Z30" s="44"/>
      <c r="AA30" s="44"/>
      <c r="AB30" s="44"/>
      <c r="AC30" s="44"/>
      <c r="AD30" s="44"/>
      <c r="AE30" s="44"/>
      <c r="AF30" s="44"/>
      <c r="AH30" s="41"/>
      <c r="AI30" s="52"/>
      <c r="AJ30" s="44"/>
      <c r="AK30" s="52"/>
      <c r="AL30" s="44"/>
      <c r="AM30" s="52"/>
      <c r="AN30" s="44"/>
      <c r="AO30" s="52"/>
      <c r="AP30" s="44"/>
    </row>
    <row r="31" spans="1:42">
      <c r="A31">
        <v>29</v>
      </c>
      <c r="B31">
        <v>75</v>
      </c>
      <c r="C31" t="s">
        <v>83</v>
      </c>
      <c r="D31">
        <v>77.449299999999994</v>
      </c>
      <c r="E31" s="4">
        <v>16.850300000000001</v>
      </c>
      <c r="F31" s="4">
        <v>3.4841799999999998</v>
      </c>
      <c r="G31" s="4">
        <v>17.203700000000001</v>
      </c>
      <c r="H31" s="4">
        <v>5.7990599999999999</v>
      </c>
      <c r="I31" s="4">
        <v>13.495799999999999</v>
      </c>
      <c r="J31" s="4">
        <v>0.66040200000000004</v>
      </c>
      <c r="K31" s="4">
        <f t="shared" si="0"/>
        <v>0.26880781250000002</v>
      </c>
      <c r="L31" s="4">
        <f t="shared" si="0"/>
        <v>9.0610312499999998E-2</v>
      </c>
      <c r="N31" s="41"/>
      <c r="O31" s="44"/>
      <c r="P31" s="44"/>
      <c r="Q31" s="52"/>
      <c r="R31" s="44"/>
      <c r="S31" s="52"/>
      <c r="T31" s="44"/>
      <c r="U31" s="52"/>
      <c r="V31" s="44"/>
      <c r="X31" s="41"/>
      <c r="Y31" s="44"/>
      <c r="Z31" s="44"/>
      <c r="AA31" s="44"/>
      <c r="AB31" s="44"/>
      <c r="AC31" s="44"/>
      <c r="AD31" s="44"/>
      <c r="AE31" s="44"/>
      <c r="AF31" s="44"/>
      <c r="AH31" s="41"/>
      <c r="AI31" s="52"/>
      <c r="AJ31" s="44"/>
      <c r="AK31" s="52"/>
      <c r="AL31" s="44"/>
      <c r="AM31" s="52"/>
      <c r="AN31" s="44"/>
      <c r="AO31" s="52"/>
      <c r="AP31" s="44"/>
    </row>
    <row r="32" spans="1:42">
      <c r="A32">
        <v>30</v>
      </c>
      <c r="B32">
        <v>77.5</v>
      </c>
      <c r="C32" t="s">
        <v>84</v>
      </c>
      <c r="D32">
        <v>63.119599999999998</v>
      </c>
      <c r="E32" s="4">
        <v>14.0489</v>
      </c>
      <c r="F32" s="4">
        <v>3.2612700000000001</v>
      </c>
      <c r="G32" s="4">
        <v>13.588100000000001</v>
      </c>
      <c r="H32" s="4">
        <v>4.8712799999999996</v>
      </c>
      <c r="I32" s="4">
        <v>13.746700000000001</v>
      </c>
      <c r="J32" s="4">
        <v>0.70544799999999996</v>
      </c>
      <c r="K32" s="4">
        <f t="shared" si="0"/>
        <v>0.21231406250000001</v>
      </c>
      <c r="L32" s="4">
        <f t="shared" si="0"/>
        <v>7.6113749999999994E-2</v>
      </c>
      <c r="N32" s="41"/>
      <c r="O32" s="44"/>
      <c r="P32" s="44"/>
      <c r="Q32" s="52"/>
      <c r="R32" s="44"/>
      <c r="S32" s="52"/>
      <c r="T32" s="44"/>
      <c r="U32" s="52"/>
      <c r="V32" s="44"/>
      <c r="X32" s="41"/>
      <c r="Y32" s="44"/>
      <c r="Z32" s="44"/>
      <c r="AA32" s="44"/>
      <c r="AB32" s="44"/>
      <c r="AC32" s="44"/>
      <c r="AD32" s="44"/>
      <c r="AE32" s="44"/>
      <c r="AF32" s="44"/>
      <c r="AH32" s="41"/>
      <c r="AI32" s="52"/>
      <c r="AJ32" s="44"/>
      <c r="AK32" s="52"/>
      <c r="AL32" s="44"/>
      <c r="AM32" s="52"/>
      <c r="AN32" s="44"/>
      <c r="AO32" s="52"/>
      <c r="AP32" s="44"/>
    </row>
    <row r="33" spans="1:42">
      <c r="A33">
        <v>31</v>
      </c>
      <c r="B33">
        <v>80</v>
      </c>
      <c r="C33" t="s">
        <v>85</v>
      </c>
      <c r="D33">
        <v>51.241900000000001</v>
      </c>
      <c r="E33" s="4">
        <v>11.608000000000001</v>
      </c>
      <c r="F33" s="4">
        <v>2.9527199999999998</v>
      </c>
      <c r="G33" s="4">
        <v>10.6538</v>
      </c>
      <c r="H33" s="4">
        <v>3.9752700000000001</v>
      </c>
      <c r="I33" s="4">
        <v>13.989800000000001</v>
      </c>
      <c r="J33" s="4">
        <v>0.75031000000000003</v>
      </c>
      <c r="K33" s="4">
        <f t="shared" si="0"/>
        <v>0.16646562500000001</v>
      </c>
      <c r="L33" s="4">
        <f t="shared" si="0"/>
        <v>6.2113593750000001E-2</v>
      </c>
      <c r="N33" s="41"/>
      <c r="O33" s="44"/>
      <c r="P33" s="44"/>
      <c r="Q33" s="52"/>
      <c r="R33" s="44"/>
      <c r="S33" s="52"/>
      <c r="T33" s="44"/>
      <c r="U33" s="52"/>
      <c r="V33" s="44"/>
      <c r="X33" s="41"/>
      <c r="Y33" s="44"/>
      <c r="Z33" s="44"/>
      <c r="AA33" s="44"/>
      <c r="AB33" s="44"/>
      <c r="AC33" s="44"/>
      <c r="AD33" s="44"/>
      <c r="AE33" s="44"/>
      <c r="AF33" s="44"/>
      <c r="AH33" s="41"/>
      <c r="AI33" s="52"/>
      <c r="AJ33" s="44"/>
      <c r="AK33" s="52"/>
      <c r="AL33" s="44"/>
      <c r="AM33" s="52"/>
      <c r="AN33" s="44"/>
      <c r="AO33" s="52"/>
      <c r="AP33" s="44"/>
    </row>
    <row r="34" spans="1:42">
      <c r="A34">
        <v>32</v>
      </c>
      <c r="B34">
        <v>82.5</v>
      </c>
      <c r="C34" t="s">
        <v>86</v>
      </c>
      <c r="D34">
        <v>41.462000000000003</v>
      </c>
      <c r="E34" s="4">
        <v>9.5581499999999995</v>
      </c>
      <c r="F34" s="4">
        <v>2.6465800000000002</v>
      </c>
      <c r="G34" s="4">
        <v>8.3555299999999999</v>
      </c>
      <c r="H34" s="4">
        <v>3.3047</v>
      </c>
      <c r="I34" s="4">
        <v>14.2324</v>
      </c>
      <c r="J34" s="4">
        <v>0.79944899999999997</v>
      </c>
      <c r="K34" s="4">
        <f t="shared" si="0"/>
        <v>0.13055515625</v>
      </c>
      <c r="L34" s="4">
        <f t="shared" si="0"/>
        <v>5.16359375E-2</v>
      </c>
      <c r="N34" s="41"/>
      <c r="O34" s="44"/>
      <c r="P34" s="44"/>
      <c r="Q34" s="52"/>
      <c r="R34" s="44"/>
      <c r="S34" s="52"/>
      <c r="T34" s="44"/>
      <c r="U34" s="52"/>
      <c r="V34" s="44"/>
      <c r="X34" s="41"/>
      <c r="Y34" s="44"/>
      <c r="Z34" s="44"/>
      <c r="AA34" s="44"/>
      <c r="AB34" s="44"/>
      <c r="AC34" s="44"/>
      <c r="AD34" s="44"/>
      <c r="AE34" s="44"/>
      <c r="AF34" s="44"/>
      <c r="AH34" s="41"/>
      <c r="AI34" s="52"/>
      <c r="AJ34" s="44"/>
      <c r="AK34" s="52"/>
      <c r="AL34" s="44"/>
      <c r="AM34" s="52"/>
      <c r="AN34" s="44"/>
      <c r="AO34" s="52"/>
      <c r="AP34" s="44"/>
    </row>
    <row r="35" spans="1:42">
      <c r="A35">
        <v>33</v>
      </c>
      <c r="B35">
        <v>85</v>
      </c>
      <c r="C35" t="s">
        <v>87</v>
      </c>
      <c r="D35">
        <v>33.326300000000003</v>
      </c>
      <c r="E35" s="4">
        <v>7.7202799999999998</v>
      </c>
      <c r="F35" s="4">
        <v>2.37791</v>
      </c>
      <c r="G35" s="4">
        <v>6.4089099999999997</v>
      </c>
      <c r="H35" s="4">
        <v>2.7151399999999999</v>
      </c>
      <c r="I35" s="4">
        <v>14.491099999999999</v>
      </c>
      <c r="J35" s="4">
        <v>0.85065000000000002</v>
      </c>
      <c r="K35" s="4">
        <f t="shared" si="0"/>
        <v>0.10013921874999999</v>
      </c>
      <c r="L35" s="4">
        <f t="shared" si="0"/>
        <v>4.2424062499999998E-2</v>
      </c>
      <c r="N35" s="41"/>
      <c r="O35" s="44"/>
      <c r="P35" s="44"/>
      <c r="Q35" s="52"/>
      <c r="R35" s="44"/>
      <c r="S35" s="52"/>
      <c r="T35" s="44"/>
      <c r="U35" s="52"/>
      <c r="V35" s="44"/>
      <c r="X35" s="41"/>
      <c r="Y35" s="44"/>
      <c r="Z35" s="44"/>
      <c r="AA35" s="44"/>
      <c r="AB35" s="44"/>
      <c r="AC35" s="44"/>
      <c r="AD35" s="44"/>
      <c r="AE35" s="44"/>
      <c r="AF35" s="44"/>
      <c r="AH35" s="41"/>
      <c r="AI35" s="52"/>
      <c r="AJ35" s="44"/>
      <c r="AK35" s="52"/>
      <c r="AL35" s="44"/>
      <c r="AM35" s="52"/>
      <c r="AN35" s="44"/>
      <c r="AO35" s="52"/>
      <c r="AP35" s="44"/>
    </row>
    <row r="36" spans="1:42">
      <c r="A36">
        <v>34</v>
      </c>
      <c r="B36">
        <v>87.5</v>
      </c>
      <c r="C36" t="s">
        <v>88</v>
      </c>
      <c r="D36">
        <v>26.626000000000001</v>
      </c>
      <c r="E36" s="4">
        <v>6.4486999999999997</v>
      </c>
      <c r="F36" s="4">
        <v>2.0857600000000001</v>
      </c>
      <c r="G36" s="4">
        <v>5.1334299999999997</v>
      </c>
      <c r="H36" s="4">
        <v>2.2187100000000002</v>
      </c>
      <c r="I36" s="4">
        <v>14.6929</v>
      </c>
      <c r="J36" s="4">
        <v>0.90277099999999999</v>
      </c>
      <c r="K36" s="4">
        <f t="shared" si="0"/>
        <v>8.0209843749999996E-2</v>
      </c>
      <c r="L36" s="4">
        <f t="shared" si="0"/>
        <v>3.4667343750000003E-2</v>
      </c>
      <c r="N36" s="41"/>
      <c r="O36" s="44"/>
      <c r="P36" s="44"/>
      <c r="Q36" s="52"/>
      <c r="R36" s="44"/>
      <c r="S36" s="52"/>
      <c r="T36" s="44"/>
      <c r="U36" s="52"/>
      <c r="V36" s="44"/>
      <c r="X36" s="41"/>
      <c r="Y36" s="44"/>
      <c r="Z36" s="44"/>
      <c r="AA36" s="44"/>
      <c r="AB36" s="44"/>
      <c r="AC36" s="44"/>
      <c r="AD36" s="44"/>
      <c r="AE36" s="44"/>
      <c r="AF36" s="44"/>
      <c r="AH36" s="41"/>
      <c r="AI36" s="52"/>
      <c r="AJ36" s="44"/>
      <c r="AK36" s="52"/>
      <c r="AL36" s="44"/>
      <c r="AM36" s="52"/>
      <c r="AN36" s="44"/>
      <c r="AO36" s="52"/>
      <c r="AP36" s="44"/>
    </row>
    <row r="37" spans="1:42">
      <c r="A37">
        <v>35</v>
      </c>
      <c r="B37">
        <v>90</v>
      </c>
      <c r="C37" t="s">
        <v>89</v>
      </c>
      <c r="D37">
        <v>21.0366</v>
      </c>
      <c r="E37" s="4">
        <v>4.9689899999999998</v>
      </c>
      <c r="F37" s="4">
        <v>1.75959</v>
      </c>
      <c r="G37" s="4">
        <v>3.7321499999999999</v>
      </c>
      <c r="H37" s="4">
        <v>1.74411</v>
      </c>
      <c r="I37" s="4">
        <v>14.9968</v>
      </c>
      <c r="J37" s="4">
        <v>0.97412699999999997</v>
      </c>
      <c r="K37" s="4">
        <f t="shared" si="0"/>
        <v>5.8314843749999998E-2</v>
      </c>
      <c r="L37" s="4">
        <f t="shared" si="0"/>
        <v>2.7251718750000001E-2</v>
      </c>
      <c r="N37" s="41"/>
      <c r="O37" s="44"/>
      <c r="P37" s="44"/>
      <c r="Q37" s="52"/>
      <c r="R37" s="44"/>
      <c r="S37" s="52"/>
      <c r="T37" s="44"/>
      <c r="U37" s="52"/>
      <c r="V37" s="44"/>
      <c r="X37" s="41"/>
      <c r="Y37" s="44"/>
      <c r="Z37" s="44"/>
      <c r="AA37" s="44"/>
      <c r="AB37" s="44"/>
      <c r="AC37" s="44"/>
      <c r="AD37" s="44"/>
      <c r="AE37" s="44"/>
      <c r="AF37" s="44"/>
      <c r="AH37" s="41"/>
      <c r="AI37" s="52"/>
      <c r="AJ37" s="44"/>
      <c r="AK37" s="52"/>
      <c r="AL37" s="44"/>
      <c r="AM37" s="52"/>
      <c r="AN37" s="44"/>
      <c r="AO37" s="52"/>
      <c r="AP37" s="44"/>
    </row>
    <row r="38" spans="1:42">
      <c r="A38">
        <v>36</v>
      </c>
      <c r="B38">
        <v>92.5</v>
      </c>
      <c r="C38" t="s">
        <v>90</v>
      </c>
      <c r="D38">
        <v>16.3673</v>
      </c>
      <c r="E38" s="4">
        <v>4.2267200000000003</v>
      </c>
      <c r="F38" s="4">
        <v>1.6512</v>
      </c>
      <c r="G38" s="4">
        <v>3.0662699999999998</v>
      </c>
      <c r="H38" s="4">
        <v>1.58585</v>
      </c>
      <c r="I38" s="4">
        <v>15.181699999999999</v>
      </c>
      <c r="J38" s="4">
        <v>1.0269999999999999</v>
      </c>
      <c r="K38" s="4">
        <f t="shared" si="0"/>
        <v>4.7910468749999997E-2</v>
      </c>
      <c r="L38" s="4">
        <f t="shared" si="0"/>
        <v>2.477890625E-2</v>
      </c>
      <c r="N38" s="41"/>
      <c r="O38" s="44"/>
      <c r="P38" s="44"/>
      <c r="Q38" s="52"/>
      <c r="R38" s="44"/>
      <c r="S38" s="52"/>
      <c r="T38" s="44"/>
      <c r="U38" s="52"/>
      <c r="V38" s="44"/>
      <c r="X38" s="41"/>
      <c r="Y38" s="44"/>
      <c r="Z38" s="44"/>
      <c r="AA38" s="44"/>
      <c r="AB38" s="44"/>
      <c r="AC38" s="44"/>
      <c r="AD38" s="44"/>
      <c r="AE38" s="44"/>
      <c r="AF38" s="44"/>
      <c r="AH38" s="41"/>
      <c r="AI38" s="52"/>
      <c r="AJ38" s="44"/>
      <c r="AK38" s="52"/>
      <c r="AL38" s="44"/>
      <c r="AM38" s="52"/>
      <c r="AN38" s="44"/>
      <c r="AO38" s="52"/>
      <c r="AP38" s="44"/>
    </row>
    <row r="39" spans="1:42">
      <c r="A39">
        <v>37</v>
      </c>
      <c r="B39">
        <v>95</v>
      </c>
      <c r="C39" t="s">
        <v>91</v>
      </c>
      <c r="D39">
        <v>12.3095</v>
      </c>
      <c r="E39" s="4">
        <v>3.50793</v>
      </c>
      <c r="F39" s="4">
        <v>1.22184</v>
      </c>
      <c r="G39" s="4">
        <v>2.41926</v>
      </c>
      <c r="H39" s="4">
        <v>1.1475200000000001</v>
      </c>
      <c r="I39" s="4">
        <v>15.383599999999999</v>
      </c>
      <c r="J39" s="4">
        <v>1.0492900000000001</v>
      </c>
      <c r="K39" s="4">
        <f t="shared" si="0"/>
        <v>3.7800937499999999E-2</v>
      </c>
      <c r="L39" s="4">
        <f t="shared" si="0"/>
        <v>1.7930000000000001E-2</v>
      </c>
      <c r="N39" s="41"/>
      <c r="O39" s="44"/>
      <c r="P39" s="44"/>
      <c r="Q39" s="52"/>
      <c r="R39" s="44"/>
      <c r="S39" s="52"/>
      <c r="T39" s="44"/>
      <c r="U39" s="52"/>
      <c r="V39" s="44"/>
      <c r="X39" s="41"/>
      <c r="Y39" s="44"/>
      <c r="Z39" s="44"/>
      <c r="AA39" s="44"/>
      <c r="AB39" s="44"/>
      <c r="AC39" s="44"/>
      <c r="AD39" s="44"/>
      <c r="AE39" s="44"/>
      <c r="AF39" s="44"/>
      <c r="AH39" s="41"/>
      <c r="AI39" s="52"/>
      <c r="AJ39" s="44"/>
      <c r="AK39" s="52"/>
      <c r="AL39" s="44"/>
      <c r="AM39" s="52"/>
      <c r="AN39" s="44"/>
      <c r="AO39" s="52"/>
      <c r="AP39" s="44"/>
    </row>
    <row r="40" spans="1:42">
      <c r="A40">
        <v>38</v>
      </c>
      <c r="B40">
        <v>97.5</v>
      </c>
      <c r="C40" t="s">
        <v>92</v>
      </c>
      <c r="D40">
        <v>0</v>
      </c>
      <c r="E40" s="4">
        <v>3.1751299999999998</v>
      </c>
      <c r="F40" s="4">
        <v>1.05708</v>
      </c>
      <c r="G40" s="4">
        <v>2.1189800000000001</v>
      </c>
      <c r="H40" s="4">
        <v>0.98626400000000003</v>
      </c>
      <c r="I40" s="4">
        <v>15.4915</v>
      </c>
      <c r="J40" s="4">
        <v>1.0664199999999999</v>
      </c>
      <c r="K40" s="4">
        <f t="shared" si="0"/>
        <v>3.3109062500000001E-2</v>
      </c>
      <c r="L40" s="4">
        <f t="shared" si="0"/>
        <v>1.5410375E-2</v>
      </c>
      <c r="N40" s="41"/>
      <c r="O40" s="44"/>
      <c r="P40" s="44"/>
      <c r="Q40" s="52"/>
      <c r="R40" s="44"/>
      <c r="S40" s="52"/>
      <c r="T40" s="44"/>
      <c r="U40" s="52"/>
      <c r="V40" s="44"/>
      <c r="X40" s="41"/>
      <c r="Y40" s="44"/>
      <c r="Z40" s="44"/>
      <c r="AA40" s="44"/>
      <c r="AB40" s="44"/>
      <c r="AC40" s="44"/>
      <c r="AD40" s="44"/>
      <c r="AE40" s="44"/>
      <c r="AF40" s="44"/>
      <c r="AH40" s="41"/>
      <c r="AI40" s="52"/>
      <c r="AJ40" s="44"/>
      <c r="AK40" s="52"/>
      <c r="AL40" s="44"/>
      <c r="AM40" s="52"/>
      <c r="AN40" s="44"/>
      <c r="AO40" s="52"/>
      <c r="AP40" s="44"/>
    </row>
    <row r="41" spans="1:42">
      <c r="A41">
        <v>39</v>
      </c>
      <c r="B41">
        <v>100</v>
      </c>
      <c r="C41" t="s">
        <v>93</v>
      </c>
      <c r="D41">
        <v>0</v>
      </c>
      <c r="E41" s="4">
        <v>2.7904100000000001</v>
      </c>
      <c r="F41" s="4">
        <v>0.65389399999999998</v>
      </c>
      <c r="G41" s="4">
        <v>1.76953</v>
      </c>
      <c r="H41" s="4">
        <v>0.60834200000000005</v>
      </c>
      <c r="I41" s="4">
        <v>15.604799999999999</v>
      </c>
      <c r="J41" s="4">
        <v>1.07918</v>
      </c>
      <c r="K41" s="4">
        <f t="shared" si="0"/>
        <v>2.7648906250000001E-2</v>
      </c>
      <c r="L41" s="4">
        <f t="shared" si="0"/>
        <v>9.5053437500000008E-3</v>
      </c>
      <c r="N41" s="41"/>
      <c r="O41" s="44"/>
      <c r="P41" s="44"/>
      <c r="Q41" s="52"/>
      <c r="R41" s="44"/>
      <c r="S41" s="52"/>
      <c r="T41" s="44"/>
      <c r="U41" s="52"/>
      <c r="V41" s="44"/>
      <c r="X41" s="41"/>
      <c r="Y41" s="44"/>
      <c r="Z41" s="44"/>
      <c r="AA41" s="44"/>
      <c r="AB41" s="44"/>
      <c r="AC41" s="44"/>
      <c r="AD41" s="44"/>
      <c r="AE41" s="44"/>
      <c r="AF41" s="44"/>
      <c r="AH41" s="41"/>
      <c r="AI41" s="52"/>
      <c r="AJ41" s="44"/>
      <c r="AK41" s="52"/>
      <c r="AL41" s="44"/>
      <c r="AM41" s="52"/>
      <c r="AN41" s="44"/>
      <c r="AO41" s="52"/>
      <c r="AP41" s="44"/>
    </row>
    <row r="42" spans="1:42">
      <c r="N42" s="1" t="s">
        <v>10</v>
      </c>
      <c r="O42" s="4">
        <f>AVERAGE(E2:E41)</f>
        <v>113.05175774999998</v>
      </c>
      <c r="P42" s="13">
        <f>SQRT(F2*F2+F3*F3+F4*F4+F5*F5+F6*F6+F7*F7+F8*F8+F9*F9+F10*F10+F11*F11+F12*F12+F13*F13+F14*F14+F15*F15+F16*F16+F17*F17+F18*F18+F19*F19+F20*F20+F21*F21+F22*F22+F23*F23+F24*F24+F25*F25+F26*F26+F27*F27+F28*F28+F29*F29+F30*F30+F31*F31+F32*F32+F33*F33+F34*F34+F35*F35+F36*F36+F37*F37+F38*F38+F39*F39+F40*F40+F41*F41)/40</f>
        <v>1.6827434284825507</v>
      </c>
      <c r="Q42" s="4">
        <f>AVERAGE(G2:G41)</f>
        <v>362.4007115</v>
      </c>
      <c r="R42" s="13">
        <f>SQRT(H2*H2+H3*H3+H4*H4+H5*H5+H6*H6+H7*H7+H8*H8+H9*H9+H10*H10+H11*H11+H12*H12+H13*H13+H14*H14+H15*H15+H16*H16+H17*H17+H18*H18+H19*H19+H20*H20+H21*H21+H22*H22+H23*H23+H24*H24+H25*H25+H26*H26+H27*H27+H28*H28+H29*H29+H30*H30+H31*H31+H32*H32+H33*H33+H34*H34+H35*H35+H36*H36+H37*H37+H38*H38+H39*H39+H40*H40+H41*H41)/40</f>
        <v>11.52535632858137</v>
      </c>
      <c r="S42" s="4">
        <f>AVERAGE(I2:I41)</f>
        <v>10.47273875</v>
      </c>
      <c r="T42" s="13">
        <f>SQRT(J2*J2+J3*J3+J4*J4+J5*J5+J6*J6+J7*J7+J8*J8+J9*J9+J10*J10+J11*J11+J12*J12+J13*J13+J14*J14+J15*J15+J16*J16+J17*J17+J18*J18+J19*J19+J20*J20+J21*J21+J22*J22+J23*J23+J24*J24+J25*J25+J26*J26+J27*J27+J28*J28+J29*J29+J30*J30+J31*J31+J32*J32+J33*J33+J34*J34+J35*J35+J36*J36+J37*J37+J38*J38+J39*J39+J40*J40+J41*J41)/40</f>
        <v>0.10372143877518163</v>
      </c>
      <c r="U42" s="4">
        <f>AVERAGE(K2:K41)</f>
        <v>5.6625111171875</v>
      </c>
      <c r="V42" s="13">
        <f>SQRT(L2*L2+L3*L3+L4*L4+L5*L5+L6*L6+L7*L7+L8*L8+L9*L9+L10*L10+L11*L11+L12*L12+L13*L13+L14*L14+L15*L15+L16*L16+L17*L17+L18*L18+L19*L19+L20*L20+L21*L21+L22*L22+L23*L23+L24*L24+L25*L25+L26*L26+L27*L27+L28*L28+L29*L29+L30*L30+L31*L31+L32*L32+L33*L33+L34*L34+L35*L35+L36*L36+L37*L37+L38*L38+L39*L39+L40*L40+L41*L41)/40</f>
        <v>0.18008369263408391</v>
      </c>
    </row>
  </sheetData>
  <sheetProtection sheet="1" objects="1" scenarios="1"/>
  <mergeCells count="81">
    <mergeCell ref="T18:T21"/>
    <mergeCell ref="U18:U21"/>
    <mergeCell ref="V18:V21"/>
    <mergeCell ref="Q22:Q41"/>
    <mergeCell ref="S22:S41"/>
    <mergeCell ref="U22:U41"/>
    <mergeCell ref="V22:V41"/>
    <mergeCell ref="T22:T41"/>
    <mergeCell ref="R22:R41"/>
    <mergeCell ref="S14:S17"/>
    <mergeCell ref="R14:R17"/>
    <mergeCell ref="Q14:Q17"/>
    <mergeCell ref="Q18:Q21"/>
    <mergeCell ref="R18:R21"/>
    <mergeCell ref="S18:S21"/>
    <mergeCell ref="U10:U13"/>
    <mergeCell ref="V10:V13"/>
    <mergeCell ref="V14:V17"/>
    <mergeCell ref="U14:U17"/>
    <mergeCell ref="T14:T17"/>
    <mergeCell ref="N14:N17"/>
    <mergeCell ref="N10:N13"/>
    <mergeCell ref="N18:N21"/>
    <mergeCell ref="N22:N41"/>
    <mergeCell ref="O10:O13"/>
    <mergeCell ref="O14:O17"/>
    <mergeCell ref="O18:O21"/>
    <mergeCell ref="O22:O41"/>
    <mergeCell ref="P10:P13"/>
    <mergeCell ref="AE18:AE41"/>
    <mergeCell ref="AF18:AF41"/>
    <mergeCell ref="Y18:Y41"/>
    <mergeCell ref="Z18:Z41"/>
    <mergeCell ref="AA18:AA41"/>
    <mergeCell ref="AB18:AB41"/>
    <mergeCell ref="AC18:AC41"/>
    <mergeCell ref="AD18:AD41"/>
    <mergeCell ref="P18:P21"/>
    <mergeCell ref="P22:P41"/>
    <mergeCell ref="P14:P17"/>
    <mergeCell ref="Q10:Q13"/>
    <mergeCell ref="R10:R13"/>
    <mergeCell ref="S10:S13"/>
    <mergeCell ref="T10:T13"/>
    <mergeCell ref="AP10:AP41"/>
    <mergeCell ref="AH10:AH41"/>
    <mergeCell ref="AI10:AI41"/>
    <mergeCell ref="AJ10:AJ41"/>
    <mergeCell ref="X18:X41"/>
    <mergeCell ref="AK10:AK41"/>
    <mergeCell ref="AL10:AL41"/>
    <mergeCell ref="AM10:AM41"/>
    <mergeCell ref="AN10:AN41"/>
    <mergeCell ref="AO10:AO41"/>
    <mergeCell ref="N6:N9"/>
    <mergeCell ref="O6:O9"/>
    <mergeCell ref="P6:P9"/>
    <mergeCell ref="Q6:Q9"/>
    <mergeCell ref="R6:R9"/>
    <mergeCell ref="S6:S9"/>
    <mergeCell ref="AK2:AK9"/>
    <mergeCell ref="AL2:AL9"/>
    <mergeCell ref="AM2:AM9"/>
    <mergeCell ref="AN2:AN9"/>
    <mergeCell ref="S2:S5"/>
    <mergeCell ref="AO2:AO9"/>
    <mergeCell ref="AP2:AP9"/>
    <mergeCell ref="T2:T5"/>
    <mergeCell ref="U2:U5"/>
    <mergeCell ref="V2:V5"/>
    <mergeCell ref="AH2:AH9"/>
    <mergeCell ref="AI2:AI9"/>
    <mergeCell ref="AJ2:AJ9"/>
    <mergeCell ref="T6:T9"/>
    <mergeCell ref="U6:U9"/>
    <mergeCell ref="V6:V9"/>
    <mergeCell ref="N2:N5"/>
    <mergeCell ref="O2:O5"/>
    <mergeCell ref="P2:P5"/>
    <mergeCell ref="Q2:Q5"/>
    <mergeCell ref="R2:R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showRuler="0" workbookViewId="0">
      <pane xSplit="3" ySplit="1" topLeftCell="E2" activePane="bottomRight" state="frozen"/>
      <selection activeCell="M2" sqref="M2:O16"/>
      <selection pane="topRight" activeCell="M2" sqref="M2:O16"/>
      <selection pane="bottomLeft" activeCell="M2" sqref="M2:O16"/>
      <selection pane="bottomRight" activeCell="I17" sqref="I17"/>
    </sheetView>
  </sheetViews>
  <sheetFormatPr baseColWidth="10" defaultRowHeight="15" x14ac:dyDescent="0"/>
  <cols>
    <col min="14" max="14" width="10.83203125" customWidth="1"/>
  </cols>
  <sheetData>
    <row r="1" spans="1:37">
      <c r="A1" s="11" t="s">
        <v>29</v>
      </c>
      <c r="B1" s="11" t="s">
        <v>1</v>
      </c>
      <c r="C1" s="11" t="s">
        <v>30</v>
      </c>
      <c r="D1" s="11" t="s">
        <v>31</v>
      </c>
      <c r="E1" s="11" t="s">
        <v>4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97</v>
      </c>
      <c r="L1" s="11" t="s">
        <v>4</v>
      </c>
      <c r="M1" s="11" t="s">
        <v>37</v>
      </c>
      <c r="N1" s="11" t="s">
        <v>4</v>
      </c>
      <c r="O1" s="11" t="s">
        <v>38</v>
      </c>
      <c r="P1" s="11" t="s">
        <v>35</v>
      </c>
      <c r="Q1" s="11" t="s">
        <v>36</v>
      </c>
      <c r="R1" s="11" t="s">
        <v>98</v>
      </c>
      <c r="S1" s="11"/>
      <c r="T1" s="11" t="s">
        <v>39</v>
      </c>
      <c r="U1" s="11" t="s">
        <v>4</v>
      </c>
      <c r="V1" s="11" t="s">
        <v>38</v>
      </c>
      <c r="W1" s="11" t="s">
        <v>35</v>
      </c>
      <c r="X1" s="11" t="s">
        <v>36</v>
      </c>
      <c r="Y1" s="11" t="s">
        <v>99</v>
      </c>
      <c r="Z1" s="11"/>
      <c r="AA1" s="11" t="s">
        <v>100</v>
      </c>
      <c r="AB1" s="11" t="s">
        <v>4</v>
      </c>
      <c r="AC1" s="11" t="s">
        <v>38</v>
      </c>
      <c r="AD1" s="11" t="s">
        <v>40</v>
      </c>
      <c r="AE1" s="11" t="s">
        <v>145</v>
      </c>
      <c r="AF1" s="11" t="s">
        <v>146</v>
      </c>
      <c r="AG1" s="11" t="s">
        <v>143</v>
      </c>
      <c r="AH1" s="11" t="s">
        <v>4</v>
      </c>
      <c r="AI1" s="11" t="s">
        <v>144</v>
      </c>
      <c r="AJ1" s="11" t="s">
        <v>4</v>
      </c>
      <c r="AK1" s="11" t="s">
        <v>38</v>
      </c>
    </row>
    <row r="2" spans="1:37">
      <c r="A2" s="41" t="s">
        <v>8</v>
      </c>
      <c r="B2" s="1" t="s">
        <v>9</v>
      </c>
      <c r="C2" s="42" t="s">
        <v>10</v>
      </c>
      <c r="D2" s="3">
        <f>ReReco!U$42</f>
        <v>5.6625111171875</v>
      </c>
      <c r="E2" s="3">
        <f>ReReco!V$42</f>
        <v>0.18008369263408391</v>
      </c>
      <c r="F2" s="14">
        <v>1</v>
      </c>
      <c r="G2" s="2">
        <v>4.8</v>
      </c>
      <c r="H2" s="2">
        <v>23.5</v>
      </c>
      <c r="I2" s="3">
        <f ca="1">'efficiency HX trans'!D2</f>
        <v>0.36040715499999998</v>
      </c>
      <c r="J2" s="3">
        <f ca="1">'acceptance HX trans'!D2</f>
        <v>0.41673068499999999</v>
      </c>
      <c r="K2" s="2">
        <f ca="1">'raw yield'!D2</f>
        <v>396.46899999999999</v>
      </c>
      <c r="L2" s="2">
        <f ca="1">'raw yield'!E2</f>
        <v>23.965599999999998</v>
      </c>
      <c r="M2" s="15">
        <f ca="1">K2/($D2*$F2*$G2*I2*J2*$B$21)</f>
        <v>1.7437669492009926</v>
      </c>
      <c r="N2" s="2">
        <f ca="1">L2/K2*M2</f>
        <v>0.10540652913032622</v>
      </c>
      <c r="O2" s="2">
        <f ca="1">'final systematics'!$K4*M2</f>
        <v>0.26855251233971927</v>
      </c>
      <c r="P2" s="3">
        <f>'efficiency HX trans'!F2</f>
        <v>0.38100000000000001</v>
      </c>
      <c r="Q2" s="3">
        <f>'acceptance HX trans'!F2</f>
        <v>0.40699999999999997</v>
      </c>
      <c r="R2" s="2">
        <f ca="1">'raw yield'!F2</f>
        <v>306.75</v>
      </c>
      <c r="S2" s="2">
        <f ca="1">'raw yield'!G2</f>
        <v>22.272500000000001</v>
      </c>
      <c r="T2" s="15">
        <f ca="1">R2/($D2*$F2*$G2*P2*Q2*$B$21)</f>
        <v>1.3067523120611257</v>
      </c>
      <c r="U2" s="2">
        <f ca="1">S2/R2*T2</f>
        <v>9.4880654834169284E-2</v>
      </c>
      <c r="V2" s="2">
        <f ca="1">'final systematics'!$K4*T2</f>
        <v>0.20124915004872165</v>
      </c>
      <c r="W2" s="3">
        <f>'efficiency HX trans'!H2</f>
        <v>0.28999999999999998</v>
      </c>
      <c r="X2" s="3">
        <f>'acceptance HX trans'!H2</f>
        <v>0.45</v>
      </c>
      <c r="Y2" s="2">
        <f ca="1">'raw yield'!H2</f>
        <v>89.719099999999997</v>
      </c>
      <c r="Z2" s="2">
        <f ca="1">'raw yield'!I2</f>
        <v>13.478199999999999</v>
      </c>
      <c r="AA2" s="15">
        <f ca="1">Y2/($D2*$F2*$G2*W2*X2*$B$21)</f>
        <v>0.45415331375926477</v>
      </c>
      <c r="AB2" s="2">
        <f ca="1">Z2/Y2*AA2</f>
        <v>6.8225931752660493E-2</v>
      </c>
      <c r="AC2" s="2">
        <f ca="1">'final systematics'!$K$22*AA2</f>
        <v>7.0112000170933414E-2</v>
      </c>
      <c r="AD2" s="4">
        <f ca="1">K2-R2-Y2</f>
        <v>-1.0000000000331966E-4</v>
      </c>
      <c r="AE2" s="3">
        <f ca="1">W2/I2</f>
        <v>0.8046455126563733</v>
      </c>
      <c r="AF2" s="3">
        <f ca="1">X2/J2</f>
        <v>1.0798340899710805</v>
      </c>
      <c r="AG2" s="4">
        <f ca="1">'raw yield'!J2</f>
        <v>0.226295</v>
      </c>
      <c r="AH2" s="4">
        <f ca="1">'raw yield'!K2</f>
        <v>3.1122199999999999E-2</v>
      </c>
      <c r="AI2" s="31">
        <f ca="1">AG2/(AE2*AF2)</f>
        <v>0.26044338470586414</v>
      </c>
      <c r="AJ2" s="4">
        <f ca="1">AH2/AG2*AI2</f>
        <v>3.5818604509568683E-2</v>
      </c>
      <c r="AK2" s="4">
        <f ca="1">0.2*AI2</f>
        <v>5.2088676941172835E-2</v>
      </c>
    </row>
    <row r="3" spans="1:37">
      <c r="A3" s="41"/>
      <c r="B3" s="1" t="s">
        <v>11</v>
      </c>
      <c r="C3" s="42"/>
      <c r="D3" s="3">
        <f>ReReco!U$42</f>
        <v>5.6625111171875</v>
      </c>
      <c r="E3" s="3">
        <f>ReReco!V$42</f>
        <v>0.18008369263408391</v>
      </c>
      <c r="F3" s="14">
        <v>1</v>
      </c>
      <c r="G3" s="2">
        <v>4.8</v>
      </c>
      <c r="H3" s="2">
        <v>3.5</v>
      </c>
      <c r="I3" s="3">
        <f>'efficiency HX trans'!D3</f>
        <v>0.34399999999999997</v>
      </c>
      <c r="J3" s="3">
        <f ca="1">'acceptance HX trans'!D3</f>
        <v>0.35760818999999999</v>
      </c>
      <c r="K3" s="2">
        <f ca="1">'raw yield'!D3</f>
        <v>260.846</v>
      </c>
      <c r="L3" s="2">
        <f ca="1">'raw yield'!E3</f>
        <v>19.561399999999999</v>
      </c>
      <c r="M3" s="2">
        <f ca="1">K3/($D3*$F3*$G3*I3*J3*$B$21)</f>
        <v>1.4007040130375605</v>
      </c>
      <c r="N3" s="2">
        <f t="shared" ref="N3:N17" ca="1" si="0">L3/K3*M3</f>
        <v>0.10504179278437444</v>
      </c>
      <c r="O3" s="2">
        <f ca="1">'final systematics'!$K5*M3</f>
        <v>0.2192247364292553</v>
      </c>
      <c r="P3" s="3">
        <f>'efficiency HX trans'!F3</f>
        <v>0.34399999999999997</v>
      </c>
      <c r="Q3" s="3">
        <f>'acceptance HX trans'!F3</f>
        <v>0.35399999999999998</v>
      </c>
      <c r="R3" s="2">
        <f ca="1">'raw yield'!F3</f>
        <v>208.55799999999999</v>
      </c>
      <c r="S3" s="2">
        <f ca="1">'raw yield'!G3</f>
        <v>18.416599999999999</v>
      </c>
      <c r="T3" s="2">
        <f t="shared" ref="T3:T17" ca="1" si="1">R3/($D3*$F3*$G3*P3*Q3*$B$21)</f>
        <v>1.1313402528956578</v>
      </c>
      <c r="U3" s="2">
        <f t="shared" ref="U3:U17" ca="1" si="2">S3/R3*T3</f>
        <v>9.9902381598779094E-2</v>
      </c>
      <c r="V3" s="2">
        <f ca="1">'final systematics'!$K5*T3</f>
        <v>0.17706650830178416</v>
      </c>
      <c r="W3" s="3">
        <f>'efficiency HX trans'!H3</f>
        <v>0</v>
      </c>
      <c r="X3" s="3">
        <f>'acceptance HX trans'!H3</f>
        <v>0.372</v>
      </c>
      <c r="Y3" s="2">
        <f ca="1">'raw yield'!H3</f>
        <v>52.287999999999997</v>
      </c>
      <c r="Z3" s="2">
        <f ca="1">'raw yield'!I3</f>
        <v>10.4848</v>
      </c>
      <c r="AA3" s="2" t="e">
        <f t="shared" ref="AA3:AA16" ca="1" si="3">Y3/($D3*$F3*$G3*W3*X3*$B$21)</f>
        <v>#DIV/0!</v>
      </c>
      <c r="AB3" s="2" t="e">
        <f t="shared" ref="AB3:AB17" ca="1" si="4">Z3/Y3*AA3</f>
        <v>#DIV/0!</v>
      </c>
      <c r="AC3" s="2"/>
      <c r="AD3" s="4">
        <f t="shared" ref="AD3:AD17" ca="1" si="5">K3-R3-Y3</f>
        <v>0</v>
      </c>
      <c r="AE3" s="3">
        <f t="shared" ref="AE3:AF17" si="6">W3/I3</f>
        <v>0</v>
      </c>
      <c r="AF3" s="3">
        <f t="shared" ca="1" si="6"/>
        <v>1.0402446319811636</v>
      </c>
      <c r="AG3" s="4">
        <f ca="1">'raw yield'!J3</f>
        <v>0.20045499999999999</v>
      </c>
      <c r="AH3" s="4">
        <f ca="1">'raw yield'!K3</f>
        <v>3.72783E-2</v>
      </c>
      <c r="AI3" s="4" t="e">
        <f t="shared" ref="AI3:AI17" ca="1" si="7">AG3/(AE3*AF3)</f>
        <v>#DIV/0!</v>
      </c>
      <c r="AJ3" s="4" t="e">
        <f t="shared" ref="AJ3:AJ17" ca="1" si="8">AH3/AG3*AI3</f>
        <v>#DIV/0!</v>
      </c>
      <c r="AK3" s="4" t="e">
        <f t="shared" ref="AK3:AK17" ca="1" si="9">0.2*AI3</f>
        <v>#DIV/0!</v>
      </c>
    </row>
    <row r="4" spans="1:37">
      <c r="A4" s="41"/>
      <c r="B4" s="1" t="s">
        <v>12</v>
      </c>
      <c r="C4" s="42"/>
      <c r="D4" s="3">
        <f>ReReco!U$42</f>
        <v>5.6625111171875</v>
      </c>
      <c r="E4" s="3">
        <f>ReReco!V$42</f>
        <v>0.18008369263408391</v>
      </c>
      <c r="F4" s="14">
        <v>1</v>
      </c>
      <c r="G4" s="2">
        <v>4.8</v>
      </c>
      <c r="H4" s="2">
        <v>20</v>
      </c>
      <c r="I4" s="3">
        <f>'efficiency HX trans'!D4</f>
        <v>0.47799999999999998</v>
      </c>
      <c r="J4" s="3">
        <f ca="1">'acceptance HX trans'!D4</f>
        <v>0.68256292000000007</v>
      </c>
      <c r="K4" s="2">
        <f ca="1">'raw yield'!D4</f>
        <v>137.767</v>
      </c>
      <c r="L4" s="2">
        <f ca="1">'raw yield'!E4</f>
        <v>13.886200000000001</v>
      </c>
      <c r="M4" s="2">
        <f t="shared" ref="M4:M17" ca="1" si="10">K4/($D4*$F4*$G4*I4*J4*$B$21)</f>
        <v>0.27893480216332062</v>
      </c>
      <c r="N4" s="2">
        <f t="shared" ca="1" si="0"/>
        <v>2.8115183242723607E-2</v>
      </c>
      <c r="O4" s="2">
        <f ca="1">'final systematics'!$K6*M4</f>
        <v>4.2198829121564543E-2</v>
      </c>
      <c r="P4" s="3">
        <f>'efficiency HX trans'!F4</f>
        <v>0.47799999999999998</v>
      </c>
      <c r="Q4" s="3">
        <f>'acceptance HX trans'!F4</f>
        <v>0.67600000000000005</v>
      </c>
      <c r="R4" s="2">
        <f ca="1">'raw yield'!F4</f>
        <v>102.992</v>
      </c>
      <c r="S4" s="2">
        <f ca="1">'raw yield'!G4</f>
        <v>12.436199999999999</v>
      </c>
      <c r="T4" s="2">
        <f t="shared" ca="1" si="1"/>
        <v>0.21055084558299197</v>
      </c>
      <c r="U4" s="2">
        <f t="shared" ca="1" si="2"/>
        <v>2.5423842879439225E-2</v>
      </c>
      <c r="V4" s="2">
        <f ca="1">'final systematics'!$K6*T4</f>
        <v>3.1853318715515812E-2</v>
      </c>
      <c r="W4" s="3">
        <f>'efficiency HX trans'!H4</f>
        <v>0</v>
      </c>
      <c r="X4" s="3">
        <f>'acceptance HX trans'!H4</f>
        <v>0.70199999999999996</v>
      </c>
      <c r="Y4" s="2">
        <f ca="1">'raw yield'!H4</f>
        <v>34.774999999999999</v>
      </c>
      <c r="Z4" s="2">
        <f ca="1">'raw yield'!I4</f>
        <v>7.6928000000000001</v>
      </c>
      <c r="AA4" s="2" t="e">
        <f t="shared" ca="1" si="3"/>
        <v>#DIV/0!</v>
      </c>
      <c r="AB4" s="2" t="e">
        <f t="shared" ca="1" si="4"/>
        <v>#DIV/0!</v>
      </c>
      <c r="AC4" s="2"/>
      <c r="AD4" s="4">
        <f t="shared" ca="1" si="5"/>
        <v>0</v>
      </c>
      <c r="AE4" s="3">
        <f t="shared" si="6"/>
        <v>0</v>
      </c>
      <c r="AF4" s="3">
        <f t="shared" ca="1" si="6"/>
        <v>1.0284766128227416</v>
      </c>
      <c r="AG4" s="4">
        <f ca="1">'raw yield'!J4</f>
        <v>0.25241999999999998</v>
      </c>
      <c r="AH4" s="4">
        <f ca="1">'raw yield'!K4</f>
        <v>4.9706199999999999E-2</v>
      </c>
      <c r="AI4" s="4" t="e">
        <f t="shared" ca="1" si="7"/>
        <v>#DIV/0!</v>
      </c>
      <c r="AJ4" s="4" t="e">
        <f t="shared" ca="1" si="8"/>
        <v>#DIV/0!</v>
      </c>
      <c r="AK4" s="4" t="e">
        <f t="shared" ca="1" si="9"/>
        <v>#DIV/0!</v>
      </c>
    </row>
    <row r="5" spans="1:37">
      <c r="A5" s="7" t="s">
        <v>13</v>
      </c>
      <c r="B5" s="1" t="s">
        <v>9</v>
      </c>
      <c r="C5" s="42"/>
      <c r="D5" s="3">
        <f>ReReco!U$42</f>
        <v>5.6625111171875</v>
      </c>
      <c r="E5" s="3">
        <f>ReReco!V$42</f>
        <v>0.18008369263408391</v>
      </c>
      <c r="F5" s="14">
        <v>1</v>
      </c>
      <c r="G5" s="2">
        <v>2.4</v>
      </c>
      <c r="H5" s="2">
        <v>23.5</v>
      </c>
      <c r="I5" s="3">
        <f>'efficiency HX trans'!D5</f>
        <v>0.38200000000000001</v>
      </c>
      <c r="J5" s="3">
        <f ca="1">'acceptance HX trans'!D5</f>
        <v>0.33270081000000001</v>
      </c>
      <c r="K5" s="2">
        <f ca="1">'raw yield'!D5</f>
        <v>174.33199999999999</v>
      </c>
      <c r="L5" s="2">
        <f ca="1">'raw yield'!E5</f>
        <v>16.419899999999998</v>
      </c>
      <c r="M5" s="28">
        <f t="shared" ca="1" si="10"/>
        <v>1.8122494548763197</v>
      </c>
      <c r="N5" s="2">
        <f t="shared" ca="1" si="0"/>
        <v>0.1706912949092747</v>
      </c>
      <c r="O5" s="2">
        <f ca="1">'final systematics'!$K7*M5</f>
        <v>0.29170512295937984</v>
      </c>
      <c r="P5" s="3">
        <f>'efficiency HX trans'!F5</f>
        <v>0.38200000000000001</v>
      </c>
      <c r="Q5" s="3">
        <f>'acceptance HX trans'!F5</f>
        <v>0.32100000000000001</v>
      </c>
      <c r="R5" s="2">
        <f ca="1">'raw yield'!F5</f>
        <v>137.244</v>
      </c>
      <c r="S5" s="2">
        <f ca="1">'raw yield'!G5</f>
        <v>15.0952</v>
      </c>
      <c r="T5" s="28">
        <f ca="1">R5/($D5*$F5*$G5*P5*Q5*$B$21)</f>
        <v>1.4787101645040313</v>
      </c>
      <c r="U5" s="2">
        <f t="shared" ca="1" si="2"/>
        <v>0.16264044821792756</v>
      </c>
      <c r="V5" s="2">
        <f ca="1">'final systematics'!$K7*T5</f>
        <v>0.23801763559496911</v>
      </c>
      <c r="W5" s="3">
        <f>'efficiency HX trans'!H5</f>
        <v>0</v>
      </c>
      <c r="X5" s="3">
        <f>'acceptance HX trans'!H5</f>
        <v>0.376</v>
      </c>
      <c r="Y5" s="2">
        <f ca="1">'raw yield'!H5</f>
        <v>37.087800000000001</v>
      </c>
      <c r="Z5" s="2">
        <f ca="1">'raw yield'!I5</f>
        <v>8.5421600000000009</v>
      </c>
      <c r="AA5" s="28" t="e">
        <f t="shared" ca="1" si="3"/>
        <v>#DIV/0!</v>
      </c>
      <c r="AB5" s="2" t="e">
        <f t="shared" ca="1" si="4"/>
        <v>#DIV/0!</v>
      </c>
      <c r="AC5" s="2"/>
      <c r="AD5" s="4">
        <f t="shared" ca="1" si="5"/>
        <v>1.9999999999242846E-4</v>
      </c>
      <c r="AE5" s="3">
        <f t="shared" si="6"/>
        <v>0</v>
      </c>
      <c r="AF5" s="3">
        <f t="shared" ca="1" si="6"/>
        <v>1.1301445283526661</v>
      </c>
      <c r="AG5" s="4">
        <f ca="1">'raw yield'!J5</f>
        <v>0.21274199999999999</v>
      </c>
      <c r="AH5" s="4">
        <f ca="1">'raw yield'!K5</f>
        <v>4.4714999999999998E-2</v>
      </c>
      <c r="AI5" s="32" t="e">
        <f t="shared" ca="1" si="7"/>
        <v>#DIV/0!</v>
      </c>
      <c r="AJ5" s="4" t="e">
        <f t="shared" ca="1" si="8"/>
        <v>#DIV/0!</v>
      </c>
      <c r="AK5" s="4" t="e">
        <f t="shared" ca="1" si="9"/>
        <v>#DIV/0!</v>
      </c>
    </row>
    <row r="6" spans="1:37">
      <c r="A6" s="41" t="s">
        <v>14</v>
      </c>
      <c r="B6" s="1" t="s">
        <v>9</v>
      </c>
      <c r="C6" s="42"/>
      <c r="D6" s="3">
        <f>ReReco!U$42</f>
        <v>5.6625111171875</v>
      </c>
      <c r="E6" s="3">
        <f>ReReco!V$42</f>
        <v>0.18008369263408391</v>
      </c>
      <c r="F6" s="14">
        <v>1</v>
      </c>
      <c r="G6" s="2">
        <v>0.8</v>
      </c>
      <c r="H6" s="2">
        <v>23.5</v>
      </c>
      <c r="I6" s="3">
        <f>'efficiency HX trans'!D6</f>
        <v>0.41099999999999998</v>
      </c>
      <c r="J6" s="3">
        <f ca="1">'acceptance HX trans'!D6</f>
        <v>0.56244595200000003</v>
      </c>
      <c r="K6" s="2">
        <f ca="1">'raw yield'!D6</f>
        <v>90.325299999999999</v>
      </c>
      <c r="L6" s="2">
        <f ca="1">'raw yield'!E6</f>
        <v>11.1724</v>
      </c>
      <c r="M6" s="28">
        <f t="shared" ca="1" si="10"/>
        <v>1.5486958565209092</v>
      </c>
      <c r="N6" s="2">
        <f t="shared" ca="1" si="0"/>
        <v>0.19155928170063322</v>
      </c>
      <c r="O6" s="2">
        <f ca="1">'final systematics'!$K8*M6</f>
        <v>0.23818935182746445</v>
      </c>
      <c r="P6" s="3">
        <f>'efficiency HX trans'!F6</f>
        <v>0.41099999999999998</v>
      </c>
      <c r="Q6" s="3">
        <f>'acceptance HX trans'!F6</f>
        <v>0.55500000000000005</v>
      </c>
      <c r="R6" s="2">
        <f ca="1">'raw yield'!F6</f>
        <v>71.643100000000004</v>
      </c>
      <c r="S6" s="2">
        <f ca="1">'raw yield'!G6</f>
        <v>10.733499999999999</v>
      </c>
      <c r="T6" s="28">
        <f t="shared" ca="1" si="1"/>
        <v>1.244855394364629</v>
      </c>
      <c r="U6" s="2">
        <f t="shared" ca="1" si="2"/>
        <v>0.18650303204932148</v>
      </c>
      <c r="V6" s="2">
        <f ca="1">'final systematics'!$K8*T6</f>
        <v>0.19145870265885248</v>
      </c>
      <c r="W6" s="3">
        <f>'efficiency HX trans'!H6</f>
        <v>0</v>
      </c>
      <c r="X6" s="3">
        <f>'acceptance HX trans'!H6</f>
        <v>0.59099999999999997</v>
      </c>
      <c r="Y6" s="2">
        <f ca="1">'raw yield'!H6</f>
        <v>18.682200000000002</v>
      </c>
      <c r="Z6" s="2">
        <f ca="1">'raw yield'!I6</f>
        <v>6.4822699999999998</v>
      </c>
      <c r="AA6" s="28" t="e">
        <f t="shared" ca="1" si="3"/>
        <v>#DIV/0!</v>
      </c>
      <c r="AB6" s="2" t="e">
        <f t="shared" ca="1" si="4"/>
        <v>#DIV/0!</v>
      </c>
      <c r="AC6" s="2"/>
      <c r="AD6" s="4">
        <f t="shared" ca="1" si="5"/>
        <v>0</v>
      </c>
      <c r="AE6" s="3">
        <f t="shared" si="6"/>
        <v>0</v>
      </c>
      <c r="AF6" s="3">
        <f t="shared" ca="1" si="6"/>
        <v>1.0507676300246533</v>
      </c>
      <c r="AG6" s="4">
        <f ca="1">'raw yield'!J6</f>
        <v>0.20683199999999999</v>
      </c>
      <c r="AH6" s="4">
        <f ca="1">'raw yield'!K6</f>
        <v>6.7050999999999999E-2</v>
      </c>
      <c r="AI6" s="32" t="e">
        <f t="shared" ca="1" si="7"/>
        <v>#DIV/0!</v>
      </c>
      <c r="AJ6" s="4" t="e">
        <f t="shared" ca="1" si="8"/>
        <v>#DIV/0!</v>
      </c>
      <c r="AK6" s="4" t="e">
        <f t="shared" ca="1" si="9"/>
        <v>#DIV/0!</v>
      </c>
    </row>
    <row r="7" spans="1:37">
      <c r="A7" s="41"/>
      <c r="B7" s="1" t="s">
        <v>15</v>
      </c>
      <c r="C7" s="42"/>
      <c r="D7" s="3">
        <f>ReReco!U$42</f>
        <v>5.6625111171875</v>
      </c>
      <c r="E7" s="3">
        <f>ReReco!V$42</f>
        <v>0.18008369263408391</v>
      </c>
      <c r="F7" s="14">
        <v>1</v>
      </c>
      <c r="G7" s="2">
        <v>0.8</v>
      </c>
      <c r="H7" s="2">
        <v>24.5</v>
      </c>
      <c r="I7" s="3">
        <f>'efficiency HX trans'!D7</f>
        <v>0.375</v>
      </c>
      <c r="J7" s="3">
        <f ca="1">'acceptance HX trans'!D7</f>
        <v>0.448547684</v>
      </c>
      <c r="K7" s="2">
        <f ca="1">'raw yield'!D7</f>
        <v>103.078</v>
      </c>
      <c r="L7" s="2">
        <f ca="1">'raw yield'!E7</f>
        <v>13.0311</v>
      </c>
      <c r="M7" s="2">
        <f t="shared" ca="1" si="10"/>
        <v>2.4288765289285799</v>
      </c>
      <c r="N7" s="2">
        <f t="shared" ca="1" si="0"/>
        <v>0.30705808160927855</v>
      </c>
      <c r="O7" s="2">
        <f ca="1">'final systematics'!$K9*M7</f>
        <v>0.39145769245626949</v>
      </c>
      <c r="P7" s="3">
        <f>'efficiency HX trans'!F7</f>
        <v>0.375</v>
      </c>
      <c r="Q7" s="3">
        <f>'acceptance HX trans'!F7</f>
        <v>0.442</v>
      </c>
      <c r="R7" s="2">
        <f ca="1">'raw yield'!F7</f>
        <v>87.739199999999997</v>
      </c>
      <c r="S7" s="2">
        <f ca="1">'raw yield'!G7</f>
        <v>13.145099999999999</v>
      </c>
      <c r="T7" s="2">
        <f t="shared" ca="1" si="1"/>
        <v>2.098067585983924</v>
      </c>
      <c r="U7" s="2">
        <f t="shared" ca="1" si="2"/>
        <v>0.31433279793430163</v>
      </c>
      <c r="V7" s="2">
        <f ca="1">'final systematics'!$K9*T7</f>
        <v>0.33814180591092236</v>
      </c>
      <c r="W7" s="3">
        <f>'efficiency HX trans'!H7</f>
        <v>0</v>
      </c>
      <c r="X7" s="3">
        <f>'acceptance HX trans'!H7</f>
        <v>0.48599999999999999</v>
      </c>
      <c r="Y7" s="2">
        <f ca="1">'raw yield'!H7</f>
        <v>15.3393</v>
      </c>
      <c r="Z7" s="2">
        <f ca="1">'raw yield'!I7</f>
        <v>7.3159000000000001</v>
      </c>
      <c r="AA7" s="2" t="e">
        <f t="shared" ca="1" si="3"/>
        <v>#DIV/0!</v>
      </c>
      <c r="AB7" s="2" t="e">
        <f t="shared" ca="1" si="4"/>
        <v>#DIV/0!</v>
      </c>
      <c r="AC7" s="2"/>
      <c r="AD7" s="4">
        <f t="shared" ca="1" si="5"/>
        <v>-4.9999999999350564E-4</v>
      </c>
      <c r="AE7" s="3">
        <f t="shared" si="6"/>
        <v>0</v>
      </c>
      <c r="AF7" s="3">
        <f t="shared" ca="1" si="6"/>
        <v>1.0834968440055528</v>
      </c>
      <c r="AG7" s="4">
        <f ca="1">'raw yield'!J7</f>
        <v>0.148811</v>
      </c>
      <c r="AH7" s="4">
        <f ca="1">'raw yield'!K7</f>
        <v>6.8435399999999993E-2</v>
      </c>
      <c r="AI7" s="4" t="e">
        <f t="shared" ca="1" si="7"/>
        <v>#DIV/0!</v>
      </c>
      <c r="AJ7" s="4" t="e">
        <f t="shared" ca="1" si="8"/>
        <v>#DIV/0!</v>
      </c>
      <c r="AK7" s="4" t="e">
        <f t="shared" ca="1" si="9"/>
        <v>#DIV/0!</v>
      </c>
    </row>
    <row r="8" spans="1:37">
      <c r="A8" s="41" t="s">
        <v>16</v>
      </c>
      <c r="B8" s="1" t="s">
        <v>9</v>
      </c>
      <c r="C8" s="42"/>
      <c r="D8" s="3">
        <f>ReReco!U$42</f>
        <v>5.6625111171875</v>
      </c>
      <c r="E8" s="3">
        <f>ReReco!V$42</f>
        <v>0.18008369263408391</v>
      </c>
      <c r="F8" s="14">
        <v>1</v>
      </c>
      <c r="G8" s="2">
        <v>1.6</v>
      </c>
      <c r="H8" s="2">
        <v>23.5</v>
      </c>
      <c r="I8" s="3">
        <f ca="1">'efficiency HX trans'!D8</f>
        <v>0.34643989599999997</v>
      </c>
      <c r="J8" s="3">
        <f ca="1">'acceptance HX trans'!D8</f>
        <v>0.55210997399999995</v>
      </c>
      <c r="K8" s="2">
        <f ca="1">'raw yield'!D8</f>
        <v>149.86600000000001</v>
      </c>
      <c r="L8" s="2">
        <f ca="1">'raw yield'!E8</f>
        <v>14.499000000000001</v>
      </c>
      <c r="M8" s="28">
        <f t="shared" ca="1" si="10"/>
        <v>1.5527408149858819</v>
      </c>
      <c r="N8" s="2">
        <f t="shared" ca="1" si="0"/>
        <v>0.15022212560874582</v>
      </c>
      <c r="O8" s="2">
        <f ca="1">'final systematics'!$K10*M8</f>
        <v>0.23938259255928715</v>
      </c>
      <c r="P8" s="3">
        <f>'efficiency HX trans'!F8</f>
        <v>0.35799999999999998</v>
      </c>
      <c r="Q8" s="3">
        <f>'acceptance HX trans'!F8</f>
        <v>0.55500000000000005</v>
      </c>
      <c r="R8" s="2">
        <f ca="1">'raw yield'!F8</f>
        <v>125.804</v>
      </c>
      <c r="S8" s="2">
        <f ca="1">'raw yield'!G8</f>
        <v>14.110900000000001</v>
      </c>
      <c r="T8" s="28">
        <f t="shared" ca="1" si="1"/>
        <v>1.2547805712778319</v>
      </c>
      <c r="U8" s="2">
        <f t="shared" ca="1" si="2"/>
        <v>0.14074340373314329</v>
      </c>
      <c r="V8" s="2">
        <f ca="1">'final systematics'!$K10*T8</f>
        <v>0.19344672552337197</v>
      </c>
      <c r="W8" s="3">
        <f>'efficiency HX trans'!H8</f>
        <v>0.28599999999999998</v>
      </c>
      <c r="X8" s="3">
        <f>'acceptance HX trans'!H8</f>
        <v>0.53700000000000003</v>
      </c>
      <c r="Y8" s="2">
        <f ca="1">'raw yield'!H8</f>
        <v>24.061900000000001</v>
      </c>
      <c r="Z8" s="2">
        <f ca="1">'raw yield'!I8</f>
        <v>7.5100300000000004</v>
      </c>
      <c r="AA8" s="28">
        <f t="shared" ca="1" si="3"/>
        <v>0.31048379931806247</v>
      </c>
      <c r="AB8" s="2">
        <f t="shared" ca="1" si="4"/>
        <v>9.6906006898566974E-2</v>
      </c>
      <c r="AC8" s="2">
        <f ca="1">'final systematics'!$K$23*AA8</f>
        <v>4.9070326397510376E-2</v>
      </c>
      <c r="AD8" s="4">
        <f t="shared" ca="1" si="5"/>
        <v>1.0000000001042508E-4</v>
      </c>
      <c r="AE8" s="3">
        <f t="shared" ca="1" si="6"/>
        <v>0.82554002383143543</v>
      </c>
      <c r="AF8" s="3">
        <f t="shared" ca="1" si="6"/>
        <v>0.97263231111271331</v>
      </c>
      <c r="AG8" s="4">
        <f ca="1">'raw yield'!J8</f>
        <v>0.16055700000000001</v>
      </c>
      <c r="AH8" s="4">
        <f ca="1">'raw yield'!K8</f>
        <v>4.7643499999999998E-2</v>
      </c>
      <c r="AI8" s="32">
        <f t="shared" ca="1" si="7"/>
        <v>0.19995967322497857</v>
      </c>
      <c r="AJ8" s="4">
        <f t="shared" ca="1" si="8"/>
        <v>5.9335804052730597E-2</v>
      </c>
      <c r="AK8" s="4">
        <f t="shared" ca="1" si="9"/>
        <v>3.9991934644995716E-2</v>
      </c>
    </row>
    <row r="9" spans="1:37">
      <c r="A9" s="41"/>
      <c r="B9" s="1" t="s">
        <v>17</v>
      </c>
      <c r="C9" s="42"/>
      <c r="D9" s="3">
        <f>ReReco!U$42</f>
        <v>5.6625111171875</v>
      </c>
      <c r="E9" s="3">
        <f>ReReco!V$42</f>
        <v>0.18008369263408391</v>
      </c>
      <c r="F9" s="14">
        <v>1</v>
      </c>
      <c r="G9" s="2">
        <v>1.6</v>
      </c>
      <c r="H9" s="2">
        <v>27</v>
      </c>
      <c r="I9" s="3">
        <f ca="1">'efficiency HX trans'!D9</f>
        <v>0.28414441600000001</v>
      </c>
      <c r="J9" s="3">
        <f ca="1">'acceptance HX trans'!D9</f>
        <v>0.40894108400000007</v>
      </c>
      <c r="K9" s="2">
        <f ca="1">'raw yield'!D9</f>
        <v>447.24099999999999</v>
      </c>
      <c r="L9" s="2">
        <f ca="1">'raw yield'!E9</f>
        <v>63.208599999999997</v>
      </c>
      <c r="M9" s="2">
        <f t="shared" ca="1" si="10"/>
        <v>7.6276557738797131</v>
      </c>
      <c r="N9" s="2">
        <f t="shared" ca="1" si="0"/>
        <v>1.0780170931306683</v>
      </c>
      <c r="O9" s="2">
        <f ca="1">'final systematics'!$K11*M9</f>
        <v>1.1980942721812986</v>
      </c>
      <c r="P9" s="3">
        <f>'efficiency HX trans'!F9</f>
        <v>0.29199999999999998</v>
      </c>
      <c r="Q9" s="3">
        <f>'acceptance HX trans'!F9</f>
        <v>0.442</v>
      </c>
      <c r="R9" s="2">
        <f ca="1">'raw yield'!F9</f>
        <v>374.04700000000003</v>
      </c>
      <c r="S9" s="2">
        <f ca="1">'raw yield'!G9</f>
        <v>55.187899999999999</v>
      </c>
      <c r="T9" s="2">
        <f t="shared" ca="1" si="1"/>
        <v>5.7434176766853753</v>
      </c>
      <c r="U9" s="2">
        <f t="shared" ca="1" si="2"/>
        <v>0.84739928511428986</v>
      </c>
      <c r="V9" s="2">
        <f ca="1">'final systematics'!$K11*T9</f>
        <v>0.90213245395073116</v>
      </c>
      <c r="W9" s="3">
        <f>'efficiency HX trans'!H9</f>
        <v>0.24399999999999999</v>
      </c>
      <c r="X9" s="3">
        <f>'acceptance HX trans'!H9</f>
        <v>0.24</v>
      </c>
      <c r="Y9" s="2">
        <f ca="1">'raw yield'!H9</f>
        <v>73.194500000000005</v>
      </c>
      <c r="Z9" s="2">
        <f ca="1">'raw yield'!I9</f>
        <v>18.9237</v>
      </c>
      <c r="AA9" s="2">
        <f t="shared" ca="1" si="3"/>
        <v>2.4770041018345004</v>
      </c>
      <c r="AB9" s="2">
        <f t="shared" ca="1" si="4"/>
        <v>0.64040443642467038</v>
      </c>
      <c r="AC9" s="2">
        <f ca="1">'final systematics'!$K$24*AA9</f>
        <v>0.517181396558408</v>
      </c>
      <c r="AD9" s="4">
        <f t="shared" ca="1" si="5"/>
        <v>-5.0000000004501999E-4</v>
      </c>
      <c r="AE9" s="3">
        <f t="shared" ca="1" si="6"/>
        <v>0.85871826529225193</v>
      </c>
      <c r="AF9" s="3">
        <f t="shared" ca="1" si="6"/>
        <v>0.58688160566425251</v>
      </c>
      <c r="AG9" s="4">
        <f ca="1">'raw yield'!J9</f>
        <v>0.163658</v>
      </c>
      <c r="AH9" s="4">
        <f ca="1">'raw yield'!K9</f>
        <v>3.5430400000000001E-2</v>
      </c>
      <c r="AI9" s="4">
        <f t="shared" ca="1" si="7"/>
        <v>0.32474019045939445</v>
      </c>
      <c r="AJ9" s="4">
        <f t="shared" ca="1" si="8"/>
        <v>7.0303161740046499E-2</v>
      </c>
      <c r="AK9" s="4">
        <f t="shared" ca="1" si="9"/>
        <v>6.4948038091878893E-2</v>
      </c>
    </row>
    <row r="10" spans="1:37">
      <c r="A10" s="41" t="s">
        <v>8</v>
      </c>
      <c r="B10" s="41" t="s">
        <v>9</v>
      </c>
      <c r="C10" s="8" t="s">
        <v>18</v>
      </c>
      <c r="D10" s="3">
        <f>ReReco!U2</f>
        <v>23.185742187499997</v>
      </c>
      <c r="E10" s="3">
        <f>ReReco!V2</f>
        <v>1.1224245480741166</v>
      </c>
      <c r="F10" s="14">
        <v>0.1</v>
      </c>
      <c r="G10" s="2">
        <v>4.8</v>
      </c>
      <c r="H10" s="2">
        <v>23.5</v>
      </c>
      <c r="I10" s="3">
        <f>'efficiency HX trans'!D10</f>
        <v>0.36299999999999999</v>
      </c>
      <c r="J10" s="3">
        <f ca="1">'acceptance HX trans'!D10</f>
        <v>0.41980329299999997</v>
      </c>
      <c r="K10" s="2">
        <f ca="1">'raw yield'!D10</f>
        <v>112.855</v>
      </c>
      <c r="L10" s="2">
        <f ca="1">'raw yield'!E10</f>
        <v>12.4671</v>
      </c>
      <c r="M10" s="15">
        <f t="shared" ca="1" si="10"/>
        <v>1.1947705113065916</v>
      </c>
      <c r="N10" s="2">
        <f t="shared" ca="1" si="0"/>
        <v>0.13198638466625678</v>
      </c>
      <c r="O10" s="2">
        <f ca="1">'final systematics'!$K12*M10</f>
        <v>0.1849814686818787</v>
      </c>
      <c r="P10" s="3">
        <f>'efficiency HX trans'!F10</f>
        <v>0.36299999999999999</v>
      </c>
      <c r="Q10" s="3">
        <f>'acceptance HX trans'!F10</f>
        <v>0.40699999999999997</v>
      </c>
      <c r="R10" s="2">
        <f ca="1">'raw yield'!F10</f>
        <v>79.252200000000002</v>
      </c>
      <c r="S10" s="2">
        <f ca="1">'raw yield'!G10</f>
        <v>11.388500000000001</v>
      </c>
      <c r="T10" s="15">
        <f t="shared" ca="1" si="1"/>
        <v>0.86541904528410374</v>
      </c>
      <c r="U10" s="2">
        <f t="shared" ca="1" si="2"/>
        <v>0.12436026756630118</v>
      </c>
      <c r="V10" s="2">
        <f ca="1">'final systematics'!$K12*T10</f>
        <v>0.13398931803803349</v>
      </c>
      <c r="W10" s="3">
        <f>'efficiency HX trans'!H10</f>
        <v>0</v>
      </c>
      <c r="X10" s="3">
        <f>'acceptance HX trans'!H10</f>
        <v>0.45</v>
      </c>
      <c r="Y10" s="2">
        <f ca="1">'raw yield'!H10</f>
        <v>33.602699999999999</v>
      </c>
      <c r="Z10" s="2">
        <f ca="1">'raw yield'!I10</f>
        <v>8.1747399999999999</v>
      </c>
      <c r="AA10" s="2" t="e">
        <f t="shared" ca="1" si="3"/>
        <v>#DIV/0!</v>
      </c>
      <c r="AB10" s="2" t="e">
        <f t="shared" ca="1" si="4"/>
        <v>#DIV/0!</v>
      </c>
      <c r="AC10" s="2"/>
      <c r="AD10" s="4">
        <f t="shared" ca="1" si="5"/>
        <v>1.0000000000331966E-4</v>
      </c>
      <c r="AE10" s="3">
        <f t="shared" si="6"/>
        <v>0</v>
      </c>
      <c r="AF10" s="3">
        <f t="shared" ca="1" si="6"/>
        <v>1.0719306101298258</v>
      </c>
      <c r="AG10" s="4">
        <f ca="1">'raw yield'!J10</f>
        <v>0.29775099999999999</v>
      </c>
      <c r="AH10" s="4">
        <f ca="1">'raw yield'!K10</f>
        <v>6.4536999999999997E-2</v>
      </c>
      <c r="AI10" s="4" t="e">
        <f t="shared" ca="1" si="7"/>
        <v>#DIV/0!</v>
      </c>
      <c r="AJ10" s="4" t="e">
        <f t="shared" ca="1" si="8"/>
        <v>#DIV/0!</v>
      </c>
      <c r="AK10" s="4" t="e">
        <f t="shared" ca="1" si="9"/>
        <v>#DIV/0!</v>
      </c>
    </row>
    <row r="11" spans="1:37">
      <c r="A11" s="41"/>
      <c r="B11" s="41"/>
      <c r="C11" s="8" t="s">
        <v>19</v>
      </c>
      <c r="D11" s="3">
        <f>ReReco!U6</f>
        <v>14.4776953125</v>
      </c>
      <c r="E11" s="3">
        <f>ReReco!V6</f>
        <v>1.0412851798499518</v>
      </c>
      <c r="F11" s="14">
        <v>0.1</v>
      </c>
      <c r="G11" s="2">
        <v>4.8</v>
      </c>
      <c r="H11" s="2">
        <v>23.5</v>
      </c>
      <c r="I11" s="3">
        <f>'efficiency HX trans'!D11</f>
        <v>0.38600000000000001</v>
      </c>
      <c r="J11" s="3">
        <f ca="1">'acceptance HX trans'!D11</f>
        <v>0.41940064099999996</v>
      </c>
      <c r="K11" s="2">
        <f ca="1">'raw yield'!D11</f>
        <v>79.810500000000005</v>
      </c>
      <c r="L11" s="2">
        <f ca="1">'raw yield'!E11</f>
        <v>10.086</v>
      </c>
      <c r="M11" s="15">
        <f t="shared" ca="1" si="10"/>
        <v>1.2737416876743406</v>
      </c>
      <c r="N11" s="2">
        <f t="shared" ca="1" si="0"/>
        <v>0.16096827687940057</v>
      </c>
      <c r="O11" s="2">
        <f ca="1">'final systematics'!$K13*M11</f>
        <v>0.20092932580753467</v>
      </c>
      <c r="P11" s="3">
        <f>'efficiency HX trans'!F11</f>
        <v>0.38600000000000001</v>
      </c>
      <c r="Q11" s="3">
        <f>'acceptance HX trans'!F11</f>
        <v>0.40699999999999997</v>
      </c>
      <c r="R11" s="2">
        <f ca="1">'raw yield'!F11</f>
        <v>56.794199999999996</v>
      </c>
      <c r="S11" s="2">
        <f ca="1">'raw yield'!G11</f>
        <v>9.2707300000000004</v>
      </c>
      <c r="T11" s="15">
        <f t="shared" ca="1" si="1"/>
        <v>0.93402822114810324</v>
      </c>
      <c r="U11" s="2">
        <f t="shared" ca="1" si="2"/>
        <v>0.15246492512693824</v>
      </c>
      <c r="V11" s="2">
        <f ca="1">'final systematics'!$K13*T11</f>
        <v>0.14734044004099683</v>
      </c>
      <c r="W11" s="3">
        <f>'efficiency HX trans'!H11</f>
        <v>0</v>
      </c>
      <c r="X11" s="3">
        <f>'acceptance HX trans'!H11</f>
        <v>0.45</v>
      </c>
      <c r="Y11" s="2">
        <f ca="1">'raw yield'!H11</f>
        <v>23.016300000000001</v>
      </c>
      <c r="Z11" s="2">
        <f ca="1">'raw yield'!I11</f>
        <v>6.5492800000000004</v>
      </c>
      <c r="AA11" s="2" t="e">
        <f t="shared" ca="1" si="3"/>
        <v>#DIV/0!</v>
      </c>
      <c r="AB11" s="2" t="e">
        <f t="shared" ca="1" si="4"/>
        <v>#DIV/0!</v>
      </c>
      <c r="AC11" s="2"/>
      <c r="AD11" s="4">
        <f t="shared" ca="1" si="5"/>
        <v>0</v>
      </c>
      <c r="AE11" s="3">
        <f t="shared" si="6"/>
        <v>0</v>
      </c>
      <c r="AF11" s="3">
        <f t="shared" ca="1" si="6"/>
        <v>1.0729597335069405</v>
      </c>
      <c r="AG11" s="4">
        <f ca="1">'raw yield'!J11</f>
        <v>0.288387</v>
      </c>
      <c r="AH11" s="4">
        <f ca="1">'raw yield'!K11</f>
        <v>7.3523400000000003E-2</v>
      </c>
      <c r="AI11" s="4" t="e">
        <f t="shared" ca="1" si="7"/>
        <v>#DIV/0!</v>
      </c>
      <c r="AJ11" s="4" t="e">
        <f t="shared" ca="1" si="8"/>
        <v>#DIV/0!</v>
      </c>
      <c r="AK11" s="4" t="e">
        <f t="shared" ca="1" si="9"/>
        <v>#DIV/0!</v>
      </c>
    </row>
    <row r="12" spans="1:37">
      <c r="A12" s="41"/>
      <c r="B12" s="41"/>
      <c r="C12" s="8" t="s">
        <v>20</v>
      </c>
      <c r="D12" s="3">
        <f>ReReco!U10</f>
        <v>8.7829765625</v>
      </c>
      <c r="E12" s="3">
        <f>ReReco!V10</f>
        <v>0.72317759251451785</v>
      </c>
      <c r="F12" s="14">
        <v>0.1</v>
      </c>
      <c r="G12" s="2">
        <v>4.8</v>
      </c>
      <c r="H12" s="2">
        <v>23.5</v>
      </c>
      <c r="I12" s="3">
        <f>'efficiency HX trans'!D12</f>
        <v>0.38900000000000001</v>
      </c>
      <c r="J12" s="3">
        <f ca="1">'acceptance HX trans'!D12</f>
        <v>0.4100441936</v>
      </c>
      <c r="K12" s="2">
        <f ca="1">'raw yield'!D12</f>
        <v>63.361800000000002</v>
      </c>
      <c r="L12" s="2">
        <f ca="1">'raw yield'!E12</f>
        <v>8.8439399999999999</v>
      </c>
      <c r="M12" s="15">
        <f t="shared" ca="1" si="10"/>
        <v>1.6917752730285589</v>
      </c>
      <c r="N12" s="2">
        <f t="shared" ca="1" si="0"/>
        <v>0.23613532141050592</v>
      </c>
      <c r="O12" s="2">
        <f ca="1">'final systematics'!$K14*M12</f>
        <v>0.26479374094432651</v>
      </c>
      <c r="P12" s="3">
        <f>'efficiency HX trans'!F12</f>
        <v>0.38900000000000001</v>
      </c>
      <c r="Q12" s="3">
        <f>'acceptance HX trans'!F12</f>
        <v>0.40699999999999997</v>
      </c>
      <c r="R12" s="2">
        <f ca="1">'raw yield'!F12</f>
        <v>58.876100000000001</v>
      </c>
      <c r="S12" s="2">
        <f ca="1">'raw yield'!G12</f>
        <v>8.7785499999999992</v>
      </c>
      <c r="T12" s="15">
        <f t="shared" ca="1" si="1"/>
        <v>1.583763968239793</v>
      </c>
      <c r="U12" s="2">
        <f t="shared" ca="1" si="2"/>
        <v>0.23614252953900539</v>
      </c>
      <c r="V12" s="2">
        <f ca="1">'final systematics'!$K14*T12</f>
        <v>0.24788799825186175</v>
      </c>
      <c r="W12" s="3">
        <f>'efficiency HX trans'!H12</f>
        <v>0</v>
      </c>
      <c r="X12" s="3">
        <f>'acceptance HX trans'!H12</f>
        <v>0.45</v>
      </c>
      <c r="Y12" s="2">
        <f ca="1">'raw yield'!H12</f>
        <v>4.4857199999999997</v>
      </c>
      <c r="Z12" s="2">
        <f ca="1">'raw yield'!I12</f>
        <v>3.1499600000000001</v>
      </c>
      <c r="AA12" s="2" t="e">
        <f t="shared" ca="1" si="3"/>
        <v>#DIV/0!</v>
      </c>
      <c r="AB12" s="2" t="e">
        <f t="shared" ca="1" si="4"/>
        <v>#DIV/0!</v>
      </c>
      <c r="AC12" s="2"/>
      <c r="AD12" s="4">
        <f t="shared" ca="1" si="5"/>
        <v>-1.9999999998354667E-5</v>
      </c>
      <c r="AE12" s="3">
        <f t="shared" si="6"/>
        <v>0</v>
      </c>
      <c r="AF12" s="3">
        <f t="shared" ca="1" si="6"/>
        <v>1.0974426830659554</v>
      </c>
      <c r="AG12" s="4">
        <f ca="1">'raw yield'!J12</f>
        <v>7.0795200000000003E-2</v>
      </c>
      <c r="AH12" s="4">
        <f ca="1">'raw yield'!K12</f>
        <v>4.8721899999999999E-2</v>
      </c>
      <c r="AI12" s="4" t="e">
        <f t="shared" ca="1" si="7"/>
        <v>#DIV/0!</v>
      </c>
      <c r="AJ12" s="4" t="e">
        <f t="shared" ca="1" si="8"/>
        <v>#DIV/0!</v>
      </c>
      <c r="AK12" s="4" t="e">
        <f t="shared" ca="1" si="9"/>
        <v>#DIV/0!</v>
      </c>
    </row>
    <row r="13" spans="1:37">
      <c r="A13" s="41"/>
      <c r="B13" s="41"/>
      <c r="C13" s="8" t="s">
        <v>21</v>
      </c>
      <c r="D13" s="3">
        <f>ReReco!U14</f>
        <v>5.0892265625000004</v>
      </c>
      <c r="E13" s="3">
        <f>ReReco!V14</f>
        <v>0.48740498553650669</v>
      </c>
      <c r="F13" s="14">
        <v>0.1</v>
      </c>
      <c r="G13" s="2">
        <v>4.8</v>
      </c>
      <c r="H13" s="2">
        <v>23.5</v>
      </c>
      <c r="I13" s="3">
        <f>'efficiency HX trans'!D13</f>
        <v>0.39300000000000002</v>
      </c>
      <c r="J13" s="3">
        <f ca="1">'acceptance HX trans'!D13</f>
        <v>0.41480867099999996</v>
      </c>
      <c r="K13" s="2">
        <f ca="1">'raw yield'!D13</f>
        <v>58.244999999999997</v>
      </c>
      <c r="L13" s="2">
        <f ca="1">'raw yield'!E13</f>
        <v>8.2205399999999997</v>
      </c>
      <c r="M13" s="15">
        <f t="shared" ca="1" si="10"/>
        <v>2.6260539629287938</v>
      </c>
      <c r="N13" s="2">
        <f t="shared" ca="1" si="0"/>
        <v>0.37063407407356286</v>
      </c>
      <c r="O13" s="2">
        <f ca="1">'final systematics'!$K15*M13</f>
        <v>0.43772698145603944</v>
      </c>
      <c r="P13" s="3">
        <f>'efficiency HX trans'!F13</f>
        <v>0.39300000000000002</v>
      </c>
      <c r="Q13" s="3">
        <f>'acceptance HX trans'!F13</f>
        <v>0.40699999999999997</v>
      </c>
      <c r="R13" s="2">
        <f ca="1">'raw yield'!F13</f>
        <v>47.667900000000003</v>
      </c>
      <c r="S13" s="2">
        <f ca="1">'raw yield'!G13</f>
        <v>7.7744499999999999</v>
      </c>
      <c r="T13" s="15">
        <f t="shared" ca="1" si="1"/>
        <v>2.190405055166234</v>
      </c>
      <c r="U13" s="2">
        <f t="shared" ca="1" si="2"/>
        <v>0.35724658693034778</v>
      </c>
      <c r="V13" s="2">
        <f ca="1">'final systematics'!$K15*T13</f>
        <v>0.36511031627645318</v>
      </c>
      <c r="W13" s="3">
        <f>'efficiency HX trans'!H13</f>
        <v>0</v>
      </c>
      <c r="X13" s="3">
        <f>'acceptance HX trans'!H13</f>
        <v>0.45</v>
      </c>
      <c r="Y13" s="2">
        <f ca="1">'raw yield'!H13</f>
        <v>10.5771</v>
      </c>
      <c r="Z13" s="2">
        <f ca="1">'raw yield'!I13</f>
        <v>4.1723400000000002</v>
      </c>
      <c r="AA13" s="2" t="e">
        <f t="shared" ca="1" si="3"/>
        <v>#DIV/0!</v>
      </c>
      <c r="AB13" s="2" t="e">
        <f t="shared" ca="1" si="4"/>
        <v>#DIV/0!</v>
      </c>
      <c r="AC13" s="2"/>
      <c r="AD13" s="4">
        <f t="shared" ca="1" si="5"/>
        <v>0</v>
      </c>
      <c r="AE13" s="3">
        <f t="shared" si="6"/>
        <v>0</v>
      </c>
      <c r="AF13" s="3">
        <f t="shared" ca="1" si="6"/>
        <v>1.084837496080211</v>
      </c>
      <c r="AG13" s="4">
        <f ca="1">'raw yield'!J13</f>
        <v>0.18159700000000001</v>
      </c>
      <c r="AH13" s="4">
        <f ca="1">'raw yield'!K13</f>
        <v>6.6892300000000002E-2</v>
      </c>
      <c r="AI13" s="4" t="e">
        <f t="shared" ca="1" si="7"/>
        <v>#DIV/0!</v>
      </c>
      <c r="AJ13" s="4" t="e">
        <f t="shared" ca="1" si="8"/>
        <v>#DIV/0!</v>
      </c>
      <c r="AK13" s="4" t="e">
        <f t="shared" ca="1" si="9"/>
        <v>#DIV/0!</v>
      </c>
    </row>
    <row r="14" spans="1:37">
      <c r="A14" s="41"/>
      <c r="B14" s="41"/>
      <c r="C14" s="8" t="s">
        <v>22</v>
      </c>
      <c r="D14" s="3">
        <f>ReReco!U18</f>
        <v>2.7483554687499998</v>
      </c>
      <c r="E14" s="3">
        <f>ReReco!V18</f>
        <v>0.30911282911454752</v>
      </c>
      <c r="F14" s="14">
        <v>0.1</v>
      </c>
      <c r="G14" s="2">
        <v>4.8</v>
      </c>
      <c r="H14" s="2">
        <v>23.5</v>
      </c>
      <c r="I14" s="3">
        <f>'efficiency HX trans'!D14</f>
        <v>0.40799999999999997</v>
      </c>
      <c r="J14" s="3">
        <f ca="1">'acceptance HX trans'!D14</f>
        <v>0.41700489600000001</v>
      </c>
      <c r="K14" s="2">
        <f ca="1">'raw yield'!D14</f>
        <v>45.228099999999998</v>
      </c>
      <c r="L14" s="2">
        <f ca="1">'raw yield'!E14</f>
        <v>7.0477100000000004</v>
      </c>
      <c r="M14" s="15">
        <f t="shared" ca="1" si="10"/>
        <v>3.6180226543660714</v>
      </c>
      <c r="N14" s="2">
        <f t="shared" ca="1" si="0"/>
        <v>0.56378168531073181</v>
      </c>
      <c r="O14" s="2">
        <f ca="1">'final systematics'!$K16*M14</f>
        <v>0.64518206634123076</v>
      </c>
      <c r="P14" s="3">
        <f>'efficiency HX trans'!F14</f>
        <v>0.40799999999999997</v>
      </c>
      <c r="Q14" s="3">
        <f>'acceptance HX trans'!F14</f>
        <v>0.40699999999999997</v>
      </c>
      <c r="R14" s="2">
        <f ca="1">'raw yield'!F14</f>
        <v>34.704799999999999</v>
      </c>
      <c r="S14" s="2">
        <f ca="1">'raw yield'!G14</f>
        <v>6.7179500000000001</v>
      </c>
      <c r="T14" s="15">
        <f t="shared" ca="1" si="1"/>
        <v>2.8444560569028408</v>
      </c>
      <c r="U14" s="2">
        <f t="shared" ca="1" si="2"/>
        <v>0.5506129863151622</v>
      </c>
      <c r="V14" s="2">
        <f ca="1">'final systematics'!$K16*T14</f>
        <v>0.50723619272941112</v>
      </c>
      <c r="W14" s="3">
        <f>'efficiency HX trans'!H14</f>
        <v>0</v>
      </c>
      <c r="X14" s="3">
        <f>'acceptance HX trans'!H14</f>
        <v>0.45</v>
      </c>
      <c r="Y14" s="2">
        <f ca="1">'raw yield'!H14</f>
        <v>10.523300000000001</v>
      </c>
      <c r="Z14" s="2">
        <f ca="1">'raw yield'!I14</f>
        <v>4.3098099999999997</v>
      </c>
      <c r="AA14" s="2" t="e">
        <f t="shared" ca="1" si="3"/>
        <v>#DIV/0!</v>
      </c>
      <c r="AB14" s="2" t="e">
        <f t="shared" ca="1" si="4"/>
        <v>#DIV/0!</v>
      </c>
      <c r="AC14" s="2"/>
      <c r="AD14" s="4">
        <f t="shared" ca="1" si="5"/>
        <v>0</v>
      </c>
      <c r="AE14" s="3">
        <f t="shared" si="6"/>
        <v>0</v>
      </c>
      <c r="AF14" s="3">
        <f t="shared" ca="1" si="6"/>
        <v>1.0791240206445922</v>
      </c>
      <c r="AG14" s="4">
        <f ca="1">'raw yield'!J14</f>
        <v>0.23267199999999999</v>
      </c>
      <c r="AH14" s="4">
        <f ca="1">'raw yield'!K14</f>
        <v>8.8123599999999996E-2</v>
      </c>
      <c r="AI14" s="4" t="e">
        <f t="shared" ca="1" si="7"/>
        <v>#DIV/0!</v>
      </c>
      <c r="AJ14" s="4" t="e">
        <f t="shared" ca="1" si="8"/>
        <v>#DIV/0!</v>
      </c>
      <c r="AK14" s="4" t="e">
        <f t="shared" ca="1" si="9"/>
        <v>#DIV/0!</v>
      </c>
    </row>
    <row r="15" spans="1:37">
      <c r="A15" s="41"/>
      <c r="B15" s="41"/>
      <c r="C15" s="8" t="s">
        <v>23</v>
      </c>
      <c r="D15" s="3">
        <f>ReReco!U22</f>
        <v>0.46822301562500018</v>
      </c>
      <c r="E15" s="3">
        <f>ReReco!V22</f>
        <v>4.1377168590445754E-2</v>
      </c>
      <c r="F15" s="14">
        <v>0.5</v>
      </c>
      <c r="G15" s="2">
        <v>4.8</v>
      </c>
      <c r="H15" s="2">
        <v>23.5</v>
      </c>
      <c r="I15" s="3">
        <f>'efficiency HX trans'!D15</f>
        <v>0.439</v>
      </c>
      <c r="J15" s="3">
        <f ca="1">'acceptance HX trans'!D15</f>
        <v>0.41570229699999994</v>
      </c>
      <c r="K15" s="2">
        <f ca="1">'raw yield'!D15</f>
        <v>36.657800000000002</v>
      </c>
      <c r="L15" s="2">
        <f ca="1">'raw yield'!E15</f>
        <v>6.2381700000000002</v>
      </c>
      <c r="M15" s="15">
        <f ca="1">K15/($D15*$F15*$G15*I15*J15*$B$21)</f>
        <v>3.2094739069481006</v>
      </c>
      <c r="N15" s="2">
        <f t="shared" ca="1" si="0"/>
        <v>0.54616599583462278</v>
      </c>
      <c r="O15" s="2">
        <f ca="1">'final systematics'!$K17*M15</f>
        <v>0.66409117626945324</v>
      </c>
      <c r="P15" s="3">
        <f>'efficiency HX trans'!F15</f>
        <v>0.439</v>
      </c>
      <c r="Q15" s="3">
        <f>'acceptance HX trans'!F15</f>
        <v>0.40699999999999997</v>
      </c>
      <c r="R15" s="2">
        <f ca="1">'raw yield'!F15</f>
        <v>29.239000000000001</v>
      </c>
      <c r="S15" s="2">
        <f ca="1">'raw yield'!G15</f>
        <v>5.7256900000000002</v>
      </c>
      <c r="T15" s="15">
        <f t="shared" ca="1" si="1"/>
        <v>2.6146766113570683</v>
      </c>
      <c r="U15" s="2">
        <f t="shared" ca="1" si="2"/>
        <v>0.51201572307127641</v>
      </c>
      <c r="V15" s="2">
        <f ca="1">'final systematics'!$K17*T15</f>
        <v>0.54101815959347577</v>
      </c>
      <c r="W15" s="3">
        <f>'efficiency HX trans'!H15</f>
        <v>0</v>
      </c>
      <c r="X15" s="3">
        <f>'acceptance HX trans'!H15</f>
        <v>0.45</v>
      </c>
      <c r="Y15" s="2">
        <f ca="1">'raw yield'!H15</f>
        <v>7.4187700000000003</v>
      </c>
      <c r="Z15" s="2">
        <f ca="1">'raw yield'!I15</f>
        <v>3.1015899999999998</v>
      </c>
      <c r="AA15" s="2" t="e">
        <f t="shared" ca="1" si="3"/>
        <v>#DIV/0!</v>
      </c>
      <c r="AB15" s="2" t="e">
        <f t="shared" ca="1" si="4"/>
        <v>#DIV/0!</v>
      </c>
      <c r="AC15" s="2"/>
      <c r="AD15" s="4">
        <f t="shared" ca="1" si="5"/>
        <v>3.0000000000640625E-5</v>
      </c>
      <c r="AE15" s="3">
        <f t="shared" si="6"/>
        <v>0</v>
      </c>
      <c r="AF15" s="3">
        <f t="shared" ca="1" si="6"/>
        <v>1.0825054449963747</v>
      </c>
      <c r="AG15" s="4">
        <f ca="1">'raw yield'!J15</f>
        <v>0.202379</v>
      </c>
      <c r="AH15" s="4">
        <f ca="1">'raw yield'!K15</f>
        <v>7.7282900000000002E-2</v>
      </c>
      <c r="AI15" s="4" t="e">
        <f t="shared" ca="1" si="7"/>
        <v>#DIV/0!</v>
      </c>
      <c r="AJ15" s="4" t="e">
        <f t="shared" ca="1" si="8"/>
        <v>#DIV/0!</v>
      </c>
      <c r="AK15" s="4" t="e">
        <f t="shared" ca="1" si="9"/>
        <v>#DIV/0!</v>
      </c>
    </row>
    <row r="16" spans="1:37">
      <c r="A16" s="41"/>
      <c r="B16" s="41"/>
      <c r="C16" s="8" t="s">
        <v>24</v>
      </c>
      <c r="D16" s="3">
        <f>ReReco!AO2</f>
        <v>18.831718749999997</v>
      </c>
      <c r="E16" s="3">
        <f>ReReco!AP2</f>
        <v>0.76552460638024744</v>
      </c>
      <c r="F16" s="14">
        <v>0.2</v>
      </c>
      <c r="G16" s="2">
        <v>4.8</v>
      </c>
      <c r="H16" s="2">
        <v>23.5</v>
      </c>
      <c r="I16" s="3">
        <f ca="1">'efficiency HX trans'!D16</f>
        <v>0.34346121000000002</v>
      </c>
      <c r="J16" s="3">
        <f ca="1">'acceptance HX trans'!D16</f>
        <v>0.41946492599999996</v>
      </c>
      <c r="K16" s="2">
        <f ca="1">'raw yield'!D16</f>
        <v>192.94200000000001</v>
      </c>
      <c r="L16" s="2">
        <f ca="1">'raw yield'!E16</f>
        <v>16.0366</v>
      </c>
      <c r="M16" s="2">
        <f t="shared" ca="1" si="10"/>
        <v>1.3300581571533061</v>
      </c>
      <c r="N16" s="2">
        <f t="shared" ca="1" si="0"/>
        <v>0.11054933940253915</v>
      </c>
      <c r="O16" s="2">
        <f ca="1">'final systematics'!$K18*M16</f>
        <v>0.19900351340292297</v>
      </c>
      <c r="P16" s="3">
        <f>'efficiency HX trans'!F16</f>
        <v>0.371</v>
      </c>
      <c r="Q16" s="3">
        <f>'acceptance HX trans'!F16</f>
        <v>0.40699999999999997</v>
      </c>
      <c r="R16" s="2">
        <f ca="1">'raw yield'!F16</f>
        <v>137.012</v>
      </c>
      <c r="S16" s="2">
        <f ca="1">'raw yield'!G16</f>
        <v>15.0991</v>
      </c>
      <c r="T16" s="2">
        <f t="shared" ca="1" si="1"/>
        <v>0.9011715868170197</v>
      </c>
      <c r="U16" s="2">
        <f t="shared" ca="1" si="2"/>
        <v>9.9311592462768675E-2</v>
      </c>
      <c r="V16" s="2">
        <f ca="1">'final systematics'!$K18*T16</f>
        <v>0.13483343641100901</v>
      </c>
      <c r="W16" s="3">
        <f>'efficiency HX trans'!H16</f>
        <v>0.27600000000000002</v>
      </c>
      <c r="X16" s="3">
        <f>'acceptance HX trans'!H16</f>
        <v>0.45</v>
      </c>
      <c r="Y16" s="2">
        <f ca="1">'raw yield'!H16</f>
        <v>55.930399999999999</v>
      </c>
      <c r="Z16" s="2">
        <f ca="1">'raw yield'!I16</f>
        <v>10.9504</v>
      </c>
      <c r="AA16" s="15">
        <f t="shared" ca="1" si="3"/>
        <v>0.44724298021887404</v>
      </c>
      <c r="AB16" s="2">
        <f t="shared" ca="1" si="4"/>
        <v>8.7563999731608541E-2</v>
      </c>
      <c r="AC16" s="2">
        <f ca="1">'final systematics'!$K$25*AA16</f>
        <v>7.258484733571989E-2</v>
      </c>
      <c r="AD16" s="4">
        <f t="shared" ca="1" si="5"/>
        <v>-3.9999999999196234E-4</v>
      </c>
      <c r="AE16" s="3">
        <f t="shared" ca="1" si="6"/>
        <v>0.80358419514098844</v>
      </c>
      <c r="AF16" s="3">
        <f t="shared" ca="1" si="6"/>
        <v>1.0727952973116996</v>
      </c>
      <c r="AG16" s="4">
        <f ca="1">'raw yield'!J16</f>
        <v>0.28988199999999997</v>
      </c>
      <c r="AH16" s="4">
        <f ca="1">'raw yield'!K16</f>
        <v>5.1386599999999998E-2</v>
      </c>
      <c r="AI16" s="31">
        <f t="shared" ca="1" si="7"/>
        <v>0.33625829105256527</v>
      </c>
      <c r="AJ16" s="4">
        <f t="shared" ca="1" si="8"/>
        <v>5.960759998551738E-2</v>
      </c>
      <c r="AK16" s="4">
        <f t="shared" ca="1" si="9"/>
        <v>6.7251658210513057E-2</v>
      </c>
    </row>
    <row r="17" spans="1:37">
      <c r="A17" s="41"/>
      <c r="B17" s="41"/>
      <c r="C17" s="8" t="s">
        <v>25</v>
      </c>
      <c r="D17" s="3">
        <f>ReReco!AO10</f>
        <v>2.3702092089843747</v>
      </c>
      <c r="E17" s="3">
        <f>ReReco!AP10</f>
        <v>0.11851304934598646</v>
      </c>
      <c r="F17" s="14">
        <v>0.8</v>
      </c>
      <c r="G17" s="2">
        <v>4.8</v>
      </c>
      <c r="H17" s="2">
        <v>23.5</v>
      </c>
      <c r="I17" s="3">
        <f ca="1">'efficiency HX trans'!D17</f>
        <v>0.385999588</v>
      </c>
      <c r="J17" s="3">
        <f ca="1">'acceptance HX trans'!D17</f>
        <v>0.413764244</v>
      </c>
      <c r="K17" s="2">
        <f ca="1">'raw yield'!D17</f>
        <v>204.755</v>
      </c>
      <c r="L17" s="2">
        <f ca="1">'raw yield'!E17</f>
        <v>15.3818</v>
      </c>
      <c r="M17" s="2">
        <f t="shared" ca="1" si="10"/>
        <v>2.529037139211316</v>
      </c>
      <c r="N17" s="2">
        <f t="shared" ca="1" si="0"/>
        <v>0.18998873516114684</v>
      </c>
      <c r="O17" s="2">
        <f ca="1">'final systematics'!$K19*M17</f>
        <v>0.4178648806900005</v>
      </c>
      <c r="P17" s="3">
        <f>'efficiency HX trans'!F17</f>
        <v>0.4</v>
      </c>
      <c r="Q17" s="3">
        <f>'acceptance HX trans'!F17</f>
        <v>0.40699999999999997</v>
      </c>
      <c r="R17" s="2">
        <f ca="1">'raw yield'!F17</f>
        <v>172.54599999999999</v>
      </c>
      <c r="S17" s="2">
        <f ca="1">'raw yield'!G17</f>
        <v>14.903499999999999</v>
      </c>
      <c r="T17" s="2">
        <f t="shared" ca="1" si="1"/>
        <v>2.0907927500138479</v>
      </c>
      <c r="U17" s="2">
        <f t="shared" ca="1" si="2"/>
        <v>0.18059027592544238</v>
      </c>
      <c r="V17" s="2">
        <f ca="1">'final systematics'!$K19*T17</f>
        <v>0.34545513368953906</v>
      </c>
      <c r="W17" s="3">
        <f>'efficiency HX trans'!H17</f>
        <v>0.311</v>
      </c>
      <c r="X17" s="3">
        <f>'acceptance HX trans'!H17</f>
        <v>0.45</v>
      </c>
      <c r="Y17" s="2">
        <f ca="1">'raw yield'!H17</f>
        <v>32.209800000000001</v>
      </c>
      <c r="Z17" s="2">
        <f ca="1">'raw yield'!I17</f>
        <v>7.7429699999999997</v>
      </c>
      <c r="AA17" s="15">
        <f ca="1">Y17/($D17*$F17*$G17*W17*X17*$B$21)</f>
        <v>0.4540206598835213</v>
      </c>
      <c r="AB17" s="2">
        <f t="shared" ca="1" si="4"/>
        <v>0.10914281829934705</v>
      </c>
      <c r="AC17" s="2">
        <f ca="1">'final systematics'!$K$25*AA17</f>
        <v>7.3684824005019592E-2</v>
      </c>
      <c r="AD17" s="4">
        <f t="shared" ca="1" si="5"/>
        <v>-7.9999999999813554E-4</v>
      </c>
      <c r="AE17" s="3">
        <f t="shared" ca="1" si="6"/>
        <v>0.80570034183559802</v>
      </c>
      <c r="AF17" s="3">
        <f t="shared" ca="1" si="6"/>
        <v>1.0875758515276637</v>
      </c>
      <c r="AG17" s="4">
        <f ca="1">'raw yield'!J17</f>
        <v>0.157308</v>
      </c>
      <c r="AH17" s="4">
        <f ca="1">'raw yield'!K17</f>
        <v>3.5921799999999997E-2</v>
      </c>
      <c r="AI17" s="31">
        <f t="shared" ca="1" si="7"/>
        <v>0.17952201144621141</v>
      </c>
      <c r="AJ17" s="4">
        <f t="shared" ca="1" si="8"/>
        <v>4.0994442690572098E-2</v>
      </c>
      <c r="AK17" s="4">
        <f t="shared" ca="1" si="9"/>
        <v>3.5904402289242285E-2</v>
      </c>
    </row>
    <row r="18" spans="1:37"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37"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1" spans="1:37">
      <c r="A21" t="s">
        <v>41</v>
      </c>
      <c r="B21" s="12">
        <v>55.695692000000001</v>
      </c>
    </row>
    <row r="22" spans="1:37">
      <c r="A22" t="s">
        <v>139</v>
      </c>
      <c r="B22" s="12">
        <v>56.515360999999999</v>
      </c>
    </row>
    <row r="24" spans="1:37">
      <c r="A24" t="s">
        <v>135</v>
      </c>
    </row>
    <row r="25" spans="1:37">
      <c r="A25" s="1" t="s">
        <v>29</v>
      </c>
      <c r="B25" s="1" t="s">
        <v>1</v>
      </c>
      <c r="C25" s="1" t="s">
        <v>30</v>
      </c>
      <c r="K25" s="1" t="s">
        <v>142</v>
      </c>
      <c r="L25" s="1" t="s">
        <v>4</v>
      </c>
      <c r="M25" s="11" t="s">
        <v>37</v>
      </c>
      <c r="N25" s="11" t="s">
        <v>4</v>
      </c>
      <c r="O25" s="11" t="s">
        <v>38</v>
      </c>
    </row>
    <row r="26" spans="1:37">
      <c r="A26" s="49" t="s">
        <v>126</v>
      </c>
      <c r="B26" s="1" t="s">
        <v>128</v>
      </c>
      <c r="C26" s="42" t="s">
        <v>10</v>
      </c>
      <c r="D26" s="3">
        <f>ReReco!U$42</f>
        <v>5.6625111171875</v>
      </c>
      <c r="E26" s="2"/>
      <c r="F26" s="2">
        <v>1</v>
      </c>
      <c r="G26" s="2">
        <v>4.8</v>
      </c>
      <c r="H26" s="2">
        <v>6.5</v>
      </c>
      <c r="I26" s="3">
        <f>'[3]syst efficiency'!$D30</f>
        <v>0.54500000000000004</v>
      </c>
      <c r="J26" s="3">
        <f>'[3]syst acceptance'!$C$21</f>
        <v>0.19</v>
      </c>
      <c r="K26">
        <v>44.410499999999999</v>
      </c>
      <c r="L26">
        <v>8.5847599999999993</v>
      </c>
      <c r="M26" s="3">
        <f>K26/($D26*$F26*$G26*I26*J26*$B$21)</f>
        <v>0.28331113906430017</v>
      </c>
      <c r="N26" s="3">
        <f>L26/K26*M26</f>
        <v>5.4765385082213472E-2</v>
      </c>
      <c r="O26" s="3">
        <f>'[3]final systematics'!$K38*M26</f>
        <v>5.1685968379437348E-2</v>
      </c>
    </row>
    <row r="27" spans="1:37">
      <c r="A27" s="49"/>
      <c r="B27" s="1" t="s">
        <v>129</v>
      </c>
      <c r="C27" s="42"/>
      <c r="D27" s="3">
        <f>ReReco!U$42</f>
        <v>5.6625111171875</v>
      </c>
      <c r="E27" s="2"/>
      <c r="F27" s="2">
        <v>1</v>
      </c>
      <c r="G27" s="2">
        <v>4.8</v>
      </c>
      <c r="H27" s="2">
        <v>3.5</v>
      </c>
      <c r="I27" s="3">
        <f>'[3]syst efficiency'!$D31</f>
        <v>0.52700000000000002</v>
      </c>
      <c r="J27" s="3">
        <f>'[3]syst acceptance'!$C$23</f>
        <v>0.23499999999999999</v>
      </c>
      <c r="K27">
        <v>18.543500000000002</v>
      </c>
      <c r="L27">
        <v>5.4721299999999999</v>
      </c>
      <c r="M27" s="3">
        <f t="shared" ref="M27:M34" si="11">K27/($D27*$F27*$G27*I27*J27*$B$21)</f>
        <v>9.8910255068349426E-2</v>
      </c>
      <c r="N27" s="3">
        <f t="shared" ref="N27:N34" si="12">L27/K27*M27</f>
        <v>2.9188113035142602E-2</v>
      </c>
      <c r="O27" s="3">
        <f>'[3]final systematics'!$K39*M27</f>
        <v>1.8473586344581672E-2</v>
      </c>
    </row>
    <row r="28" spans="1:37">
      <c r="A28" s="49"/>
      <c r="B28" s="11" t="s">
        <v>136</v>
      </c>
      <c r="C28" s="42"/>
      <c r="D28" s="3">
        <f>ReReco!U$42</f>
        <v>5.6625111171875</v>
      </c>
      <c r="E28" s="2"/>
      <c r="F28" s="2">
        <v>1</v>
      </c>
      <c r="G28" s="2">
        <v>4.8</v>
      </c>
      <c r="H28" s="2">
        <v>10</v>
      </c>
      <c r="I28" s="3">
        <f>'[3]syst efficiency'!$D32</f>
        <v>0.56100000000000005</v>
      </c>
      <c r="J28" s="3">
        <f>'[3]syst acceptance'!$C$24</f>
        <v>0.4</v>
      </c>
      <c r="K28">
        <v>23.6144</v>
      </c>
      <c r="L28">
        <v>5.6167899999999999</v>
      </c>
      <c r="M28" s="3">
        <f t="shared" si="11"/>
        <v>6.9515580458556214E-2</v>
      </c>
      <c r="N28" s="3">
        <f t="shared" si="12"/>
        <v>1.6534589791136506E-2</v>
      </c>
      <c r="O28" s="3">
        <f>'[3]final systematics'!$K40*M28</f>
        <v>1.2243858147717472E-2</v>
      </c>
    </row>
    <row r="29" spans="1:37">
      <c r="A29" s="49"/>
      <c r="B29" s="11" t="s">
        <v>137</v>
      </c>
      <c r="C29" s="42"/>
      <c r="D29" s="3">
        <f>ReReco!U$42</f>
        <v>5.6625111171875</v>
      </c>
      <c r="E29" s="2"/>
      <c r="F29" s="2">
        <v>1</v>
      </c>
      <c r="G29" s="2">
        <v>4.8</v>
      </c>
      <c r="H29" s="2">
        <v>20</v>
      </c>
      <c r="I29" s="3">
        <f>'[3]syst efficiency'!$D33</f>
        <v>0.59</v>
      </c>
      <c r="J29" s="3">
        <f>'[3]syst acceptance'!$C$22</f>
        <v>0.216</v>
      </c>
      <c r="K29">
        <v>86.328599999999994</v>
      </c>
      <c r="L29">
        <v>11.6915</v>
      </c>
      <c r="M29" s="30">
        <f t="shared" si="11"/>
        <v>0.44748349957683048</v>
      </c>
      <c r="N29" s="3">
        <f t="shared" si="12"/>
        <v>6.0602782105843411E-2</v>
      </c>
      <c r="O29" s="3">
        <f>'[3]final systematics'!$K41*M29</f>
        <v>8.2509868505309183E-2</v>
      </c>
    </row>
    <row r="30" spans="1:37">
      <c r="A30" s="7" t="s">
        <v>130</v>
      </c>
      <c r="B30" s="45" t="s">
        <v>137</v>
      </c>
      <c r="C30" s="42" t="s">
        <v>10</v>
      </c>
      <c r="D30" s="3">
        <f>ReReco!U$42</f>
        <v>5.6625111171875</v>
      </c>
      <c r="E30" s="2"/>
      <c r="F30" s="2">
        <v>1</v>
      </c>
      <c r="G30" s="2">
        <v>2.4</v>
      </c>
      <c r="H30" s="2">
        <v>20</v>
      </c>
      <c r="I30" s="3">
        <f>'[3]syst efficiency'!$D34</f>
        <v>0.53700000000000003</v>
      </c>
      <c r="J30" s="3">
        <f>'[3]syst acceptance'!$C$25</f>
        <v>0.23799999999999999</v>
      </c>
      <c r="K30">
        <v>47.967100000000002</v>
      </c>
      <c r="L30">
        <v>8.7989899999999999</v>
      </c>
      <c r="M30" s="29">
        <f t="shared" si="11"/>
        <v>0.49584998704578942</v>
      </c>
      <c r="N30" s="3">
        <f t="shared" si="12"/>
        <v>9.0957741400168657E-2</v>
      </c>
      <c r="O30" s="3">
        <f>'[3]final systematics'!$K42*M30</f>
        <v>9.0604096791037175E-2</v>
      </c>
    </row>
    <row r="31" spans="1:37">
      <c r="A31" s="27" t="s">
        <v>138</v>
      </c>
      <c r="B31" s="45"/>
      <c r="C31" s="42"/>
      <c r="D31" s="3">
        <f>ReReco!U$42</f>
        <v>5.6625111171875</v>
      </c>
      <c r="E31" s="2"/>
      <c r="F31" s="2">
        <v>1</v>
      </c>
      <c r="G31" s="2">
        <v>2.4</v>
      </c>
      <c r="H31" s="2">
        <v>20</v>
      </c>
      <c r="I31" s="3">
        <f>'[3]syst efficiency'!$D35</f>
        <v>0.55800000000000005</v>
      </c>
      <c r="J31" s="3">
        <f>'[3]syst acceptance'!$C$26</f>
        <v>0.188</v>
      </c>
      <c r="K31">
        <v>39.5276</v>
      </c>
      <c r="L31">
        <v>7.7267000000000001</v>
      </c>
      <c r="M31" s="29">
        <f t="shared" si="11"/>
        <v>0.49781328715119322</v>
      </c>
      <c r="N31" s="3">
        <f t="shared" si="12"/>
        <v>9.7310586168427249E-2</v>
      </c>
      <c r="O31" s="3">
        <f>'[3]final systematics'!$K43*M31</f>
        <v>9.205447488666374E-2</v>
      </c>
    </row>
    <row r="32" spans="1:37">
      <c r="A32" s="44" t="s">
        <v>126</v>
      </c>
      <c r="B32" s="45" t="s">
        <v>137</v>
      </c>
      <c r="C32" s="8" t="s">
        <v>18</v>
      </c>
      <c r="D32" s="3">
        <f>ReReco!U2</f>
        <v>23.185742187499997</v>
      </c>
      <c r="E32" s="2"/>
      <c r="F32" s="2">
        <v>0.1</v>
      </c>
      <c r="G32" s="2">
        <v>4.8</v>
      </c>
      <c r="H32" s="2">
        <v>20</v>
      </c>
      <c r="I32" s="3">
        <f>'[3]syst efficiency'!$D36</f>
        <v>0.51700000000000002</v>
      </c>
      <c r="J32" s="3">
        <f>'[3]syst acceptance'!$C$22</f>
        <v>0.216</v>
      </c>
      <c r="K32">
        <v>23.990500000000001</v>
      </c>
      <c r="L32">
        <v>6.6101400000000003</v>
      </c>
      <c r="M32" s="30">
        <f t="shared" si="11"/>
        <v>0.34658611593338096</v>
      </c>
      <c r="N32" s="3">
        <f t="shared" si="12"/>
        <v>9.5495414784013619E-2</v>
      </c>
      <c r="O32" s="3">
        <f>'[3]final systematics'!$K44*M32</f>
        <v>6.9373812139812238E-2</v>
      </c>
    </row>
    <row r="33" spans="1:15">
      <c r="A33" s="44"/>
      <c r="B33" s="45"/>
      <c r="C33" s="8" t="s">
        <v>19</v>
      </c>
      <c r="D33" s="3">
        <f>ReReco!U6</f>
        <v>14.4776953125</v>
      </c>
      <c r="E33" s="2"/>
      <c r="F33" s="2">
        <v>0.1</v>
      </c>
      <c r="G33" s="2">
        <v>4.8</v>
      </c>
      <c r="H33" s="2">
        <v>20</v>
      </c>
      <c r="I33" s="3">
        <f>'[3]syst efficiency'!$D37</f>
        <v>0.55800000000000005</v>
      </c>
      <c r="J33" s="3">
        <f>'[3]syst acceptance'!$C$22</f>
        <v>0.216</v>
      </c>
      <c r="K33">
        <v>30.011399999999998</v>
      </c>
      <c r="L33">
        <v>6.7252299999999998</v>
      </c>
      <c r="M33" s="30">
        <f t="shared" si="11"/>
        <v>0.64333329884342161</v>
      </c>
      <c r="N33" s="3">
        <f t="shared" si="12"/>
        <v>0.14416403104756009</v>
      </c>
      <c r="O33" s="3">
        <f>'[3]final systematics'!$K45*M33</f>
        <v>0.11803573726830351</v>
      </c>
    </row>
    <row r="34" spans="1:15">
      <c r="A34" s="44"/>
      <c r="B34" s="45"/>
      <c r="C34" s="8" t="s">
        <v>25</v>
      </c>
      <c r="D34" s="3">
        <f>ReReco!AO10</f>
        <v>2.3702092089843747</v>
      </c>
      <c r="E34" s="2"/>
      <c r="F34" s="2">
        <v>0.8</v>
      </c>
      <c r="G34" s="2">
        <v>4.8</v>
      </c>
      <c r="H34" s="2">
        <v>20</v>
      </c>
      <c r="I34" s="3">
        <f>'[3]syst efficiency'!$D38</f>
        <v>0.56499999999999995</v>
      </c>
      <c r="J34" s="3">
        <f>'[3]syst acceptance'!$C$22</f>
        <v>0.216</v>
      </c>
      <c r="K34">
        <v>32.000300000000003</v>
      </c>
      <c r="L34">
        <v>6.9220100000000002</v>
      </c>
      <c r="M34" s="30">
        <f t="shared" si="11"/>
        <v>0.51726410380410115</v>
      </c>
      <c r="N34" s="3">
        <f t="shared" si="12"/>
        <v>0.11188980413224332</v>
      </c>
      <c r="O34" s="3">
        <f>'[3]final systematics'!$K46*M34</f>
        <v>0.10093050319718043</v>
      </c>
    </row>
  </sheetData>
  <mergeCells count="12">
    <mergeCell ref="A26:A29"/>
    <mergeCell ref="C26:C29"/>
    <mergeCell ref="B30:B31"/>
    <mergeCell ref="C30:C31"/>
    <mergeCell ref="A32:A34"/>
    <mergeCell ref="B32:B34"/>
    <mergeCell ref="A2:A4"/>
    <mergeCell ref="C2:C9"/>
    <mergeCell ref="A6:A7"/>
    <mergeCell ref="A8:A9"/>
    <mergeCell ref="A10:A17"/>
    <mergeCell ref="B10:B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showRuler="0" workbookViewId="0">
      <pane xSplit="3" ySplit="1" topLeftCell="D2" activePane="bottomRight" state="frozen"/>
      <selection activeCell="M2" sqref="M2:O16"/>
      <selection pane="topRight" activeCell="M2" sqref="M2:O16"/>
      <selection pane="bottomLeft" activeCell="M2" sqref="M2:O16"/>
      <selection pane="bottomRight" activeCell="M2" sqref="M2:O16"/>
    </sheetView>
  </sheetViews>
  <sheetFormatPr baseColWidth="10" defaultRowHeight="15" x14ac:dyDescent="0"/>
  <cols>
    <col min="14" max="14" width="10.83203125" customWidth="1"/>
  </cols>
  <sheetData>
    <row r="1" spans="1:37">
      <c r="A1" s="11" t="s">
        <v>29</v>
      </c>
      <c r="B1" s="11" t="s">
        <v>1</v>
      </c>
      <c r="C1" s="11" t="s">
        <v>30</v>
      </c>
      <c r="D1" s="11" t="s">
        <v>31</v>
      </c>
      <c r="E1" s="11" t="s">
        <v>4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97</v>
      </c>
      <c r="L1" s="11" t="s">
        <v>4</v>
      </c>
      <c r="M1" s="11" t="s">
        <v>37</v>
      </c>
      <c r="N1" s="11" t="s">
        <v>4</v>
      </c>
      <c r="O1" s="11" t="s">
        <v>38</v>
      </c>
      <c r="P1" s="11" t="s">
        <v>35</v>
      </c>
      <c r="Q1" s="11" t="s">
        <v>36</v>
      </c>
      <c r="R1" s="11" t="s">
        <v>98</v>
      </c>
      <c r="S1" s="11"/>
      <c r="T1" s="11" t="s">
        <v>39</v>
      </c>
      <c r="U1" s="11" t="s">
        <v>4</v>
      </c>
      <c r="V1" s="11" t="s">
        <v>38</v>
      </c>
      <c r="W1" s="11" t="s">
        <v>35</v>
      </c>
      <c r="X1" s="11" t="s">
        <v>36</v>
      </c>
      <c r="Y1" s="11" t="s">
        <v>99</v>
      </c>
      <c r="Z1" s="11"/>
      <c r="AA1" s="11" t="s">
        <v>100</v>
      </c>
      <c r="AB1" s="11" t="s">
        <v>4</v>
      </c>
      <c r="AC1" s="11" t="s">
        <v>38</v>
      </c>
      <c r="AD1" s="11" t="s">
        <v>40</v>
      </c>
      <c r="AE1" s="11" t="s">
        <v>145</v>
      </c>
      <c r="AF1" s="11" t="s">
        <v>146</v>
      </c>
      <c r="AG1" s="11" t="s">
        <v>143</v>
      </c>
      <c r="AH1" s="11" t="s">
        <v>4</v>
      </c>
      <c r="AI1" s="11" t="s">
        <v>144</v>
      </c>
      <c r="AJ1" s="11" t="s">
        <v>4</v>
      </c>
      <c r="AK1" s="11" t="s">
        <v>38</v>
      </c>
    </row>
    <row r="2" spans="1:37">
      <c r="A2" s="41" t="s">
        <v>8</v>
      </c>
      <c r="B2" s="1" t="s">
        <v>9</v>
      </c>
      <c r="C2" s="42" t="s">
        <v>10</v>
      </c>
      <c r="D2" s="3">
        <f>ReReco!U$42</f>
        <v>5.6625111171875</v>
      </c>
      <c r="E2" s="3">
        <f>ReReco!V$42</f>
        <v>0.18008369263408391</v>
      </c>
      <c r="F2" s="14">
        <v>1</v>
      </c>
      <c r="G2" s="2">
        <v>4.8</v>
      </c>
      <c r="H2" s="2">
        <v>23.5</v>
      </c>
      <c r="I2" s="3">
        <f ca="1">'efficiency HX long'!D2</f>
        <v>0.36640715499999998</v>
      </c>
      <c r="J2" s="3">
        <f ca="1">'acceptance HX long'!D2</f>
        <v>0.24914661999999999</v>
      </c>
      <c r="K2" s="2">
        <f ca="1">'raw yield'!D2</f>
        <v>396.46899999999999</v>
      </c>
      <c r="L2" s="2">
        <f ca="1">'raw yield'!E2</f>
        <v>23.965599999999998</v>
      </c>
      <c r="M2" s="15">
        <f ca="1">K2/($D2*$F2*$G2*I2*J2*$B$21)</f>
        <v>2.8689196199489477</v>
      </c>
      <c r="N2" s="2">
        <f ca="1">L2/K2*M2</f>
        <v>0.1734193090603515</v>
      </c>
      <c r="O2" s="2">
        <f ca="1">'final systematics'!$K4*M2</f>
        <v>0.44183402603830235</v>
      </c>
      <c r="P2" s="3">
        <f>'efficiency HX long'!F2</f>
        <v>0.38700000000000001</v>
      </c>
      <c r="Q2" s="3">
        <f>'acceptance HX long'!F2</f>
        <v>0.24099999999999999</v>
      </c>
      <c r="R2" s="2">
        <f ca="1">'raw yield'!F2</f>
        <v>306.75</v>
      </c>
      <c r="S2" s="2">
        <f ca="1">'raw yield'!G2</f>
        <v>22.272500000000001</v>
      </c>
      <c r="T2" s="15">
        <f ca="1">R2/($D2*$F2*$G2*P2*Q2*$B$21)</f>
        <v>2.1726244092163638</v>
      </c>
      <c r="U2" s="2">
        <f ca="1">S2/R2*T2</f>
        <v>0.1577498847735011</v>
      </c>
      <c r="V2" s="2">
        <f ca="1">'final systematics'!$K4*T2</f>
        <v>0.33459961133739824</v>
      </c>
      <c r="W2" s="3">
        <f>'efficiency HX long'!H2</f>
        <v>0.29599999999999999</v>
      </c>
      <c r="X2" s="3">
        <f>'acceptance HX long'!H2</f>
        <v>0.27700000000000002</v>
      </c>
      <c r="Y2" s="2">
        <f ca="1">'raw yield'!H2</f>
        <v>89.719099999999997</v>
      </c>
      <c r="Z2" s="2">
        <f ca="1">'raw yield'!I2</f>
        <v>13.478199999999999</v>
      </c>
      <c r="AA2" s="15">
        <f ca="1">Y2/($D2*$F2*$G2*W2*X2*$B$21)</f>
        <v>0.7228389043514496</v>
      </c>
      <c r="AB2" s="2">
        <f ca="1">Z2/Y2*AA2</f>
        <v>0.10858966842767825</v>
      </c>
      <c r="AC2" s="2">
        <f ca="1">'final systematics'!$K$22*AA2</f>
        <v>0.11159157018132027</v>
      </c>
      <c r="AD2" s="4">
        <f ca="1">K2-R2-Y2</f>
        <v>-1.0000000000331966E-4</v>
      </c>
      <c r="AE2" s="3">
        <f ca="1">W2/I2</f>
        <v>0.80784448655212537</v>
      </c>
      <c r="AF2" s="3">
        <f ca="1">X2/J2</f>
        <v>1.111795134928983</v>
      </c>
      <c r="AG2" s="4">
        <f ca="1">'raw yield'!J2</f>
        <v>0.226295</v>
      </c>
      <c r="AH2" s="4">
        <f ca="1">'raw yield'!K2</f>
        <v>3.1122199999999999E-2</v>
      </c>
      <c r="AI2" s="31">
        <f ca="1">AG2/(AE2*AF2)</f>
        <v>0.25195467652538656</v>
      </c>
      <c r="AJ2" s="4">
        <f ca="1">AH2/AG2*AI2</f>
        <v>3.4651158150902077E-2</v>
      </c>
      <c r="AK2" s="4">
        <f ca="1">0.2*AI2</f>
        <v>5.0390935305077315E-2</v>
      </c>
    </row>
    <row r="3" spans="1:37">
      <c r="A3" s="41"/>
      <c r="B3" s="1" t="s">
        <v>11</v>
      </c>
      <c r="C3" s="42"/>
      <c r="D3" s="3">
        <f>ReReco!U$42</f>
        <v>5.6625111171875</v>
      </c>
      <c r="E3" s="3">
        <f>ReReco!V$42</f>
        <v>0.18008369263408391</v>
      </c>
      <c r="F3" s="14">
        <v>1</v>
      </c>
      <c r="G3" s="2">
        <v>4.8</v>
      </c>
      <c r="H3" s="2">
        <v>3.5</v>
      </c>
      <c r="I3" s="3">
        <f>'efficiency HX long'!D3</f>
        <v>0.35099999999999998</v>
      </c>
      <c r="J3" s="3">
        <f ca="1">'acceptance HX long'!D3</f>
        <v>0.20700682500000001</v>
      </c>
      <c r="K3" s="2">
        <f ca="1">'raw yield'!D3</f>
        <v>260.846</v>
      </c>
      <c r="L3" s="2">
        <f ca="1">'raw yield'!E3</f>
        <v>19.561399999999999</v>
      </c>
      <c r="M3" s="2">
        <f ca="1">K3/($D3*$F3*$G3*I3*J3*$B$21)</f>
        <v>2.3714855961195611</v>
      </c>
      <c r="N3" s="2">
        <f t="shared" ref="N3:N17" ca="1" si="0">L3/K3*M3</f>
        <v>0.1778427821010603</v>
      </c>
      <c r="O3" s="2">
        <f ca="1">'final systematics'!$K5*M3</f>
        <v>0.37116214411898391</v>
      </c>
      <c r="P3" s="3">
        <f>'efficiency HX long'!F3</f>
        <v>0.35099999999999998</v>
      </c>
      <c r="Q3" s="3">
        <f>'acceptance HX long'!F3</f>
        <v>0.20399999999999999</v>
      </c>
      <c r="R3" s="2">
        <f ca="1">'raw yield'!F3</f>
        <v>208.55799999999999</v>
      </c>
      <c r="S3" s="2">
        <f ca="1">'raw yield'!G3</f>
        <v>18.416599999999999</v>
      </c>
      <c r="T3" s="2">
        <f t="shared" ref="T3:T17" ca="1" si="1">R3/($D3*$F3*$G3*P3*Q3*$B$21)</f>
        <v>1.9240557878976263</v>
      </c>
      <c r="U3" s="2">
        <f t="shared" ref="U3:U17" ca="1" si="2">S3/R3*T3</f>
        <v>0.16990269288828733</v>
      </c>
      <c r="V3" s="2">
        <f ca="1">'final systematics'!$K5*T3</f>
        <v>0.30113472871568725</v>
      </c>
      <c r="W3" s="3">
        <f>'efficiency HX long'!H3</f>
        <v>0</v>
      </c>
      <c r="X3" s="3">
        <f>'acceptance HX long'!H3</f>
        <v>0.219</v>
      </c>
      <c r="Y3" s="2">
        <f ca="1">'raw yield'!H3</f>
        <v>52.287999999999997</v>
      </c>
      <c r="Z3" s="2">
        <f ca="1">'raw yield'!I3</f>
        <v>10.4848</v>
      </c>
      <c r="AA3" s="2" t="e">
        <f t="shared" ref="AA3:AA16" ca="1" si="3">Y3/($D3*$F3*$G3*W3*X3*$B$21)</f>
        <v>#DIV/0!</v>
      </c>
      <c r="AB3" s="2" t="e">
        <f t="shared" ref="AB3:AB17" ca="1" si="4">Z3/Y3*AA3</f>
        <v>#DIV/0!</v>
      </c>
      <c r="AC3" s="2"/>
      <c r="AD3" s="4">
        <f t="shared" ref="AD3:AD17" ca="1" si="5">K3-R3-Y3</f>
        <v>0</v>
      </c>
      <c r="AE3" s="3">
        <f t="shared" ref="AE3:AF17" si="6">W3/I3</f>
        <v>0</v>
      </c>
      <c r="AF3" s="3">
        <f t="shared" ca="1" si="6"/>
        <v>1.0579361332651713</v>
      </c>
      <c r="AG3" s="4">
        <f ca="1">'raw yield'!J3</f>
        <v>0.20045499999999999</v>
      </c>
      <c r="AH3" s="4">
        <f ca="1">'raw yield'!K3</f>
        <v>3.72783E-2</v>
      </c>
      <c r="AI3" s="4" t="e">
        <f t="shared" ref="AI3:AI17" ca="1" si="7">AG3/(AE3*AF3)</f>
        <v>#DIV/0!</v>
      </c>
      <c r="AJ3" s="4" t="e">
        <f t="shared" ref="AJ3:AJ17" ca="1" si="8">AH3/AG3*AI3</f>
        <v>#DIV/0!</v>
      </c>
      <c r="AK3" s="4" t="e">
        <f t="shared" ref="AK3:AK17" ca="1" si="9">0.2*AI3</f>
        <v>#DIV/0!</v>
      </c>
    </row>
    <row r="4" spans="1:37">
      <c r="A4" s="41"/>
      <c r="B4" s="1" t="s">
        <v>12</v>
      </c>
      <c r="C4" s="42"/>
      <c r="D4" s="3">
        <f>ReReco!U$42</f>
        <v>5.6625111171875</v>
      </c>
      <c r="E4" s="3">
        <f>ReReco!V$42</f>
        <v>0.18008369263408391</v>
      </c>
      <c r="F4" s="14">
        <v>1</v>
      </c>
      <c r="G4" s="2">
        <v>4.8</v>
      </c>
      <c r="H4" s="2">
        <v>20</v>
      </c>
      <c r="I4" s="3">
        <f>'efficiency HX long'!D4</f>
        <v>0.49399999999999999</v>
      </c>
      <c r="J4" s="3">
        <f ca="1">'acceptance HX long'!D4</f>
        <v>0.43683470000000002</v>
      </c>
      <c r="K4" s="2">
        <f ca="1">'raw yield'!D4</f>
        <v>137.767</v>
      </c>
      <c r="L4" s="2">
        <f ca="1">'raw yield'!E4</f>
        <v>13.886200000000001</v>
      </c>
      <c r="M4" s="2">
        <f t="shared" ref="M4:M17" ca="1" si="10">K4/($D4*$F4*$G4*I4*J4*$B$21)</f>
        <v>0.42172487077775117</v>
      </c>
      <c r="N4" s="2">
        <f t="shared" ca="1" si="0"/>
        <v>4.2507682540768171E-2</v>
      </c>
      <c r="O4" s="2">
        <f ca="1">'final systematics'!$K6*M4</f>
        <v>6.3800915555328255E-2</v>
      </c>
      <c r="P4" s="3">
        <f>'efficiency HX long'!F4</f>
        <v>0.49399999999999999</v>
      </c>
      <c r="Q4" s="3">
        <f>'acceptance HX long'!F4</f>
        <v>0.42799999999999999</v>
      </c>
      <c r="R4" s="2">
        <f ca="1">'raw yield'!F4</f>
        <v>102.992</v>
      </c>
      <c r="S4" s="2">
        <f ca="1">'raw yield'!G4</f>
        <v>12.436199999999999</v>
      </c>
      <c r="T4" s="2">
        <f t="shared" ca="1" si="1"/>
        <v>0.3217813463976173</v>
      </c>
      <c r="U4" s="2">
        <f t="shared" ca="1" si="2"/>
        <v>3.8854835133505981E-2</v>
      </c>
      <c r="V4" s="2">
        <f ca="1">'final systematics'!$K6*T4</f>
        <v>4.8680895843141968E-2</v>
      </c>
      <c r="W4" s="3">
        <f>'efficiency HX long'!H4</f>
        <v>0</v>
      </c>
      <c r="X4" s="3">
        <f>'acceptance HX long'!H4</f>
        <v>0.46300000000000002</v>
      </c>
      <c r="Y4" s="2">
        <f ca="1">'raw yield'!H4</f>
        <v>34.774999999999999</v>
      </c>
      <c r="Z4" s="2">
        <f ca="1">'raw yield'!I4</f>
        <v>7.6928000000000001</v>
      </c>
      <c r="AA4" s="2" t="e">
        <f t="shared" ca="1" si="3"/>
        <v>#DIV/0!</v>
      </c>
      <c r="AB4" s="2" t="e">
        <f t="shared" ca="1" si="4"/>
        <v>#DIV/0!</v>
      </c>
      <c r="AC4" s="2"/>
      <c r="AD4" s="4">
        <f t="shared" ca="1" si="5"/>
        <v>0</v>
      </c>
      <c r="AE4" s="3">
        <f t="shared" si="6"/>
        <v>0</v>
      </c>
      <c r="AF4" s="3">
        <f t="shared" ca="1" si="6"/>
        <v>1.0598974852501415</v>
      </c>
      <c r="AG4" s="4">
        <f ca="1">'raw yield'!J4</f>
        <v>0.25241999999999998</v>
      </c>
      <c r="AH4" s="4">
        <f ca="1">'raw yield'!K4</f>
        <v>4.9706199999999999E-2</v>
      </c>
      <c r="AI4" s="4" t="e">
        <f t="shared" ca="1" si="7"/>
        <v>#DIV/0!</v>
      </c>
      <c r="AJ4" s="4" t="e">
        <f t="shared" ca="1" si="8"/>
        <v>#DIV/0!</v>
      </c>
      <c r="AK4" s="4" t="e">
        <f t="shared" ca="1" si="9"/>
        <v>#DIV/0!</v>
      </c>
    </row>
    <row r="5" spans="1:37">
      <c r="A5" s="7" t="s">
        <v>13</v>
      </c>
      <c r="B5" s="1" t="s">
        <v>9</v>
      </c>
      <c r="C5" s="42"/>
      <c r="D5" s="3">
        <f>ReReco!U$42</f>
        <v>5.6625111171875</v>
      </c>
      <c r="E5" s="3">
        <f>ReReco!V$42</f>
        <v>0.18008369263408391</v>
      </c>
      <c r="F5" s="14">
        <v>1</v>
      </c>
      <c r="G5" s="2">
        <v>2.4</v>
      </c>
      <c r="H5" s="2">
        <v>23.5</v>
      </c>
      <c r="I5" s="3">
        <f>'efficiency HX long'!D5</f>
        <v>0.38</v>
      </c>
      <c r="J5" s="3">
        <f ca="1">'acceptance HX long'!D5</f>
        <v>0.18593516399999999</v>
      </c>
      <c r="K5" s="2">
        <f ca="1">'raw yield'!D5</f>
        <v>174.33199999999999</v>
      </c>
      <c r="L5" s="2">
        <f ca="1">'raw yield'!E5</f>
        <v>16.419899999999998</v>
      </c>
      <c r="M5" s="28">
        <f t="shared" ca="1" si="10"/>
        <v>3.2597933624989528</v>
      </c>
      <c r="N5" s="2">
        <f t="shared" ca="1" si="0"/>
        <v>0.307031876149511</v>
      </c>
      <c r="O5" s="2">
        <f ca="1">'final systematics'!$K7*M5</f>
        <v>0.52470614410797167</v>
      </c>
      <c r="P5" s="3">
        <f>'efficiency HX long'!F5</f>
        <v>0.38</v>
      </c>
      <c r="Q5" s="3">
        <f>'acceptance HX long'!F5</f>
        <v>0.17699999999999999</v>
      </c>
      <c r="R5" s="2">
        <f ca="1">'raw yield'!F5</f>
        <v>137.244</v>
      </c>
      <c r="S5" s="2">
        <f ca="1">'raw yield'!G5</f>
        <v>15.0952</v>
      </c>
      <c r="T5" s="28">
        <f ca="1">R5/($D5*$F5*$G5*P5*Q5*$B$21)</f>
        <v>2.6958429644932096</v>
      </c>
      <c r="U5" s="2">
        <f t="shared" ca="1" si="2"/>
        <v>0.29651051206331713</v>
      </c>
      <c r="V5" s="2">
        <f ca="1">'final systematics'!$K7*T5</f>
        <v>0.43393099185141681</v>
      </c>
      <c r="W5" s="3">
        <f>'efficiency HX long'!H5</f>
        <v>0</v>
      </c>
      <c r="X5" s="3">
        <f>'acceptance HX long'!H5</f>
        <v>0.219</v>
      </c>
      <c r="Y5" s="2">
        <f ca="1">'raw yield'!H5</f>
        <v>37.087800000000001</v>
      </c>
      <c r="Z5" s="2">
        <f ca="1">'raw yield'!I5</f>
        <v>8.5421600000000009</v>
      </c>
      <c r="AA5" s="28" t="e">
        <f t="shared" ca="1" si="3"/>
        <v>#DIV/0!</v>
      </c>
      <c r="AB5" s="2" t="e">
        <f t="shared" ca="1" si="4"/>
        <v>#DIV/0!</v>
      </c>
      <c r="AC5" s="2"/>
      <c r="AD5" s="4">
        <f t="shared" ca="1" si="5"/>
        <v>1.9999999999242846E-4</v>
      </c>
      <c r="AE5" s="3">
        <f t="shared" si="6"/>
        <v>0</v>
      </c>
      <c r="AF5" s="3">
        <f t="shared" ca="1" si="6"/>
        <v>1.1778299235533523</v>
      </c>
      <c r="AG5" s="4">
        <f ca="1">'raw yield'!J5</f>
        <v>0.21274199999999999</v>
      </c>
      <c r="AH5" s="4">
        <f ca="1">'raw yield'!K5</f>
        <v>4.4714999999999998E-2</v>
      </c>
      <c r="AI5" s="32" t="e">
        <f t="shared" ca="1" si="7"/>
        <v>#DIV/0!</v>
      </c>
      <c r="AJ5" s="4" t="e">
        <f t="shared" ca="1" si="8"/>
        <v>#DIV/0!</v>
      </c>
      <c r="AK5" s="4" t="e">
        <f t="shared" ca="1" si="9"/>
        <v>#DIV/0!</v>
      </c>
    </row>
    <row r="6" spans="1:37">
      <c r="A6" s="41" t="s">
        <v>14</v>
      </c>
      <c r="B6" s="1" t="s">
        <v>9</v>
      </c>
      <c r="C6" s="42"/>
      <c r="D6" s="3">
        <f>ReReco!U$42</f>
        <v>5.6625111171875</v>
      </c>
      <c r="E6" s="3">
        <f>ReReco!V$42</f>
        <v>0.18008369263408391</v>
      </c>
      <c r="F6" s="14">
        <v>1</v>
      </c>
      <c r="G6" s="2">
        <v>0.8</v>
      </c>
      <c r="H6" s="2">
        <v>23.5</v>
      </c>
      <c r="I6" s="3">
        <f>'efficiency HX long'!D6</f>
        <v>0.42099999999999999</v>
      </c>
      <c r="J6" s="3">
        <f ca="1">'acceptance HX long'!D6</f>
        <v>0.32944595200000004</v>
      </c>
      <c r="K6" s="2">
        <f ca="1">'raw yield'!D6</f>
        <v>90.325299999999999</v>
      </c>
      <c r="L6" s="2">
        <f ca="1">'raw yield'!E6</f>
        <v>11.1724</v>
      </c>
      <c r="M6" s="28">
        <f t="shared" ca="1" si="10"/>
        <v>2.5812049084252253</v>
      </c>
      <c r="N6" s="2">
        <f t="shared" ca="1" si="0"/>
        <v>0.31927105383419691</v>
      </c>
      <c r="O6" s="2">
        <f ca="1">'final systematics'!$K8*M6</f>
        <v>0.39698919673798028</v>
      </c>
      <c r="P6" s="3">
        <f>'efficiency HX long'!F6</f>
        <v>0.42099999999999999</v>
      </c>
      <c r="Q6" s="3">
        <f>'acceptance HX long'!F6</f>
        <v>0.32200000000000001</v>
      </c>
      <c r="R6" s="2">
        <f ca="1">'raw yield'!F6</f>
        <v>71.643100000000004</v>
      </c>
      <c r="S6" s="2">
        <f ca="1">'raw yield'!G6</f>
        <v>10.733499999999999</v>
      </c>
      <c r="T6" s="28">
        <f t="shared" ca="1" si="1"/>
        <v>2.0946706284323313</v>
      </c>
      <c r="U6" s="2">
        <f t="shared" ca="1" si="2"/>
        <v>0.31382152908344868</v>
      </c>
      <c r="V6" s="2">
        <f ca="1">'final systematics'!$K8*T6</f>
        <v>0.32216024675054616</v>
      </c>
      <c r="W6" s="3">
        <f>'efficiency HX long'!H6</f>
        <v>0</v>
      </c>
      <c r="X6" s="3">
        <f>'acceptance HX long'!H6</f>
        <v>0.35799999999999998</v>
      </c>
      <c r="Y6" s="2">
        <f ca="1">'raw yield'!H6</f>
        <v>18.682200000000002</v>
      </c>
      <c r="Z6" s="2">
        <f ca="1">'raw yield'!I6</f>
        <v>6.4822699999999998</v>
      </c>
      <c r="AA6" s="28" t="e">
        <f t="shared" ca="1" si="3"/>
        <v>#DIV/0!</v>
      </c>
      <c r="AB6" s="2" t="e">
        <f t="shared" ca="1" si="4"/>
        <v>#DIV/0!</v>
      </c>
      <c r="AC6" s="2"/>
      <c r="AD6" s="4">
        <f t="shared" ca="1" si="5"/>
        <v>0</v>
      </c>
      <c r="AE6" s="3">
        <f t="shared" si="6"/>
        <v>0</v>
      </c>
      <c r="AF6" s="3">
        <f t="shared" ca="1" si="6"/>
        <v>1.0866729362636089</v>
      </c>
      <c r="AG6" s="4">
        <f ca="1">'raw yield'!J6</f>
        <v>0.20683199999999999</v>
      </c>
      <c r="AH6" s="4">
        <f ca="1">'raw yield'!K6</f>
        <v>6.7050999999999999E-2</v>
      </c>
      <c r="AI6" s="32" t="e">
        <f t="shared" ca="1" si="7"/>
        <v>#DIV/0!</v>
      </c>
      <c r="AJ6" s="4" t="e">
        <f t="shared" ca="1" si="8"/>
        <v>#DIV/0!</v>
      </c>
      <c r="AK6" s="4" t="e">
        <f t="shared" ca="1" si="9"/>
        <v>#DIV/0!</v>
      </c>
    </row>
    <row r="7" spans="1:37">
      <c r="A7" s="41"/>
      <c r="B7" s="1" t="s">
        <v>15</v>
      </c>
      <c r="C7" s="42"/>
      <c r="D7" s="3">
        <f>ReReco!U$42</f>
        <v>5.6625111171875</v>
      </c>
      <c r="E7" s="3">
        <f>ReReco!V$42</f>
        <v>0.18008369263408391</v>
      </c>
      <c r="F7" s="14">
        <v>1</v>
      </c>
      <c r="G7" s="2">
        <v>0.8</v>
      </c>
      <c r="H7" s="2">
        <v>24.5</v>
      </c>
      <c r="I7" s="3">
        <f>'efficiency HX long'!D7</f>
        <v>0.38</v>
      </c>
      <c r="J7" s="3">
        <f ca="1">'acceptance HX long'!D7</f>
        <v>0.25465481800000001</v>
      </c>
      <c r="K7" s="2">
        <f ca="1">'raw yield'!D7</f>
        <v>103.078</v>
      </c>
      <c r="L7" s="2">
        <f ca="1">'raw yield'!E7</f>
        <v>13.0311</v>
      </c>
      <c r="M7" s="2">
        <f t="shared" ca="1" si="10"/>
        <v>4.2219183555119564</v>
      </c>
      <c r="N7" s="2">
        <f t="shared" ca="1" si="0"/>
        <v>0.53373406820574565</v>
      </c>
      <c r="O7" s="2">
        <f ca="1">'final systematics'!$K9*M7</f>
        <v>0.68043904146766754</v>
      </c>
      <c r="P7" s="3">
        <f>'efficiency HX long'!F7</f>
        <v>0.38</v>
      </c>
      <c r="Q7" s="3">
        <f>'acceptance HX long'!F7</f>
        <v>0.249</v>
      </c>
      <c r="R7" s="2">
        <f ca="1">'raw yield'!F7</f>
        <v>87.739199999999997</v>
      </c>
      <c r="S7" s="2">
        <f ca="1">'raw yield'!G7</f>
        <v>13.145099999999999</v>
      </c>
      <c r="T7" s="2">
        <f t="shared" ca="1" si="1"/>
        <v>3.6752769221817307</v>
      </c>
      <c r="U7" s="2">
        <f t="shared" ca="1" si="2"/>
        <v>0.55063053537952322</v>
      </c>
      <c r="V7" s="2">
        <f ca="1">'final systematics'!$K9*T7</f>
        <v>0.59233781790039497</v>
      </c>
      <c r="W7" s="3">
        <f>'efficiency HX long'!H7</f>
        <v>0</v>
      </c>
      <c r="X7" s="3">
        <f>'acceptance HX long'!H7</f>
        <v>0.28699999999999998</v>
      </c>
      <c r="Y7" s="2">
        <f ca="1">'raw yield'!H7</f>
        <v>15.3393</v>
      </c>
      <c r="Z7" s="2">
        <f ca="1">'raw yield'!I7</f>
        <v>7.3159000000000001</v>
      </c>
      <c r="AA7" s="2" t="e">
        <f t="shared" ca="1" si="3"/>
        <v>#DIV/0!</v>
      </c>
      <c r="AB7" s="2" t="e">
        <f t="shared" ca="1" si="4"/>
        <v>#DIV/0!</v>
      </c>
      <c r="AC7" s="2"/>
      <c r="AD7" s="4">
        <f t="shared" ca="1" si="5"/>
        <v>-4.9999999999350564E-4</v>
      </c>
      <c r="AE7" s="3">
        <f t="shared" si="6"/>
        <v>0</v>
      </c>
      <c r="AF7" s="3">
        <f t="shared" ca="1" si="6"/>
        <v>1.1270157865224446</v>
      </c>
      <c r="AG7" s="4">
        <f ca="1">'raw yield'!J7</f>
        <v>0.148811</v>
      </c>
      <c r="AH7" s="4">
        <f ca="1">'raw yield'!K7</f>
        <v>6.8435399999999993E-2</v>
      </c>
      <c r="AI7" s="4" t="e">
        <f t="shared" ca="1" si="7"/>
        <v>#DIV/0!</v>
      </c>
      <c r="AJ7" s="4" t="e">
        <f t="shared" ca="1" si="8"/>
        <v>#DIV/0!</v>
      </c>
      <c r="AK7" s="4" t="e">
        <f t="shared" ca="1" si="9"/>
        <v>#DIV/0!</v>
      </c>
    </row>
    <row r="8" spans="1:37">
      <c r="A8" s="41" t="s">
        <v>16</v>
      </c>
      <c r="B8" s="1" t="s">
        <v>9</v>
      </c>
      <c r="C8" s="42"/>
      <c r="D8" s="3">
        <f>ReReco!U$42</f>
        <v>5.6625111171875</v>
      </c>
      <c r="E8" s="3">
        <f>ReReco!V$42</f>
        <v>0.18008369263408391</v>
      </c>
      <c r="F8" s="14">
        <v>1</v>
      </c>
      <c r="G8" s="2">
        <v>1.6</v>
      </c>
      <c r="H8" s="2">
        <v>23.5</v>
      </c>
      <c r="I8" s="3">
        <f ca="1">'efficiency HX long'!D8</f>
        <v>0.356921567</v>
      </c>
      <c r="J8" s="3">
        <f ca="1">'acceptance HX long'!D8</f>
        <v>0.32622506499999998</v>
      </c>
      <c r="K8" s="2">
        <f ca="1">'raw yield'!D8</f>
        <v>149.86600000000001</v>
      </c>
      <c r="L8" s="2">
        <f ca="1">'raw yield'!E8</f>
        <v>14.499000000000001</v>
      </c>
      <c r="M8" s="28">
        <f t="shared" ca="1" si="10"/>
        <v>2.5507173953686202</v>
      </c>
      <c r="N8" s="2">
        <f t="shared" ca="1" si="0"/>
        <v>0.24677279379879105</v>
      </c>
      <c r="O8" s="2">
        <f ca="1">'final systematics'!$K10*M8</f>
        <v>0.39323841886320499</v>
      </c>
      <c r="P8" s="3">
        <f>'efficiency HX long'!F8</f>
        <v>0.36799999999999999</v>
      </c>
      <c r="Q8" s="3">
        <f>'acceptance HX long'!F8</f>
        <v>0.31900000000000001</v>
      </c>
      <c r="R8" s="2">
        <f ca="1">'raw yield'!F8</f>
        <v>125.804</v>
      </c>
      <c r="S8" s="2">
        <f ca="1">'raw yield'!G8</f>
        <v>14.110900000000001</v>
      </c>
      <c r="T8" s="28">
        <f t="shared" ca="1" si="1"/>
        <v>2.1237592996728263</v>
      </c>
      <c r="U8" s="2">
        <f t="shared" ca="1" si="2"/>
        <v>0.2382130544478179</v>
      </c>
      <c r="V8" s="2">
        <f ca="1">'final systematics'!$K10*T8</f>
        <v>0.32741524034209124</v>
      </c>
      <c r="W8" s="3">
        <f>'efficiency HX long'!H8</f>
        <v>0.29899999999999999</v>
      </c>
      <c r="X8" s="3">
        <f>'acceptance HX long'!H8</f>
        <v>0.36399999999999999</v>
      </c>
      <c r="Y8" s="2">
        <f ca="1">'raw yield'!H8</f>
        <v>24.061900000000001</v>
      </c>
      <c r="Z8" s="2">
        <f ca="1">'raw yield'!I8</f>
        <v>7.5100300000000004</v>
      </c>
      <c r="AA8" s="28">
        <f t="shared" ca="1" si="3"/>
        <v>0.43813373210028544</v>
      </c>
      <c r="AB8" s="2">
        <f t="shared" ca="1" si="4"/>
        <v>0.13674720084802558</v>
      </c>
      <c r="AC8" s="2">
        <f ca="1">'final systematics'!$K$23*AA8</f>
        <v>6.9244724804131338E-2</v>
      </c>
      <c r="AD8" s="4">
        <f t="shared" ca="1" si="5"/>
        <v>1.0000000001042508E-4</v>
      </c>
      <c r="AE8" s="3">
        <f t="shared" ca="1" si="6"/>
        <v>0.837719061117985</v>
      </c>
      <c r="AF8" s="3">
        <f t="shared" ca="1" si="6"/>
        <v>1.1157940914196769</v>
      </c>
      <c r="AG8" s="4">
        <f ca="1">'raw yield'!J8</f>
        <v>0.16055700000000001</v>
      </c>
      <c r="AH8" s="4">
        <f ca="1">'raw yield'!K8</f>
        <v>4.7643499999999998E-2</v>
      </c>
      <c r="AI8" s="32">
        <f t="shared" ca="1" si="7"/>
        <v>0.17176979215712651</v>
      </c>
      <c r="AJ8" s="4">
        <f t="shared" ca="1" si="8"/>
        <v>5.0970771082158091E-2</v>
      </c>
      <c r="AK8" s="4">
        <f t="shared" ca="1" si="9"/>
        <v>3.4353958431425302E-2</v>
      </c>
    </row>
    <row r="9" spans="1:37">
      <c r="A9" s="41"/>
      <c r="B9" s="1" t="s">
        <v>17</v>
      </c>
      <c r="C9" s="42"/>
      <c r="D9" s="3">
        <f>ReReco!U$42</f>
        <v>5.6625111171875</v>
      </c>
      <c r="E9" s="3">
        <f>ReReco!V$42</f>
        <v>0.18008369263408391</v>
      </c>
      <c r="F9" s="14">
        <v>1</v>
      </c>
      <c r="G9" s="2">
        <v>1.6</v>
      </c>
      <c r="H9" s="2">
        <v>27</v>
      </c>
      <c r="I9" s="3">
        <f ca="1">'efficiency HX long'!D9</f>
        <v>0.287799048</v>
      </c>
      <c r="J9" s="3">
        <f ca="1">'acceptance HX long'!D9</f>
        <v>0.120073398</v>
      </c>
      <c r="K9" s="2">
        <f ca="1">'raw yield'!D9</f>
        <v>447.24099999999999</v>
      </c>
      <c r="L9" s="2">
        <f ca="1">'raw yield'!E9</f>
        <v>63.208599999999997</v>
      </c>
      <c r="M9" s="2">
        <f t="shared" ca="1" si="10"/>
        <v>25.648076547270318</v>
      </c>
      <c r="N9" s="2">
        <f t="shared" ca="1" si="0"/>
        <v>3.624844348451485</v>
      </c>
      <c r="O9" s="2">
        <f ca="1">'final systematics'!$K11*M9</f>
        <v>4.0286051854857403</v>
      </c>
      <c r="P9" s="3">
        <f>'efficiency HX long'!F9</f>
        <v>0.29499999999999998</v>
      </c>
      <c r="Q9" s="3">
        <f>'acceptance HX long'!F9</f>
        <v>0.115</v>
      </c>
      <c r="R9" s="2">
        <f ca="1">'raw yield'!F9</f>
        <v>374.04700000000003</v>
      </c>
      <c r="S9" s="2">
        <f ca="1">'raw yield'!G9</f>
        <v>55.187899999999999</v>
      </c>
      <c r="T9" s="2">
        <f t="shared" ca="1" si="1"/>
        <v>21.850212498856923</v>
      </c>
      <c r="U9" s="2">
        <f t="shared" ca="1" si="2"/>
        <v>3.2238390960645744</v>
      </c>
      <c r="V9" s="2">
        <f ca="1">'final systematics'!$K11*T9</f>
        <v>3.4320655279792822</v>
      </c>
      <c r="W9" s="3">
        <f>'efficiency HX long'!H9</f>
        <v>0.251</v>
      </c>
      <c r="X9" s="3">
        <f>'acceptance HX long'!H9</f>
        <v>0.14599999999999999</v>
      </c>
      <c r="Y9" s="2">
        <f ca="1">'raw yield'!H9</f>
        <v>73.194500000000005</v>
      </c>
      <c r="Z9" s="2">
        <f ca="1">'raw yield'!I9</f>
        <v>18.9237</v>
      </c>
      <c r="AA9" s="2">
        <f t="shared" ca="1" si="3"/>
        <v>3.9582317361629737</v>
      </c>
      <c r="AB9" s="2">
        <f t="shared" ca="1" si="4"/>
        <v>1.0233609069756233</v>
      </c>
      <c r="AC9" s="2">
        <f ca="1">'final systematics'!$K$24*AA9</f>
        <v>0.82645152492660512</v>
      </c>
      <c r="AD9" s="4">
        <f t="shared" ca="1" si="5"/>
        <v>-5.0000000004501999E-4</v>
      </c>
      <c r="AE9" s="3">
        <f t="shared" ca="1" si="6"/>
        <v>0.87213631088870036</v>
      </c>
      <c r="AF9" s="3">
        <f t="shared" ca="1" si="6"/>
        <v>1.2159229473958919</v>
      </c>
      <c r="AG9" s="4">
        <f ca="1">'raw yield'!J9</f>
        <v>0.163658</v>
      </c>
      <c r="AH9" s="4">
        <f ca="1">'raw yield'!K9</f>
        <v>3.5430400000000001E-2</v>
      </c>
      <c r="AI9" s="4">
        <f t="shared" ca="1" si="7"/>
        <v>0.15432874209373762</v>
      </c>
      <c r="AJ9" s="4">
        <f t="shared" ca="1" si="8"/>
        <v>3.3410704419447636E-2</v>
      </c>
      <c r="AK9" s="4">
        <f t="shared" ca="1" si="9"/>
        <v>3.0865748418747525E-2</v>
      </c>
    </row>
    <row r="10" spans="1:37">
      <c r="A10" s="41" t="s">
        <v>8</v>
      </c>
      <c r="B10" s="41" t="s">
        <v>9</v>
      </c>
      <c r="C10" s="8" t="s">
        <v>18</v>
      </c>
      <c r="D10" s="3">
        <f>ReReco!U2</f>
        <v>23.185742187499997</v>
      </c>
      <c r="E10" s="3">
        <f>ReReco!V2</f>
        <v>1.1224245480741166</v>
      </c>
      <c r="F10" s="14">
        <v>0.1</v>
      </c>
      <c r="G10" s="2">
        <v>4.8</v>
      </c>
      <c r="H10" s="2">
        <v>23.5</v>
      </c>
      <c r="I10" s="3">
        <f>'efficiency HX long'!D10</f>
        <v>0.36899999999999999</v>
      </c>
      <c r="J10" s="3">
        <f ca="1">'acceptance HX long'!D10</f>
        <v>0.25171903600000001</v>
      </c>
      <c r="K10" s="2">
        <f ca="1">'raw yield'!D10</f>
        <v>112.855</v>
      </c>
      <c r="L10" s="2">
        <f ca="1">'raw yield'!E10</f>
        <v>12.4671</v>
      </c>
      <c r="M10" s="15">
        <f t="shared" ca="1" si="10"/>
        <v>1.9601735965444114</v>
      </c>
      <c r="N10" s="2">
        <f t="shared" ca="1" si="0"/>
        <v>0.21654051876725738</v>
      </c>
      <c r="O10" s="2">
        <f ca="1">'final systematics'!$K12*M10</f>
        <v>0.30348572159158305</v>
      </c>
      <c r="P10" s="3">
        <f>'efficiency HX long'!F10</f>
        <v>0.36899999999999999</v>
      </c>
      <c r="Q10" s="3">
        <f>'acceptance HX long'!F10</f>
        <v>0.24099999999999999</v>
      </c>
      <c r="R10" s="2">
        <f ca="1">'raw yield'!F10</f>
        <v>79.252200000000002</v>
      </c>
      <c r="S10" s="2">
        <f ca="1">'raw yield'!G10</f>
        <v>11.388500000000001</v>
      </c>
      <c r="T10" s="15">
        <f t="shared" ca="1" si="1"/>
        <v>1.4377523099249827</v>
      </c>
      <c r="U10" s="2">
        <f t="shared" ca="1" si="2"/>
        <v>0.20660426059567641</v>
      </c>
      <c r="V10" s="2">
        <f ca="1">'final systematics'!$K12*T10</f>
        <v>0.22260135429676606</v>
      </c>
      <c r="W10" s="3">
        <f>'efficiency HX long'!H10</f>
        <v>0</v>
      </c>
      <c r="X10" s="3">
        <f>'acceptance HX long'!H10</f>
        <v>0.27700000000000002</v>
      </c>
      <c r="Y10" s="2">
        <f ca="1">'raw yield'!H10</f>
        <v>33.602699999999999</v>
      </c>
      <c r="Z10" s="2">
        <f ca="1">'raw yield'!I10</f>
        <v>8.1747399999999999</v>
      </c>
      <c r="AA10" s="2" t="e">
        <f t="shared" ca="1" si="3"/>
        <v>#DIV/0!</v>
      </c>
      <c r="AB10" s="2" t="e">
        <f t="shared" ca="1" si="4"/>
        <v>#DIV/0!</v>
      </c>
      <c r="AC10" s="2"/>
      <c r="AD10" s="4">
        <f t="shared" ca="1" si="5"/>
        <v>1.0000000000331966E-4</v>
      </c>
      <c r="AE10" s="3">
        <f t="shared" si="6"/>
        <v>0</v>
      </c>
      <c r="AF10" s="3">
        <f t="shared" ca="1" si="6"/>
        <v>1.1004332624251747</v>
      </c>
      <c r="AG10" s="4">
        <f ca="1">'raw yield'!J10</f>
        <v>0.29775099999999999</v>
      </c>
      <c r="AH10" s="4">
        <f ca="1">'raw yield'!K10</f>
        <v>6.4536999999999997E-2</v>
      </c>
      <c r="AI10" s="4" t="e">
        <f t="shared" ca="1" si="7"/>
        <v>#DIV/0!</v>
      </c>
      <c r="AJ10" s="4" t="e">
        <f t="shared" ca="1" si="8"/>
        <v>#DIV/0!</v>
      </c>
      <c r="AK10" s="4" t="e">
        <f t="shared" ca="1" si="9"/>
        <v>#DIV/0!</v>
      </c>
    </row>
    <row r="11" spans="1:37">
      <c r="A11" s="41"/>
      <c r="B11" s="41"/>
      <c r="C11" s="8" t="s">
        <v>19</v>
      </c>
      <c r="D11" s="3">
        <f>ReReco!U6</f>
        <v>14.4776953125</v>
      </c>
      <c r="E11" s="3">
        <f>ReReco!V6</f>
        <v>1.0412851798499518</v>
      </c>
      <c r="F11" s="14">
        <v>0.1</v>
      </c>
      <c r="G11" s="2">
        <v>4.8</v>
      </c>
      <c r="H11" s="2">
        <v>23.5</v>
      </c>
      <c r="I11" s="3">
        <f>'efficiency HX long'!D11</f>
        <v>0.38800000000000001</v>
      </c>
      <c r="J11" s="3">
        <f ca="1">'acceptance HX long'!D11</f>
        <v>0.25138193200000003</v>
      </c>
      <c r="K11" s="2">
        <f ca="1">'raw yield'!D11</f>
        <v>79.810500000000005</v>
      </c>
      <c r="L11" s="2">
        <f ca="1">'raw yield'!E11</f>
        <v>10.086</v>
      </c>
      <c r="M11" s="15">
        <f t="shared" ca="1" si="10"/>
        <v>2.1141313783072304</v>
      </c>
      <c r="N11" s="2">
        <f t="shared" ca="1" si="0"/>
        <v>0.26717197714093666</v>
      </c>
      <c r="O11" s="2">
        <f ca="1">'final systematics'!$K13*M11</f>
        <v>0.3334985394781495</v>
      </c>
      <c r="P11" s="3">
        <f>'efficiency HX long'!F11</f>
        <v>0.38800000000000001</v>
      </c>
      <c r="Q11" s="3">
        <f>'acceptance HX long'!F11</f>
        <v>0.24099999999999999</v>
      </c>
      <c r="R11" s="2">
        <f ca="1">'raw yield'!F11</f>
        <v>56.794199999999996</v>
      </c>
      <c r="S11" s="2">
        <f ca="1">'raw yield'!G11</f>
        <v>9.2707300000000004</v>
      </c>
      <c r="T11" s="15">
        <f t="shared" ca="1" si="1"/>
        <v>1.5692529152458539</v>
      </c>
      <c r="U11" s="2">
        <f t="shared" ca="1" si="2"/>
        <v>0.25615503130525996</v>
      </c>
      <c r="V11" s="2">
        <f ca="1">'final systematics'!$K13*T11</f>
        <v>0.24754542725029602</v>
      </c>
      <c r="W11" s="3">
        <f>'efficiency HX long'!H11</f>
        <v>0</v>
      </c>
      <c r="X11" s="3">
        <f>'acceptance HX long'!H11</f>
        <v>0.27700000000000002</v>
      </c>
      <c r="Y11" s="2">
        <f ca="1">'raw yield'!H11</f>
        <v>23.016300000000001</v>
      </c>
      <c r="Z11" s="2">
        <f ca="1">'raw yield'!I11</f>
        <v>6.5492800000000004</v>
      </c>
      <c r="AA11" s="2" t="e">
        <f t="shared" ca="1" si="3"/>
        <v>#DIV/0!</v>
      </c>
      <c r="AB11" s="2" t="e">
        <f t="shared" ca="1" si="4"/>
        <v>#DIV/0!</v>
      </c>
      <c r="AC11" s="2"/>
      <c r="AD11" s="4">
        <f t="shared" ca="1" si="5"/>
        <v>0</v>
      </c>
      <c r="AE11" s="3">
        <f t="shared" si="6"/>
        <v>0</v>
      </c>
      <c r="AF11" s="3">
        <f t="shared" ca="1" si="6"/>
        <v>1.1019089470598864</v>
      </c>
      <c r="AG11" s="4">
        <f ca="1">'raw yield'!J11</f>
        <v>0.288387</v>
      </c>
      <c r="AH11" s="4">
        <f ca="1">'raw yield'!K11</f>
        <v>7.3523400000000003E-2</v>
      </c>
      <c r="AI11" s="4" t="e">
        <f t="shared" ca="1" si="7"/>
        <v>#DIV/0!</v>
      </c>
      <c r="AJ11" s="4" t="e">
        <f t="shared" ca="1" si="8"/>
        <v>#DIV/0!</v>
      </c>
      <c r="AK11" s="4" t="e">
        <f t="shared" ca="1" si="9"/>
        <v>#DIV/0!</v>
      </c>
    </row>
    <row r="12" spans="1:37">
      <c r="A12" s="41"/>
      <c r="B12" s="41"/>
      <c r="C12" s="8" t="s">
        <v>20</v>
      </c>
      <c r="D12" s="3">
        <f>ReReco!U10</f>
        <v>8.7829765625</v>
      </c>
      <c r="E12" s="3">
        <f>ReReco!V10</f>
        <v>0.72317759251451785</v>
      </c>
      <c r="F12" s="14">
        <v>0.1</v>
      </c>
      <c r="G12" s="2">
        <v>4.8</v>
      </c>
      <c r="H12" s="2">
        <v>23.5</v>
      </c>
      <c r="I12" s="3">
        <f>'efficiency HX long'!D12</f>
        <v>0.39600000000000002</v>
      </c>
      <c r="J12" s="3">
        <f ca="1">'acceptance HX long'!D12</f>
        <v>0.24354862719999998</v>
      </c>
      <c r="K12" s="2">
        <f ca="1">'raw yield'!D12</f>
        <v>63.361800000000002</v>
      </c>
      <c r="L12" s="2">
        <f ca="1">'raw yield'!E12</f>
        <v>8.8439399999999999</v>
      </c>
      <c r="M12" s="15">
        <f t="shared" ca="1" si="10"/>
        <v>2.7979636560928038</v>
      </c>
      <c r="N12" s="2">
        <f t="shared" ca="1" si="0"/>
        <v>0.39053534932191625</v>
      </c>
      <c r="O12" s="2">
        <f ca="1">'final systematics'!$K14*M12</f>
        <v>0.43793243425101869</v>
      </c>
      <c r="P12" s="3">
        <f>'efficiency HX long'!F12</f>
        <v>0.39600000000000002</v>
      </c>
      <c r="Q12" s="3">
        <f>'acceptance HX long'!F12</f>
        <v>0.24099999999999999</v>
      </c>
      <c r="R12" s="2">
        <f ca="1">'raw yield'!F12</f>
        <v>58.876100000000001</v>
      </c>
      <c r="S12" s="2">
        <f ca="1">'raw yield'!G12</f>
        <v>8.7785499999999992</v>
      </c>
      <c r="T12" s="15">
        <f t="shared" ca="1" si="1"/>
        <v>2.6273760713318746</v>
      </c>
      <c r="U12" s="2">
        <f t="shared" ca="1" si="2"/>
        <v>0.39174728303998441</v>
      </c>
      <c r="V12" s="2">
        <f ca="1">'final systematics'!$K14*T12</f>
        <v>0.41123236040099659</v>
      </c>
      <c r="W12" s="3">
        <f>'efficiency HX long'!H12</f>
        <v>0</v>
      </c>
      <c r="X12" s="3">
        <f>'acceptance HX long'!H12</f>
        <v>0.27700000000000002</v>
      </c>
      <c r="Y12" s="2">
        <f ca="1">'raw yield'!H12</f>
        <v>4.4857199999999997</v>
      </c>
      <c r="Z12" s="2">
        <f ca="1">'raw yield'!I12</f>
        <v>3.1499600000000001</v>
      </c>
      <c r="AA12" s="2" t="e">
        <f t="shared" ca="1" si="3"/>
        <v>#DIV/0!</v>
      </c>
      <c r="AB12" s="2" t="e">
        <f t="shared" ca="1" si="4"/>
        <v>#DIV/0!</v>
      </c>
      <c r="AC12" s="2"/>
      <c r="AD12" s="4">
        <f t="shared" ca="1" si="5"/>
        <v>-1.9999999998354667E-5</v>
      </c>
      <c r="AE12" s="3">
        <f t="shared" si="6"/>
        <v>0</v>
      </c>
      <c r="AF12" s="3">
        <f t="shared" ca="1" si="6"/>
        <v>1.1373498721162163</v>
      </c>
      <c r="AG12" s="4">
        <f ca="1">'raw yield'!J12</f>
        <v>7.0795200000000003E-2</v>
      </c>
      <c r="AH12" s="4">
        <f ca="1">'raw yield'!K12</f>
        <v>4.8721899999999999E-2</v>
      </c>
      <c r="AI12" s="4" t="e">
        <f t="shared" ca="1" si="7"/>
        <v>#DIV/0!</v>
      </c>
      <c r="AJ12" s="4" t="e">
        <f t="shared" ca="1" si="8"/>
        <v>#DIV/0!</v>
      </c>
      <c r="AK12" s="4" t="e">
        <f t="shared" ca="1" si="9"/>
        <v>#DIV/0!</v>
      </c>
    </row>
    <row r="13" spans="1:37">
      <c r="A13" s="41"/>
      <c r="B13" s="41"/>
      <c r="C13" s="8" t="s">
        <v>21</v>
      </c>
      <c r="D13" s="3">
        <f>ReReco!U14</f>
        <v>5.0892265625000004</v>
      </c>
      <c r="E13" s="3">
        <f>ReReco!V14</f>
        <v>0.48740498553650669</v>
      </c>
      <c r="F13" s="14">
        <v>0.1</v>
      </c>
      <c r="G13" s="2">
        <v>4.8</v>
      </c>
      <c r="H13" s="2">
        <v>23.5</v>
      </c>
      <c r="I13" s="3">
        <f>'efficiency HX long'!D13</f>
        <v>0.40600000000000003</v>
      </c>
      <c r="J13" s="3">
        <f ca="1">'acceptance HX long'!D13</f>
        <v>0.247537492</v>
      </c>
      <c r="K13" s="2">
        <f ca="1">'raw yield'!D13</f>
        <v>58.244999999999997</v>
      </c>
      <c r="L13" s="2">
        <f ca="1">'raw yield'!E13</f>
        <v>8.2205399999999997</v>
      </c>
      <c r="M13" s="15">
        <f t="shared" ca="1" si="10"/>
        <v>4.2596802732510746</v>
      </c>
      <c r="N13" s="2">
        <f t="shared" ca="1" si="0"/>
        <v>0.6011996235465944</v>
      </c>
      <c r="O13" s="2">
        <f ca="1">'final systematics'!$K15*M13</f>
        <v>0.71002995913248435</v>
      </c>
      <c r="P13" s="3">
        <f>'efficiency HX long'!F13</f>
        <v>0.40600000000000003</v>
      </c>
      <c r="Q13" s="3">
        <f>'acceptance HX long'!F13</f>
        <v>0.24099999999999999</v>
      </c>
      <c r="R13" s="2">
        <f ca="1">'raw yield'!F13</f>
        <v>47.667900000000003</v>
      </c>
      <c r="S13" s="2">
        <f ca="1">'raw yield'!G13</f>
        <v>7.7744499999999999</v>
      </c>
      <c r="T13" s="15">
        <f t="shared" ca="1" si="1"/>
        <v>3.5807031353238177</v>
      </c>
      <c r="U13" s="2">
        <f t="shared" ca="1" si="2"/>
        <v>0.58399882290636362</v>
      </c>
      <c r="V13" s="2">
        <f ca="1">'final systematics'!$K15*T13</f>
        <v>0.59685383356228106</v>
      </c>
      <c r="W13" s="3">
        <f>'efficiency HX long'!H13</f>
        <v>0</v>
      </c>
      <c r="X13" s="3">
        <f>'acceptance HX long'!H13</f>
        <v>0.27700000000000002</v>
      </c>
      <c r="Y13" s="2">
        <f ca="1">'raw yield'!H13</f>
        <v>10.5771</v>
      </c>
      <c r="Z13" s="2">
        <f ca="1">'raw yield'!I13</f>
        <v>4.1723400000000002</v>
      </c>
      <c r="AA13" s="2" t="e">
        <f t="shared" ca="1" si="3"/>
        <v>#DIV/0!</v>
      </c>
      <c r="AB13" s="2" t="e">
        <f t="shared" ca="1" si="4"/>
        <v>#DIV/0!</v>
      </c>
      <c r="AC13" s="2"/>
      <c r="AD13" s="4">
        <f t="shared" ca="1" si="5"/>
        <v>0</v>
      </c>
      <c r="AE13" s="3">
        <f t="shared" si="6"/>
        <v>0</v>
      </c>
      <c r="AF13" s="3">
        <f t="shared" ca="1" si="6"/>
        <v>1.1190224065128689</v>
      </c>
      <c r="AG13" s="4">
        <f ca="1">'raw yield'!J13</f>
        <v>0.18159700000000001</v>
      </c>
      <c r="AH13" s="4">
        <f ca="1">'raw yield'!K13</f>
        <v>6.6892300000000002E-2</v>
      </c>
      <c r="AI13" s="4" t="e">
        <f t="shared" ca="1" si="7"/>
        <v>#DIV/0!</v>
      </c>
      <c r="AJ13" s="4" t="e">
        <f t="shared" ca="1" si="8"/>
        <v>#DIV/0!</v>
      </c>
      <c r="AK13" s="4" t="e">
        <f t="shared" ca="1" si="9"/>
        <v>#DIV/0!</v>
      </c>
    </row>
    <row r="14" spans="1:37">
      <c r="A14" s="41"/>
      <c r="B14" s="41"/>
      <c r="C14" s="8" t="s">
        <v>22</v>
      </c>
      <c r="D14" s="3">
        <f>ReReco!U18</f>
        <v>2.7483554687499998</v>
      </c>
      <c r="E14" s="3">
        <f>ReReco!V18</f>
        <v>0.30911282911454752</v>
      </c>
      <c r="F14" s="14">
        <v>0.1</v>
      </c>
      <c r="G14" s="2">
        <v>4.8</v>
      </c>
      <c r="H14" s="2">
        <v>23.5</v>
      </c>
      <c r="I14" s="3">
        <f>'efficiency HX long'!D14</f>
        <v>0.41499999999999998</v>
      </c>
      <c r="J14" s="3">
        <f ca="1">'acceptance HX long'!D14</f>
        <v>0.249376192</v>
      </c>
      <c r="K14" s="2">
        <f ca="1">'raw yield'!D14</f>
        <v>45.228099999999998</v>
      </c>
      <c r="L14" s="2">
        <f ca="1">'raw yield'!E14</f>
        <v>7.0477100000000004</v>
      </c>
      <c r="M14" s="15">
        <f t="shared" ca="1" si="10"/>
        <v>5.9479801887626422</v>
      </c>
      <c r="N14" s="2">
        <f t="shared" ca="1" si="0"/>
        <v>0.92684944660828927</v>
      </c>
      <c r="O14" s="2">
        <f ca="1">'final systematics'!$K16*M14</f>
        <v>1.0606705693541254</v>
      </c>
      <c r="P14" s="3">
        <f>'efficiency HX long'!F14</f>
        <v>0.41499999999999998</v>
      </c>
      <c r="Q14" s="3">
        <f>'acceptance HX long'!F14</f>
        <v>0.24099999999999999</v>
      </c>
      <c r="R14" s="2">
        <f ca="1">'raw yield'!F14</f>
        <v>34.704799999999999</v>
      </c>
      <c r="S14" s="2">
        <f ca="1">'raw yield'!G14</f>
        <v>6.7179500000000001</v>
      </c>
      <c r="T14" s="15">
        <f t="shared" ca="1" si="1"/>
        <v>4.7226815476184383</v>
      </c>
      <c r="U14" s="2">
        <f t="shared" ca="1" si="2"/>
        <v>0.91418877223966966</v>
      </c>
      <c r="V14" s="2">
        <f ca="1">'final systematics'!$K16*T14</f>
        <v>0.84216980672774178</v>
      </c>
      <c r="W14" s="3">
        <f>'efficiency HX long'!H14</f>
        <v>0</v>
      </c>
      <c r="X14" s="3">
        <f>'acceptance HX long'!H14</f>
        <v>0.27700000000000002</v>
      </c>
      <c r="Y14" s="2">
        <f ca="1">'raw yield'!H14</f>
        <v>10.523300000000001</v>
      </c>
      <c r="Z14" s="2">
        <f ca="1">'raw yield'!I14</f>
        <v>4.3098099999999997</v>
      </c>
      <c r="AA14" s="2" t="e">
        <f t="shared" ca="1" si="3"/>
        <v>#DIV/0!</v>
      </c>
      <c r="AB14" s="2" t="e">
        <f t="shared" ca="1" si="4"/>
        <v>#DIV/0!</v>
      </c>
      <c r="AC14" s="2"/>
      <c r="AD14" s="4">
        <f t="shared" ca="1" si="5"/>
        <v>0</v>
      </c>
      <c r="AE14" s="3">
        <f t="shared" si="6"/>
        <v>0</v>
      </c>
      <c r="AF14" s="3">
        <f t="shared" ca="1" si="6"/>
        <v>1.1107716329231623</v>
      </c>
      <c r="AG14" s="4">
        <f ca="1">'raw yield'!J14</f>
        <v>0.23267199999999999</v>
      </c>
      <c r="AH14" s="4">
        <f ca="1">'raw yield'!K14</f>
        <v>8.8123599999999996E-2</v>
      </c>
      <c r="AI14" s="4" t="e">
        <f t="shared" ca="1" si="7"/>
        <v>#DIV/0!</v>
      </c>
      <c r="AJ14" s="4" t="e">
        <f t="shared" ca="1" si="8"/>
        <v>#DIV/0!</v>
      </c>
      <c r="AK14" s="4" t="e">
        <f t="shared" ca="1" si="9"/>
        <v>#DIV/0!</v>
      </c>
    </row>
    <row r="15" spans="1:37">
      <c r="A15" s="41"/>
      <c r="B15" s="41"/>
      <c r="C15" s="8" t="s">
        <v>23</v>
      </c>
      <c r="D15" s="3">
        <f>ReReco!U22</f>
        <v>0.46822301562500018</v>
      </c>
      <c r="E15" s="3">
        <f>ReReco!V22</f>
        <v>4.1377168590445754E-2</v>
      </c>
      <c r="F15" s="14">
        <v>0.5</v>
      </c>
      <c r="G15" s="2">
        <v>4.8</v>
      </c>
      <c r="H15" s="2">
        <v>23.5</v>
      </c>
      <c r="I15" s="3">
        <f>'efficiency HX long'!D15</f>
        <v>0.443</v>
      </c>
      <c r="J15" s="3">
        <f ca="1">'acceptance HX long'!D15</f>
        <v>0.248285644</v>
      </c>
      <c r="K15" s="2">
        <f ca="1">'raw yield'!D15</f>
        <v>36.657800000000002</v>
      </c>
      <c r="L15" s="2">
        <f ca="1">'raw yield'!E15</f>
        <v>6.2381700000000002</v>
      </c>
      <c r="M15" s="15">
        <f ca="1">K15/($D15*$F15*$G15*I15*J15*$B$21)</f>
        <v>5.3250716824642419</v>
      </c>
      <c r="N15" s="2">
        <f t="shared" ca="1" si="0"/>
        <v>0.90618374308872762</v>
      </c>
      <c r="O15" s="2">
        <f ca="1">'final systematics'!$K17*M15</f>
        <v>1.1018419902623686</v>
      </c>
      <c r="P15" s="3">
        <f>'efficiency HX long'!F15</f>
        <v>0.443</v>
      </c>
      <c r="Q15" s="3">
        <f>'acceptance HX long'!F15</f>
        <v>0.24099999999999999</v>
      </c>
      <c r="R15" s="2">
        <f ca="1">'raw yield'!F15</f>
        <v>29.239000000000001</v>
      </c>
      <c r="S15" s="2">
        <f ca="1">'raw yield'!G15</f>
        <v>5.7256900000000002</v>
      </c>
      <c r="T15" s="15">
        <f t="shared" ca="1" si="1"/>
        <v>4.3757866880942027</v>
      </c>
      <c r="U15" s="2">
        <f t="shared" ca="1" si="2"/>
        <v>0.85688286474072628</v>
      </c>
      <c r="V15" s="2">
        <f ca="1">'final systematics'!$K17*T15</f>
        <v>0.90541983298563233</v>
      </c>
      <c r="W15" s="3">
        <f>'efficiency HX long'!H15</f>
        <v>0</v>
      </c>
      <c r="X15" s="3">
        <f>'acceptance HX long'!H15</f>
        <v>0.27700000000000002</v>
      </c>
      <c r="Y15" s="2">
        <f ca="1">'raw yield'!H15</f>
        <v>7.4187700000000003</v>
      </c>
      <c r="Z15" s="2">
        <f ca="1">'raw yield'!I15</f>
        <v>3.1015899999999998</v>
      </c>
      <c r="AA15" s="2" t="e">
        <f t="shared" ca="1" si="3"/>
        <v>#DIV/0!</v>
      </c>
      <c r="AB15" s="2" t="e">
        <f t="shared" ca="1" si="4"/>
        <v>#DIV/0!</v>
      </c>
      <c r="AC15" s="2"/>
      <c r="AD15" s="4">
        <f t="shared" ca="1" si="5"/>
        <v>3.0000000000640625E-5</v>
      </c>
      <c r="AE15" s="3">
        <f t="shared" si="6"/>
        <v>0</v>
      </c>
      <c r="AF15" s="3">
        <f t="shared" ca="1" si="6"/>
        <v>1.115650488435006</v>
      </c>
      <c r="AG15" s="4">
        <f ca="1">'raw yield'!J15</f>
        <v>0.202379</v>
      </c>
      <c r="AH15" s="4">
        <f ca="1">'raw yield'!K15</f>
        <v>7.7282900000000002E-2</v>
      </c>
      <c r="AI15" s="4" t="e">
        <f t="shared" ca="1" si="7"/>
        <v>#DIV/0!</v>
      </c>
      <c r="AJ15" s="4" t="e">
        <f t="shared" ca="1" si="8"/>
        <v>#DIV/0!</v>
      </c>
      <c r="AK15" s="4" t="e">
        <f t="shared" ca="1" si="9"/>
        <v>#DIV/0!</v>
      </c>
    </row>
    <row r="16" spans="1:37">
      <c r="A16" s="41"/>
      <c r="B16" s="41"/>
      <c r="C16" s="8" t="s">
        <v>24</v>
      </c>
      <c r="D16" s="3">
        <f>ReReco!AO2</f>
        <v>18.831718749999997</v>
      </c>
      <c r="E16" s="3">
        <f>ReReco!AP2</f>
        <v>0.76552460638024744</v>
      </c>
      <c r="F16" s="14">
        <v>0.2</v>
      </c>
      <c r="G16" s="2">
        <v>4.8</v>
      </c>
      <c r="H16" s="2">
        <v>23.5</v>
      </c>
      <c r="I16" s="3">
        <f ca="1">'efficiency HX long'!D16</f>
        <v>0.349040974</v>
      </c>
      <c r="J16" s="3">
        <f ca="1">'acceptance HX long'!D16</f>
        <v>0.25143575200000001</v>
      </c>
      <c r="K16" s="2">
        <f ca="1">'raw yield'!D16</f>
        <v>192.94200000000001</v>
      </c>
      <c r="L16" s="2">
        <f ca="1">'raw yield'!E16</f>
        <v>16.0366</v>
      </c>
      <c r="M16" s="2">
        <f t="shared" ca="1" si="10"/>
        <v>2.1834363527969929</v>
      </c>
      <c r="N16" s="2">
        <f t="shared" ca="1" si="0"/>
        <v>0.18147886626687945</v>
      </c>
      <c r="O16" s="2">
        <f ca="1">'final systematics'!$K18*M16</f>
        <v>0.3266860950112444</v>
      </c>
      <c r="P16" s="3">
        <f>'efficiency HX long'!F16</f>
        <v>0.376</v>
      </c>
      <c r="Q16" s="3">
        <f>'acceptance HX long'!F16</f>
        <v>0.24099999999999999</v>
      </c>
      <c r="R16" s="2">
        <f ca="1">'raw yield'!F16</f>
        <v>137.012</v>
      </c>
      <c r="S16" s="2">
        <f ca="1">'raw yield'!G16</f>
        <v>15.0991</v>
      </c>
      <c r="T16" s="2">
        <f t="shared" ca="1" si="1"/>
        <v>1.5016576111791464</v>
      </c>
      <c r="U16" s="2">
        <f t="shared" ca="1" si="2"/>
        <v>0.165486807264729</v>
      </c>
      <c r="V16" s="2">
        <f ca="1">'final systematics'!$K18*T16</f>
        <v>0.2246782510566912</v>
      </c>
      <c r="W16" s="3">
        <f>'efficiency HX long'!H16</f>
        <v>0.28299999999999997</v>
      </c>
      <c r="X16" s="3">
        <f>'acceptance HX long'!H16</f>
        <v>0.27700000000000002</v>
      </c>
      <c r="Y16" s="2">
        <f ca="1">'raw yield'!H16</f>
        <v>55.930399999999999</v>
      </c>
      <c r="Z16" s="2">
        <f ca="1">'raw yield'!I16</f>
        <v>10.9504</v>
      </c>
      <c r="AA16" s="15">
        <f t="shared" ca="1" si="3"/>
        <v>0.70859637130772868</v>
      </c>
      <c r="AB16" s="2">
        <f t="shared" ca="1" si="4"/>
        <v>0.13873338478480668</v>
      </c>
      <c r="AC16" s="2">
        <f ca="1">'final systematics'!$K$25*AA16</f>
        <v>0.11500093172808626</v>
      </c>
      <c r="AD16" s="4">
        <f t="shared" ca="1" si="5"/>
        <v>-3.9999999999196234E-4</v>
      </c>
      <c r="AE16" s="3">
        <f t="shared" ca="1" si="6"/>
        <v>0.8107930617910778</v>
      </c>
      <c r="AF16" s="3">
        <f t="shared" ca="1" si="6"/>
        <v>1.1016730826728254</v>
      </c>
      <c r="AG16" s="4">
        <f ca="1">'raw yield'!J16</f>
        <v>0.28988199999999997</v>
      </c>
      <c r="AH16" s="4">
        <f ca="1">'raw yield'!K16</f>
        <v>5.1386599999999998E-2</v>
      </c>
      <c r="AI16" s="31">
        <f t="shared" ca="1" si="7"/>
        <v>0.32453271794430588</v>
      </c>
      <c r="AJ16" s="4">
        <f t="shared" ca="1" si="8"/>
        <v>5.7529039277764288E-2</v>
      </c>
      <c r="AK16" s="4">
        <f t="shared" ca="1" si="9"/>
        <v>6.4906543588861179E-2</v>
      </c>
    </row>
    <row r="17" spans="1:37">
      <c r="A17" s="41"/>
      <c r="B17" s="41"/>
      <c r="C17" s="8" t="s">
        <v>25</v>
      </c>
      <c r="D17" s="3">
        <f>ReReco!AO10</f>
        <v>2.3702092089843747</v>
      </c>
      <c r="E17" s="3">
        <f>ReReco!AP10</f>
        <v>0.11851304934598646</v>
      </c>
      <c r="F17" s="14">
        <v>0.8</v>
      </c>
      <c r="G17" s="2">
        <v>4.8</v>
      </c>
      <c r="H17" s="2">
        <v>23.5</v>
      </c>
      <c r="I17" s="3">
        <f ca="1">'efficiency HX long'!D17</f>
        <v>0.394527664</v>
      </c>
      <c r="J17" s="3">
        <f ca="1">'acceptance HX long'!D17</f>
        <v>0.246663088</v>
      </c>
      <c r="K17" s="2">
        <f ca="1">'raw yield'!D17</f>
        <v>204.755</v>
      </c>
      <c r="L17" s="2">
        <f ca="1">'raw yield'!E17</f>
        <v>15.3818</v>
      </c>
      <c r="M17" s="2">
        <f t="shared" ca="1" si="10"/>
        <v>4.1506238836538261</v>
      </c>
      <c r="N17" s="2">
        <f t="shared" ca="1" si="0"/>
        <v>0.31180711803661165</v>
      </c>
      <c r="O17" s="2">
        <f ca="1">'final systematics'!$K19*M17</f>
        <v>0.68579457653711939</v>
      </c>
      <c r="P17" s="3">
        <f>'efficiency HX long'!F17</f>
        <v>0.40899999999999997</v>
      </c>
      <c r="Q17" s="3">
        <f>'acceptance HX long'!F17</f>
        <v>0.24099999999999999</v>
      </c>
      <c r="R17" s="2">
        <f ca="1">'raw yield'!F17</f>
        <v>172.54599999999999</v>
      </c>
      <c r="S17" s="2">
        <f ca="1">'raw yield'!G17</f>
        <v>14.903499999999999</v>
      </c>
      <c r="T17" s="2">
        <f t="shared" ca="1" si="1"/>
        <v>3.4532262648728755</v>
      </c>
      <c r="U17" s="2">
        <f t="shared" ca="1" si="2"/>
        <v>0.29826920147979613</v>
      </c>
      <c r="V17" s="2">
        <f ca="1">'final systematics'!$K19*T17</f>
        <v>0.57056575358030381</v>
      </c>
      <c r="W17" s="3">
        <f>'efficiency HX long'!H17</f>
        <v>0.317</v>
      </c>
      <c r="X17" s="3">
        <f>'acceptance HX long'!H17</f>
        <v>0.27700000000000002</v>
      </c>
      <c r="Y17" s="2">
        <f ca="1">'raw yield'!H17</f>
        <v>32.209800000000001</v>
      </c>
      <c r="Z17" s="2">
        <f ca="1">'raw yield'!I17</f>
        <v>7.7429699999999997</v>
      </c>
      <c r="AA17" s="15">
        <f ca="1">Y17/($D17*$F17*$G17*W17*X17*$B$21)</f>
        <v>0.72361820941701649</v>
      </c>
      <c r="AB17" s="2">
        <f t="shared" ca="1" si="4"/>
        <v>0.17395184344422118</v>
      </c>
      <c r="AC17" s="2">
        <f ca="1">'final systematics'!$K$25*AA17</f>
        <v>0.11743888575775253</v>
      </c>
      <c r="AD17" s="4">
        <f t="shared" ca="1" si="5"/>
        <v>-7.9999999999813554E-4</v>
      </c>
      <c r="AE17" s="3">
        <f t="shared" ca="1" si="6"/>
        <v>0.8034924516725398</v>
      </c>
      <c r="AF17" s="3">
        <f t="shared" ca="1" si="6"/>
        <v>1.1229892654226401</v>
      </c>
      <c r="AG17" s="4">
        <f ca="1">'raw yield'!J17</f>
        <v>0.157308</v>
      </c>
      <c r="AH17" s="4">
        <f ca="1">'raw yield'!K17</f>
        <v>3.5921799999999997E-2</v>
      </c>
      <c r="AI17" s="31">
        <f t="shared" ca="1" si="7"/>
        <v>0.17433853950895645</v>
      </c>
      <c r="AJ17" s="4">
        <f t="shared" ca="1" si="8"/>
        <v>3.9810779798438931E-2</v>
      </c>
      <c r="AK17" s="4">
        <f t="shared" ca="1" si="9"/>
        <v>3.4867707901791292E-2</v>
      </c>
    </row>
    <row r="18" spans="1:37"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37"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1" spans="1:37">
      <c r="A21" t="s">
        <v>41</v>
      </c>
      <c r="B21" s="12">
        <v>55.695692000000001</v>
      </c>
    </row>
    <row r="22" spans="1:37">
      <c r="A22" t="s">
        <v>139</v>
      </c>
      <c r="B22" s="12">
        <v>56.515360999999999</v>
      </c>
    </row>
    <row r="24" spans="1:37">
      <c r="A24" t="s">
        <v>135</v>
      </c>
    </row>
    <row r="25" spans="1:37">
      <c r="A25" s="1" t="s">
        <v>29</v>
      </c>
      <c r="B25" s="1" t="s">
        <v>1</v>
      </c>
      <c r="C25" s="1" t="s">
        <v>30</v>
      </c>
      <c r="K25" s="1" t="s">
        <v>142</v>
      </c>
      <c r="L25" s="1" t="s">
        <v>4</v>
      </c>
      <c r="M25" s="11" t="s">
        <v>37</v>
      </c>
      <c r="N25" s="11" t="s">
        <v>4</v>
      </c>
      <c r="O25" s="11" t="s">
        <v>38</v>
      </c>
    </row>
    <row r="26" spans="1:37">
      <c r="A26" s="49" t="s">
        <v>126</v>
      </c>
      <c r="B26" s="1" t="s">
        <v>128</v>
      </c>
      <c r="C26" s="42" t="s">
        <v>10</v>
      </c>
      <c r="D26" s="3">
        <f>ReReco!U$42</f>
        <v>5.6625111171875</v>
      </c>
      <c r="E26" s="2"/>
      <c r="F26" s="2">
        <v>1</v>
      </c>
      <c r="G26" s="2">
        <v>4.8</v>
      </c>
      <c r="H26" s="2">
        <v>6.5</v>
      </c>
      <c r="I26" s="3">
        <f>'[3]syst efficiency'!$D30</f>
        <v>0.54500000000000004</v>
      </c>
      <c r="J26" s="3">
        <f>'[3]syst acceptance'!$C$21</f>
        <v>0.19</v>
      </c>
      <c r="K26">
        <v>44.410499999999999</v>
      </c>
      <c r="L26">
        <v>8.5847599999999993</v>
      </c>
      <c r="M26" s="3">
        <f>K26/($D26*$F26*$G26*I26*J26*$B$21)</f>
        <v>0.28331113906430017</v>
      </c>
      <c r="N26" s="3">
        <f>L26/K26*M26</f>
        <v>5.4765385082213472E-2</v>
      </c>
      <c r="O26" s="3">
        <f>'[3]final systematics'!$K38*M26</f>
        <v>5.1685968379437348E-2</v>
      </c>
    </row>
    <row r="27" spans="1:37">
      <c r="A27" s="49"/>
      <c r="B27" s="1" t="s">
        <v>129</v>
      </c>
      <c r="C27" s="42"/>
      <c r="D27" s="3">
        <f>ReReco!U$42</f>
        <v>5.6625111171875</v>
      </c>
      <c r="E27" s="2"/>
      <c r="F27" s="2">
        <v>1</v>
      </c>
      <c r="G27" s="2">
        <v>4.8</v>
      </c>
      <c r="H27" s="2">
        <v>3.5</v>
      </c>
      <c r="I27" s="3">
        <f>'[3]syst efficiency'!$D31</f>
        <v>0.52700000000000002</v>
      </c>
      <c r="J27" s="3">
        <f>'[3]syst acceptance'!$C$23</f>
        <v>0.23499999999999999</v>
      </c>
      <c r="K27">
        <v>18.543500000000002</v>
      </c>
      <c r="L27">
        <v>5.4721299999999999</v>
      </c>
      <c r="M27" s="3">
        <f t="shared" ref="M27:M34" si="11">K27/($D27*$F27*$G27*I27*J27*$B$21)</f>
        <v>9.8910255068349426E-2</v>
      </c>
      <c r="N27" s="3">
        <f t="shared" ref="N27:N34" si="12">L27/K27*M27</f>
        <v>2.9188113035142602E-2</v>
      </c>
      <c r="O27" s="3">
        <f>'[3]final systematics'!$K39*M27</f>
        <v>1.8473586344581672E-2</v>
      </c>
    </row>
    <row r="28" spans="1:37">
      <c r="A28" s="49"/>
      <c r="B28" s="11" t="s">
        <v>136</v>
      </c>
      <c r="C28" s="42"/>
      <c r="D28" s="3">
        <f>ReReco!U$42</f>
        <v>5.6625111171875</v>
      </c>
      <c r="E28" s="2"/>
      <c r="F28" s="2">
        <v>1</v>
      </c>
      <c r="G28" s="2">
        <v>4.8</v>
      </c>
      <c r="H28" s="2">
        <v>10</v>
      </c>
      <c r="I28" s="3">
        <f>'[3]syst efficiency'!$D32</f>
        <v>0.56100000000000005</v>
      </c>
      <c r="J28" s="3">
        <f>'[3]syst acceptance'!$C$24</f>
        <v>0.4</v>
      </c>
      <c r="K28">
        <v>23.6144</v>
      </c>
      <c r="L28">
        <v>5.6167899999999999</v>
      </c>
      <c r="M28" s="3">
        <f t="shared" si="11"/>
        <v>6.9515580458556214E-2</v>
      </c>
      <c r="N28" s="3">
        <f t="shared" si="12"/>
        <v>1.6534589791136506E-2</v>
      </c>
      <c r="O28" s="3">
        <f>'[3]final systematics'!$K40*M28</f>
        <v>1.2243858147717472E-2</v>
      </c>
    </row>
    <row r="29" spans="1:37">
      <c r="A29" s="49"/>
      <c r="B29" s="11" t="s">
        <v>137</v>
      </c>
      <c r="C29" s="42"/>
      <c r="D29" s="3">
        <f>ReReco!U$42</f>
        <v>5.6625111171875</v>
      </c>
      <c r="E29" s="2"/>
      <c r="F29" s="2">
        <v>1</v>
      </c>
      <c r="G29" s="2">
        <v>4.8</v>
      </c>
      <c r="H29" s="2">
        <v>20</v>
      </c>
      <c r="I29" s="3">
        <f>'[3]syst efficiency'!$D33</f>
        <v>0.59</v>
      </c>
      <c r="J29" s="3">
        <f>'[3]syst acceptance'!$C$22</f>
        <v>0.216</v>
      </c>
      <c r="K29">
        <v>86.328599999999994</v>
      </c>
      <c r="L29">
        <v>11.6915</v>
      </c>
      <c r="M29" s="30">
        <f t="shared" si="11"/>
        <v>0.44748349957683048</v>
      </c>
      <c r="N29" s="3">
        <f t="shared" si="12"/>
        <v>6.0602782105843411E-2</v>
      </c>
      <c r="O29" s="3">
        <f>'[3]final systematics'!$K41*M29</f>
        <v>8.2509868505309183E-2</v>
      </c>
    </row>
    <row r="30" spans="1:37">
      <c r="A30" s="7" t="s">
        <v>130</v>
      </c>
      <c r="B30" s="45" t="s">
        <v>137</v>
      </c>
      <c r="C30" s="42" t="s">
        <v>10</v>
      </c>
      <c r="D30" s="3">
        <f>ReReco!U$42</f>
        <v>5.6625111171875</v>
      </c>
      <c r="E30" s="2"/>
      <c r="F30" s="2">
        <v>1</v>
      </c>
      <c r="G30" s="2">
        <v>2.4</v>
      </c>
      <c r="H30" s="2">
        <v>20</v>
      </c>
      <c r="I30" s="3">
        <f>'[3]syst efficiency'!$D34</f>
        <v>0.53700000000000003</v>
      </c>
      <c r="J30" s="3">
        <f>'[3]syst acceptance'!$C$25</f>
        <v>0.23799999999999999</v>
      </c>
      <c r="K30">
        <v>47.967100000000002</v>
      </c>
      <c r="L30">
        <v>8.7989899999999999</v>
      </c>
      <c r="M30" s="29">
        <f t="shared" si="11"/>
        <v>0.49584998704578942</v>
      </c>
      <c r="N30" s="3">
        <f t="shared" si="12"/>
        <v>9.0957741400168657E-2</v>
      </c>
      <c r="O30" s="3">
        <f>'[3]final systematics'!$K42*M30</f>
        <v>9.0604096791037175E-2</v>
      </c>
    </row>
    <row r="31" spans="1:37">
      <c r="A31" s="27" t="s">
        <v>138</v>
      </c>
      <c r="B31" s="45"/>
      <c r="C31" s="42"/>
      <c r="D31" s="3">
        <f>ReReco!U$42</f>
        <v>5.6625111171875</v>
      </c>
      <c r="E31" s="2"/>
      <c r="F31" s="2">
        <v>1</v>
      </c>
      <c r="G31" s="2">
        <v>2.4</v>
      </c>
      <c r="H31" s="2">
        <v>20</v>
      </c>
      <c r="I31" s="3">
        <f>'[3]syst efficiency'!$D35</f>
        <v>0.55800000000000005</v>
      </c>
      <c r="J31" s="3">
        <f>'[3]syst acceptance'!$C$26</f>
        <v>0.188</v>
      </c>
      <c r="K31">
        <v>39.5276</v>
      </c>
      <c r="L31">
        <v>7.7267000000000001</v>
      </c>
      <c r="M31" s="29">
        <f t="shared" si="11"/>
        <v>0.49781328715119322</v>
      </c>
      <c r="N31" s="3">
        <f t="shared" si="12"/>
        <v>9.7310586168427249E-2</v>
      </c>
      <c r="O31" s="3">
        <f>'[3]final systematics'!$K43*M31</f>
        <v>9.205447488666374E-2</v>
      </c>
    </row>
    <row r="32" spans="1:37">
      <c r="A32" s="44" t="s">
        <v>126</v>
      </c>
      <c r="B32" s="45" t="s">
        <v>137</v>
      </c>
      <c r="C32" s="8" t="s">
        <v>18</v>
      </c>
      <c r="D32" s="3">
        <f>ReReco!U2</f>
        <v>23.185742187499997</v>
      </c>
      <c r="E32" s="2"/>
      <c r="F32" s="2">
        <v>0.1</v>
      </c>
      <c r="G32" s="2">
        <v>4.8</v>
      </c>
      <c r="H32" s="2">
        <v>20</v>
      </c>
      <c r="I32" s="3">
        <f>'[3]syst efficiency'!$D36</f>
        <v>0.51700000000000002</v>
      </c>
      <c r="J32" s="3">
        <f>'[3]syst acceptance'!$C$22</f>
        <v>0.216</v>
      </c>
      <c r="K32">
        <v>23.990500000000001</v>
      </c>
      <c r="L32">
        <v>6.6101400000000003</v>
      </c>
      <c r="M32" s="30">
        <f t="shared" si="11"/>
        <v>0.34658611593338096</v>
      </c>
      <c r="N32" s="3">
        <f t="shared" si="12"/>
        <v>9.5495414784013619E-2</v>
      </c>
      <c r="O32" s="3">
        <f>'[3]final systematics'!$K44*M32</f>
        <v>6.9373812139812238E-2</v>
      </c>
    </row>
    <row r="33" spans="1:15">
      <c r="A33" s="44"/>
      <c r="B33" s="45"/>
      <c r="C33" s="8" t="s">
        <v>19</v>
      </c>
      <c r="D33" s="3">
        <f>ReReco!U6</f>
        <v>14.4776953125</v>
      </c>
      <c r="E33" s="2"/>
      <c r="F33" s="2">
        <v>0.1</v>
      </c>
      <c r="G33" s="2">
        <v>4.8</v>
      </c>
      <c r="H33" s="2">
        <v>20</v>
      </c>
      <c r="I33" s="3">
        <f>'[3]syst efficiency'!$D37</f>
        <v>0.55800000000000005</v>
      </c>
      <c r="J33" s="3">
        <f>'[3]syst acceptance'!$C$22</f>
        <v>0.216</v>
      </c>
      <c r="K33">
        <v>30.011399999999998</v>
      </c>
      <c r="L33">
        <v>6.7252299999999998</v>
      </c>
      <c r="M33" s="30">
        <f t="shared" si="11"/>
        <v>0.64333329884342161</v>
      </c>
      <c r="N33" s="3">
        <f t="shared" si="12"/>
        <v>0.14416403104756009</v>
      </c>
      <c r="O33" s="3">
        <f>'[3]final systematics'!$K45*M33</f>
        <v>0.11803573726830351</v>
      </c>
    </row>
    <row r="34" spans="1:15">
      <c r="A34" s="44"/>
      <c r="B34" s="45"/>
      <c r="C34" s="8" t="s">
        <v>25</v>
      </c>
      <c r="D34" s="3">
        <f>ReReco!AO10</f>
        <v>2.3702092089843747</v>
      </c>
      <c r="E34" s="2"/>
      <c r="F34" s="2">
        <v>0.8</v>
      </c>
      <c r="G34" s="2">
        <v>4.8</v>
      </c>
      <c r="H34" s="2">
        <v>20</v>
      </c>
      <c r="I34" s="3">
        <f>'[3]syst efficiency'!$D38</f>
        <v>0.56499999999999995</v>
      </c>
      <c r="J34" s="3">
        <f>'[3]syst acceptance'!$C$22</f>
        <v>0.216</v>
      </c>
      <c r="K34">
        <v>32.000300000000003</v>
      </c>
      <c r="L34">
        <v>6.9220100000000002</v>
      </c>
      <c r="M34" s="30">
        <f t="shared" si="11"/>
        <v>0.51726410380410115</v>
      </c>
      <c r="N34" s="3">
        <f t="shared" si="12"/>
        <v>0.11188980413224332</v>
      </c>
      <c r="O34" s="3">
        <f>'[3]final systematics'!$K46*M34</f>
        <v>0.10093050319718043</v>
      </c>
    </row>
  </sheetData>
  <mergeCells count="12">
    <mergeCell ref="A26:A29"/>
    <mergeCell ref="C26:C29"/>
    <mergeCell ref="B30:B31"/>
    <mergeCell ref="C30:C31"/>
    <mergeCell ref="A32:A34"/>
    <mergeCell ref="B32:B34"/>
    <mergeCell ref="A2:A4"/>
    <mergeCell ref="C2:C9"/>
    <mergeCell ref="A6:A7"/>
    <mergeCell ref="A8:A9"/>
    <mergeCell ref="A10:A17"/>
    <mergeCell ref="B10:B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showRuler="0" workbookViewId="0">
      <pane xSplit="3" ySplit="1" topLeftCell="D2" activePane="bottomRight" state="frozen"/>
      <selection activeCell="M2" sqref="M2:O16"/>
      <selection pane="topRight" activeCell="M2" sqref="M2:O16"/>
      <selection pane="bottomLeft" activeCell="M2" sqref="M2:O16"/>
      <selection pane="bottomRight" activeCell="M2" sqref="M2:O16"/>
    </sheetView>
  </sheetViews>
  <sheetFormatPr baseColWidth="10" defaultRowHeight="15" x14ac:dyDescent="0"/>
  <cols>
    <col min="14" max="14" width="10.83203125" customWidth="1"/>
  </cols>
  <sheetData>
    <row r="1" spans="1:37">
      <c r="A1" s="11" t="s">
        <v>29</v>
      </c>
      <c r="B1" s="11" t="s">
        <v>1</v>
      </c>
      <c r="C1" s="11" t="s">
        <v>30</v>
      </c>
      <c r="D1" s="11" t="s">
        <v>31</v>
      </c>
      <c r="E1" s="11" t="s">
        <v>4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97</v>
      </c>
      <c r="L1" s="11" t="s">
        <v>4</v>
      </c>
      <c r="M1" s="11" t="s">
        <v>37</v>
      </c>
      <c r="N1" s="11" t="s">
        <v>4</v>
      </c>
      <c r="O1" s="11" t="s">
        <v>38</v>
      </c>
      <c r="P1" s="11" t="s">
        <v>35</v>
      </c>
      <c r="Q1" s="11" t="s">
        <v>36</v>
      </c>
      <c r="R1" s="11" t="s">
        <v>98</v>
      </c>
      <c r="S1" s="11"/>
      <c r="T1" s="11" t="s">
        <v>39</v>
      </c>
      <c r="U1" s="11" t="s">
        <v>4</v>
      </c>
      <c r="V1" s="11" t="s">
        <v>38</v>
      </c>
      <c r="W1" s="11" t="s">
        <v>35</v>
      </c>
      <c r="X1" s="11" t="s">
        <v>36</v>
      </c>
      <c r="Y1" s="11" t="s">
        <v>99</v>
      </c>
      <c r="Z1" s="11"/>
      <c r="AA1" s="11" t="s">
        <v>100</v>
      </c>
      <c r="AB1" s="11" t="s">
        <v>4</v>
      </c>
      <c r="AC1" s="11" t="s">
        <v>38</v>
      </c>
      <c r="AD1" s="11" t="s">
        <v>40</v>
      </c>
      <c r="AE1" s="11" t="s">
        <v>145</v>
      </c>
      <c r="AF1" s="11" t="s">
        <v>146</v>
      </c>
      <c r="AG1" s="11" t="s">
        <v>143</v>
      </c>
      <c r="AH1" s="11" t="s">
        <v>4</v>
      </c>
      <c r="AI1" s="11" t="s">
        <v>144</v>
      </c>
      <c r="AJ1" s="11" t="s">
        <v>4</v>
      </c>
      <c r="AK1" s="11" t="s">
        <v>38</v>
      </c>
    </row>
    <row r="2" spans="1:37">
      <c r="A2" s="41" t="s">
        <v>8</v>
      </c>
      <c r="B2" s="1" t="s">
        <v>9</v>
      </c>
      <c r="C2" s="42" t="s">
        <v>10</v>
      </c>
      <c r="D2" s="3">
        <f>ReReco!U$42</f>
        <v>5.6625111171875</v>
      </c>
      <c r="E2" s="3">
        <f>ReReco!V$42</f>
        <v>0.18008369263408391</v>
      </c>
      <c r="F2" s="14">
        <v>1</v>
      </c>
      <c r="G2" s="2">
        <v>4.8</v>
      </c>
      <c r="H2" s="2">
        <v>23.5</v>
      </c>
      <c r="I2" s="3">
        <f ca="1">'efficiency CS trans'!D2</f>
        <v>0.36753862999999998</v>
      </c>
      <c r="J2" s="3">
        <f ca="1">'acceptance CS trans'!D2</f>
        <v>0.26969402999999997</v>
      </c>
      <c r="K2" s="2">
        <f ca="1">'raw yield'!D2</f>
        <v>396.46899999999999</v>
      </c>
      <c r="L2" s="2">
        <f ca="1">'raw yield'!E2</f>
        <v>23.965599999999998</v>
      </c>
      <c r="M2" s="15">
        <f ca="1">K2/($D2*$F2*$G2*I2*J2*$B$21)</f>
        <v>2.6421836511351384</v>
      </c>
      <c r="N2" s="2">
        <f ca="1">L2/K2*M2</f>
        <v>0.15971366363989181</v>
      </c>
      <c r="O2" s="2">
        <f ca="1">'final systematics'!$K4*M2</f>
        <v>0.4069150742307634</v>
      </c>
      <c r="P2" s="3">
        <f>'efficiency CS trans'!F2</f>
        <v>0.38700000000000001</v>
      </c>
      <c r="Q2" s="3">
        <f>'acceptance CS trans'!F2</f>
        <v>0.26200000000000001</v>
      </c>
      <c r="R2" s="2">
        <f ca="1">'raw yield'!F2</f>
        <v>306.75</v>
      </c>
      <c r="S2" s="2">
        <f ca="1">'raw yield'!G2</f>
        <v>22.272500000000001</v>
      </c>
      <c r="T2" s="15">
        <f ca="1">R2/($D2*$F2*$G2*P2*Q2*$B$21)</f>
        <v>1.9984827580959679</v>
      </c>
      <c r="U2" s="2">
        <f ca="1">S2/R2*T2</f>
        <v>0.14510581003974718</v>
      </c>
      <c r="V2" s="2">
        <f ca="1">'final systematics'!$K4*T2</f>
        <v>0.30778055852027847</v>
      </c>
      <c r="W2" s="3">
        <f>'efficiency CS trans'!H2</f>
        <v>0.30099999999999999</v>
      </c>
      <c r="X2" s="3">
        <f>'acceptance CS trans'!H2</f>
        <v>0.29599999999999999</v>
      </c>
      <c r="Y2" s="2">
        <f ca="1">'raw yield'!H2</f>
        <v>89.719099999999997</v>
      </c>
      <c r="Z2" s="2">
        <f ca="1">'raw yield'!I2</f>
        <v>13.478199999999999</v>
      </c>
      <c r="AA2" s="15">
        <f ca="1">Y2/($D2*$F2*$G2*W2*X2*$B$21)</f>
        <v>0.66520390865565293</v>
      </c>
      <c r="AB2" s="2">
        <f ca="1">Z2/Y2*AA2</f>
        <v>9.9931355994906559E-2</v>
      </c>
      <c r="AC2" s="2">
        <f ca="1">'final systematics'!$K$22*AA2</f>
        <v>0.10269390345589938</v>
      </c>
      <c r="AD2" s="4">
        <f ca="1">K2-R2-Y2</f>
        <v>-1.0000000000331966E-4</v>
      </c>
      <c r="AE2" s="3">
        <f ca="1">W2/I2</f>
        <v>0.81896153337677735</v>
      </c>
      <c r="AF2" s="3">
        <f ca="1">X2/J2</f>
        <v>1.097540053074219</v>
      </c>
      <c r="AG2" s="4">
        <f ca="1">'raw yield'!J2</f>
        <v>0.226295</v>
      </c>
      <c r="AH2" s="4">
        <f ca="1">'raw yield'!K2</f>
        <v>3.1122199999999999E-2</v>
      </c>
      <c r="AI2" s="31">
        <f ca="1">AG2/(AE2*AF2)</f>
        <v>0.25176251987110215</v>
      </c>
      <c r="AJ2" s="4">
        <f ca="1">AH2/AG2*AI2</f>
        <v>3.4624730974756025E-2</v>
      </c>
      <c r="AK2" s="4">
        <f ca="1">0.2*AI2</f>
        <v>5.0352503974220433E-2</v>
      </c>
    </row>
    <row r="3" spans="1:37">
      <c r="A3" s="41"/>
      <c r="B3" s="1" t="s">
        <v>11</v>
      </c>
      <c r="C3" s="42"/>
      <c r="D3" s="3">
        <f>ReReco!U$42</f>
        <v>5.6625111171875</v>
      </c>
      <c r="E3" s="3">
        <f>ReReco!V$42</f>
        <v>0.18008369263408391</v>
      </c>
      <c r="F3" s="14">
        <v>1</v>
      </c>
      <c r="G3" s="2">
        <v>4.8</v>
      </c>
      <c r="H3" s="2">
        <v>3.5</v>
      </c>
      <c r="I3" s="3">
        <f>'efficiency CS trans'!D3</f>
        <v>0.35199999999999998</v>
      </c>
      <c r="J3" s="3">
        <f ca="1">'acceptance CS trans'!D3</f>
        <v>0.22980637000000001</v>
      </c>
      <c r="K3" s="2">
        <f ca="1">'raw yield'!D3</f>
        <v>260.846</v>
      </c>
      <c r="L3" s="2">
        <f ca="1">'raw yield'!E3</f>
        <v>19.561399999999999</v>
      </c>
      <c r="M3" s="2">
        <f ca="1">K3/($D3*$F3*$G3*I3*J3*$B$21)</f>
        <v>2.1301370479069197</v>
      </c>
      <c r="N3" s="2">
        <f t="shared" ref="N3:N17" ca="1" si="0">L3/K3*M3</f>
        <v>0.15974353775379502</v>
      </c>
      <c r="O3" s="2">
        <f ca="1">'final systematics'!$K5*M3</f>
        <v>0.33338858783798186</v>
      </c>
      <c r="P3" s="3">
        <f>'efficiency CS trans'!F3</f>
        <v>0.35199999999999998</v>
      </c>
      <c r="Q3" s="3">
        <f>'acceptance CS trans'!F3</f>
        <v>0.22700000000000001</v>
      </c>
      <c r="R3" s="2">
        <f ca="1">'raw yield'!F3</f>
        <v>208.55799999999999</v>
      </c>
      <c r="S3" s="2">
        <f ca="1">'raw yield'!G3</f>
        <v>18.416599999999999</v>
      </c>
      <c r="T3" s="2">
        <f t="shared" ref="T3:T17" ca="1" si="1">R3/($D3*$F3*$G3*P3*Q3*$B$21)</f>
        <v>1.7241951671583602</v>
      </c>
      <c r="U3" s="2">
        <f t="shared" ref="U3:U17" ca="1" si="2">S3/R3*T3</f>
        <v>0.15225411020190383</v>
      </c>
      <c r="V3" s="2">
        <f ca="1">'final systematics'!$K5*T3</f>
        <v>0.26985446429412879</v>
      </c>
      <c r="W3" s="3">
        <f>'efficiency CS trans'!H3</f>
        <v>0</v>
      </c>
      <c r="X3" s="3">
        <f>'acceptance CS trans'!H3</f>
        <v>0.24099999999999999</v>
      </c>
      <c r="Y3" s="2">
        <f ca="1">'raw yield'!H3</f>
        <v>52.287999999999997</v>
      </c>
      <c r="Z3" s="2">
        <f ca="1">'raw yield'!I3</f>
        <v>10.4848</v>
      </c>
      <c r="AA3" s="2" t="e">
        <f t="shared" ref="AA3:AA16" ca="1" si="3">Y3/($D3*$F3*$G3*W3*X3*$B$21)</f>
        <v>#DIV/0!</v>
      </c>
      <c r="AB3" s="2" t="e">
        <f t="shared" ref="AB3:AB17" ca="1" si="4">Z3/Y3*AA3</f>
        <v>#DIV/0!</v>
      </c>
      <c r="AC3" s="2"/>
      <c r="AD3" s="4">
        <f t="shared" ref="AD3:AD17" ca="1" si="5">K3-R3-Y3</f>
        <v>0</v>
      </c>
      <c r="AE3" s="3">
        <f t="shared" ref="AE3:AF17" si="6">W3/I3</f>
        <v>0</v>
      </c>
      <c r="AF3" s="3">
        <f t="shared" ca="1" si="6"/>
        <v>1.0487089631153392</v>
      </c>
      <c r="AG3" s="4">
        <f ca="1">'raw yield'!J3</f>
        <v>0.20045499999999999</v>
      </c>
      <c r="AH3" s="4">
        <f ca="1">'raw yield'!K3</f>
        <v>3.72783E-2</v>
      </c>
      <c r="AI3" s="4" t="e">
        <f t="shared" ref="AI3:AI17" ca="1" si="7">AG3/(AE3*AF3)</f>
        <v>#DIV/0!</v>
      </c>
      <c r="AJ3" s="4" t="e">
        <f t="shared" ref="AJ3:AJ17" ca="1" si="8">AH3/AG3*AI3</f>
        <v>#DIV/0!</v>
      </c>
      <c r="AK3" s="4" t="e">
        <f t="shared" ref="AK3:AK17" ca="1" si="9">0.2*AI3</f>
        <v>#DIV/0!</v>
      </c>
    </row>
    <row r="4" spans="1:37">
      <c r="A4" s="41"/>
      <c r="B4" s="1" t="s">
        <v>12</v>
      </c>
      <c r="C4" s="42"/>
      <c r="D4" s="3">
        <f>ReReco!U$42</f>
        <v>5.6625111171875</v>
      </c>
      <c r="E4" s="3">
        <f>ReReco!V$42</f>
        <v>0.18008369263408391</v>
      </c>
      <c r="F4" s="14">
        <v>1</v>
      </c>
      <c r="G4" s="2">
        <v>4.8</v>
      </c>
      <c r="H4" s="2">
        <v>20</v>
      </c>
      <c r="I4" s="3">
        <f>'efficiency CS trans'!D4</f>
        <v>0.48599999999999999</v>
      </c>
      <c r="J4" s="3">
        <f ca="1">'acceptance CS trans'!D4</f>
        <v>0.44832986000000002</v>
      </c>
      <c r="K4" s="2">
        <f ca="1">'raw yield'!D4</f>
        <v>137.767</v>
      </c>
      <c r="L4" s="2">
        <f ca="1">'raw yield'!E4</f>
        <v>13.886200000000001</v>
      </c>
      <c r="M4" s="2">
        <f t="shared" ref="M4:M17" ca="1" si="10">K4/($D4*$F4*$G4*I4*J4*$B$21)</f>
        <v>0.41767584291819865</v>
      </c>
      <c r="N4" s="2">
        <f t="shared" ca="1" si="0"/>
        <v>4.2099561505517948E-2</v>
      </c>
      <c r="O4" s="2">
        <f ca="1">'final systematics'!$K6*M4</f>
        <v>6.3188355797891935E-2</v>
      </c>
      <c r="P4" s="3">
        <f>'efficiency CS trans'!F4</f>
        <v>0.48599999999999999</v>
      </c>
      <c r="Q4" s="3">
        <f>'acceptance CS trans'!F4</f>
        <v>0.44</v>
      </c>
      <c r="R4" s="2">
        <f ca="1">'raw yield'!F4</f>
        <v>102.992</v>
      </c>
      <c r="S4" s="2">
        <f ca="1">'raw yield'!G4</f>
        <v>12.436199999999999</v>
      </c>
      <c r="T4" s="2">
        <f t="shared" ca="1" si="1"/>
        <v>0.31815784526534335</v>
      </c>
      <c r="U4" s="2">
        <f t="shared" ca="1" si="2"/>
        <v>3.8417300327101743E-2</v>
      </c>
      <c r="V4" s="2">
        <f ca="1">'final systematics'!$K6*T4</f>
        <v>4.8132712167542051E-2</v>
      </c>
      <c r="W4" s="3">
        <f>'efficiency CS trans'!H4</f>
        <v>0</v>
      </c>
      <c r="X4" s="3">
        <f>'acceptance CS trans'!H4</f>
        <v>0.47299999999999998</v>
      </c>
      <c r="Y4" s="2">
        <f ca="1">'raw yield'!H4</f>
        <v>34.774999999999999</v>
      </c>
      <c r="Z4" s="2">
        <f ca="1">'raw yield'!I4</f>
        <v>7.6928000000000001</v>
      </c>
      <c r="AA4" s="2" t="e">
        <f t="shared" ca="1" si="3"/>
        <v>#DIV/0!</v>
      </c>
      <c r="AB4" s="2" t="e">
        <f t="shared" ca="1" si="4"/>
        <v>#DIV/0!</v>
      </c>
      <c r="AC4" s="2"/>
      <c r="AD4" s="4">
        <f t="shared" ca="1" si="5"/>
        <v>0</v>
      </c>
      <c r="AE4" s="3">
        <f t="shared" si="6"/>
        <v>0</v>
      </c>
      <c r="AF4" s="3">
        <f t="shared" ca="1" si="6"/>
        <v>1.055026760876467</v>
      </c>
      <c r="AG4" s="4">
        <f ca="1">'raw yield'!J4</f>
        <v>0.25241999999999998</v>
      </c>
      <c r="AH4" s="4">
        <f ca="1">'raw yield'!K4</f>
        <v>4.9706199999999999E-2</v>
      </c>
      <c r="AI4" s="4" t="e">
        <f t="shared" ca="1" si="7"/>
        <v>#DIV/0!</v>
      </c>
      <c r="AJ4" s="4" t="e">
        <f t="shared" ca="1" si="8"/>
        <v>#DIV/0!</v>
      </c>
      <c r="AK4" s="4" t="e">
        <f t="shared" ca="1" si="9"/>
        <v>#DIV/0!</v>
      </c>
    </row>
    <row r="5" spans="1:37">
      <c r="A5" s="7" t="s">
        <v>13</v>
      </c>
      <c r="B5" s="1" t="s">
        <v>9</v>
      </c>
      <c r="C5" s="42"/>
      <c r="D5" s="3">
        <f>ReReco!U$42</f>
        <v>5.6625111171875</v>
      </c>
      <c r="E5" s="3">
        <f>ReReco!V$42</f>
        <v>0.18008369263408391</v>
      </c>
      <c r="F5" s="14">
        <v>1</v>
      </c>
      <c r="G5" s="2">
        <v>2.4</v>
      </c>
      <c r="H5" s="2">
        <v>23.5</v>
      </c>
      <c r="I5" s="3">
        <f>'efficiency CS trans'!D5</f>
        <v>0.38600000000000001</v>
      </c>
      <c r="J5" s="3">
        <f ca="1">'acceptance CS trans'!D5</f>
        <v>0.19136064799999999</v>
      </c>
      <c r="K5" s="2">
        <f ca="1">'raw yield'!D5</f>
        <v>174.33199999999999</v>
      </c>
      <c r="L5" s="2">
        <f ca="1">'raw yield'!E5</f>
        <v>16.419899999999998</v>
      </c>
      <c r="M5" s="28">
        <f t="shared" ca="1" si="10"/>
        <v>3.1181374928274495</v>
      </c>
      <c r="N5" s="2">
        <f t="shared" ca="1" si="0"/>
        <v>0.29368966006514829</v>
      </c>
      <c r="O5" s="2">
        <f ca="1">'final systematics'!$K7*M5</f>
        <v>0.50190478926730275</v>
      </c>
      <c r="P5" s="3">
        <f>'efficiency CS trans'!F5</f>
        <v>0.38600000000000001</v>
      </c>
      <c r="Q5" s="3">
        <f>'acceptance CS trans'!F5</f>
        <v>0.182</v>
      </c>
      <c r="R5" s="2">
        <f ca="1">'raw yield'!F5</f>
        <v>137.244</v>
      </c>
      <c r="S5" s="2">
        <f ca="1">'raw yield'!G5</f>
        <v>15.0952</v>
      </c>
      <c r="T5" s="28">
        <f ca="1">R5/($D5*$F5*$G5*P5*Q5*$B$21)</f>
        <v>2.5810282666943758</v>
      </c>
      <c r="U5" s="2">
        <f t="shared" ca="1" si="2"/>
        <v>0.28388226728603755</v>
      </c>
      <c r="V5" s="2">
        <f ca="1">'final systematics'!$K7*T5</f>
        <v>0.41545007276556251</v>
      </c>
      <c r="W5" s="3">
        <f>'efficiency CS trans'!H5</f>
        <v>0</v>
      </c>
      <c r="X5" s="3">
        <f>'acceptance CS trans'!H5</f>
        <v>0.22600000000000001</v>
      </c>
      <c r="Y5" s="2">
        <f ca="1">'raw yield'!H5</f>
        <v>37.087800000000001</v>
      </c>
      <c r="Z5" s="2">
        <f ca="1">'raw yield'!I5</f>
        <v>8.5421600000000009</v>
      </c>
      <c r="AA5" s="28" t="e">
        <f t="shared" ca="1" si="3"/>
        <v>#DIV/0!</v>
      </c>
      <c r="AB5" s="2" t="e">
        <f t="shared" ca="1" si="4"/>
        <v>#DIV/0!</v>
      </c>
      <c r="AC5" s="2"/>
      <c r="AD5" s="4">
        <f t="shared" ca="1" si="5"/>
        <v>1.9999999999242846E-4</v>
      </c>
      <c r="AE5" s="3">
        <f t="shared" si="6"/>
        <v>0</v>
      </c>
      <c r="AF5" s="3">
        <f t="shared" ca="1" si="6"/>
        <v>1.1810160676295369</v>
      </c>
      <c r="AG5" s="4">
        <f ca="1">'raw yield'!J5</f>
        <v>0.21274199999999999</v>
      </c>
      <c r="AH5" s="4">
        <f ca="1">'raw yield'!K5</f>
        <v>4.4714999999999998E-2</v>
      </c>
      <c r="AI5" s="32" t="e">
        <f t="shared" ca="1" si="7"/>
        <v>#DIV/0!</v>
      </c>
      <c r="AJ5" s="4" t="e">
        <f t="shared" ca="1" si="8"/>
        <v>#DIV/0!</v>
      </c>
      <c r="AK5" s="4" t="e">
        <f t="shared" ca="1" si="9"/>
        <v>#DIV/0!</v>
      </c>
    </row>
    <row r="6" spans="1:37">
      <c r="A6" s="41" t="s">
        <v>14</v>
      </c>
      <c r="B6" s="1" t="s">
        <v>9</v>
      </c>
      <c r="C6" s="42"/>
      <c r="D6" s="3">
        <f>ReReco!U$42</f>
        <v>5.6625111171875</v>
      </c>
      <c r="E6" s="3">
        <f>ReReco!V$42</f>
        <v>0.18008369263408391</v>
      </c>
      <c r="F6" s="14">
        <v>1</v>
      </c>
      <c r="G6" s="2">
        <v>0.8</v>
      </c>
      <c r="H6" s="2">
        <v>23.5</v>
      </c>
      <c r="I6" s="3">
        <f>'efficiency CS trans'!D6</f>
        <v>0.41899999999999998</v>
      </c>
      <c r="J6" s="3">
        <f ca="1">'acceptance CS trans'!D6</f>
        <v>0.35403228799999997</v>
      </c>
      <c r="K6" s="2">
        <f ca="1">'raw yield'!D6</f>
        <v>90.325299999999999</v>
      </c>
      <c r="L6" s="2">
        <f ca="1">'raw yield'!E6</f>
        <v>11.1724</v>
      </c>
      <c r="M6" s="28">
        <f t="shared" ca="1" si="10"/>
        <v>2.4134141737265193</v>
      </c>
      <c r="N6" s="2">
        <f t="shared" ca="1" si="0"/>
        <v>0.29851689963434569</v>
      </c>
      <c r="O6" s="2">
        <f ca="1">'final systematics'!$K8*M6</f>
        <v>0.37118298942344602</v>
      </c>
      <c r="P6" s="3">
        <f>'efficiency CS trans'!F6</f>
        <v>0.41899999999999998</v>
      </c>
      <c r="Q6" s="3">
        <f>'acceptance CS trans'!F6</f>
        <v>0.34699999999999998</v>
      </c>
      <c r="R6" s="2">
        <f ca="1">'raw yield'!F6</f>
        <v>71.643100000000004</v>
      </c>
      <c r="S6" s="2">
        <f ca="1">'raw yield'!G6</f>
        <v>10.733499999999999</v>
      </c>
      <c r="T6" s="28">
        <f t="shared" ca="1" si="1"/>
        <v>1.9530358389437159</v>
      </c>
      <c r="U6" s="2">
        <f t="shared" ca="1" si="2"/>
        <v>0.29260194181020044</v>
      </c>
      <c r="V6" s="2">
        <f ca="1">'final systematics'!$K8*T6</f>
        <v>0.30037682261180071</v>
      </c>
      <c r="W6" s="3">
        <f>'efficiency CS trans'!H6</f>
        <v>0</v>
      </c>
      <c r="X6" s="3">
        <f>'acceptance CS trans'!H6</f>
        <v>0.38100000000000001</v>
      </c>
      <c r="Y6" s="2">
        <f ca="1">'raw yield'!H6</f>
        <v>18.682200000000002</v>
      </c>
      <c r="Z6" s="2">
        <f ca="1">'raw yield'!I6</f>
        <v>6.4822699999999998</v>
      </c>
      <c r="AA6" s="28" t="e">
        <f t="shared" ca="1" si="3"/>
        <v>#DIV/0!</v>
      </c>
      <c r="AB6" s="2" t="e">
        <f t="shared" ca="1" si="4"/>
        <v>#DIV/0!</v>
      </c>
      <c r="AC6" s="2"/>
      <c r="AD6" s="4">
        <f t="shared" ca="1" si="5"/>
        <v>0</v>
      </c>
      <c r="AE6" s="3">
        <f t="shared" si="6"/>
        <v>0</v>
      </c>
      <c r="AF6" s="3">
        <f t="shared" ca="1" si="6"/>
        <v>1.0761730297322487</v>
      </c>
      <c r="AG6" s="4">
        <f ca="1">'raw yield'!J6</f>
        <v>0.20683199999999999</v>
      </c>
      <c r="AH6" s="4">
        <f ca="1">'raw yield'!K6</f>
        <v>6.7050999999999999E-2</v>
      </c>
      <c r="AI6" s="32" t="e">
        <f t="shared" ca="1" si="7"/>
        <v>#DIV/0!</v>
      </c>
      <c r="AJ6" s="4" t="e">
        <f t="shared" ca="1" si="8"/>
        <v>#DIV/0!</v>
      </c>
      <c r="AK6" s="4" t="e">
        <f t="shared" ca="1" si="9"/>
        <v>#DIV/0!</v>
      </c>
    </row>
    <row r="7" spans="1:37">
      <c r="A7" s="41"/>
      <c r="B7" s="1" t="s">
        <v>15</v>
      </c>
      <c r="C7" s="42"/>
      <c r="D7" s="3">
        <f>ReReco!U$42</f>
        <v>5.6625111171875</v>
      </c>
      <c r="E7" s="3">
        <f>ReReco!V$42</f>
        <v>0.18008369263408391</v>
      </c>
      <c r="F7" s="14">
        <v>1</v>
      </c>
      <c r="G7" s="2">
        <v>0.8</v>
      </c>
      <c r="H7" s="2">
        <v>24.5</v>
      </c>
      <c r="I7" s="3">
        <f>'efficiency CS trans'!D7</f>
        <v>0.38100000000000001</v>
      </c>
      <c r="J7" s="3">
        <f ca="1">'acceptance CS trans'!D7</f>
        <v>0.28165481800000003</v>
      </c>
      <c r="K7" s="2">
        <f ca="1">'raw yield'!D7</f>
        <v>103.078</v>
      </c>
      <c r="L7" s="2">
        <f ca="1">'raw yield'!E7</f>
        <v>13.0311</v>
      </c>
      <c r="M7" s="2">
        <f t="shared" ca="1" si="10"/>
        <v>3.8071778415660358</v>
      </c>
      <c r="N7" s="2">
        <f t="shared" ca="1" si="0"/>
        <v>0.48130265596180727</v>
      </c>
      <c r="O7" s="2">
        <f ca="1">'final systematics'!$K9*M7</f>
        <v>0.61359605351676738</v>
      </c>
      <c r="P7" s="3">
        <f>'efficiency CS trans'!F7</f>
        <v>0.38100000000000001</v>
      </c>
      <c r="Q7" s="3">
        <f>'acceptance CS trans'!F7</f>
        <v>0.27600000000000002</v>
      </c>
      <c r="R7" s="2">
        <f ca="1">'raw yield'!F7</f>
        <v>87.739199999999997</v>
      </c>
      <c r="S7" s="2">
        <f ca="1">'raw yield'!G7</f>
        <v>13.145099999999999</v>
      </c>
      <c r="T7" s="2">
        <f t="shared" ca="1" si="1"/>
        <v>3.3070362354676415</v>
      </c>
      <c r="U7" s="2">
        <f t="shared" ca="1" si="2"/>
        <v>0.49546066090009588</v>
      </c>
      <c r="V7" s="2">
        <f ca="1">'final systematics'!$K9*T7</f>
        <v>0.53298912406077981</v>
      </c>
      <c r="W7" s="3">
        <f>'efficiency CS trans'!H7</f>
        <v>0</v>
      </c>
      <c r="X7" s="3">
        <f>'acceptance CS trans'!H7</f>
        <v>0.314</v>
      </c>
      <c r="Y7" s="2">
        <f ca="1">'raw yield'!H7</f>
        <v>15.3393</v>
      </c>
      <c r="Z7" s="2">
        <f ca="1">'raw yield'!I7</f>
        <v>7.3159000000000001</v>
      </c>
      <c r="AA7" s="2" t="e">
        <f t="shared" ca="1" si="3"/>
        <v>#DIV/0!</v>
      </c>
      <c r="AB7" s="2" t="e">
        <f t="shared" ca="1" si="4"/>
        <v>#DIV/0!</v>
      </c>
      <c r="AC7" s="2"/>
      <c r="AD7" s="4">
        <f t="shared" ca="1" si="5"/>
        <v>-4.9999999999350564E-4</v>
      </c>
      <c r="AE7" s="3">
        <f t="shared" si="6"/>
        <v>0</v>
      </c>
      <c r="AF7" s="3">
        <f t="shared" ca="1" si="6"/>
        <v>1.1148397965626136</v>
      </c>
      <c r="AG7" s="4">
        <f ca="1">'raw yield'!J7</f>
        <v>0.148811</v>
      </c>
      <c r="AH7" s="4">
        <f ca="1">'raw yield'!K7</f>
        <v>6.8435399999999993E-2</v>
      </c>
      <c r="AI7" s="4" t="e">
        <f t="shared" ca="1" si="7"/>
        <v>#DIV/0!</v>
      </c>
      <c r="AJ7" s="4" t="e">
        <f t="shared" ca="1" si="8"/>
        <v>#DIV/0!</v>
      </c>
      <c r="AK7" s="4" t="e">
        <f t="shared" ca="1" si="9"/>
        <v>#DIV/0!</v>
      </c>
    </row>
    <row r="8" spans="1:37">
      <c r="A8" s="41" t="s">
        <v>16</v>
      </c>
      <c r="B8" s="1" t="s">
        <v>9</v>
      </c>
      <c r="C8" s="42"/>
      <c r="D8" s="3">
        <f>ReReco!U$42</f>
        <v>5.6625111171875</v>
      </c>
      <c r="E8" s="3">
        <f>ReReco!V$42</f>
        <v>0.18008369263408391</v>
      </c>
      <c r="F8" s="14">
        <v>1</v>
      </c>
      <c r="G8" s="2">
        <v>1.6</v>
      </c>
      <c r="H8" s="2">
        <v>23.5</v>
      </c>
      <c r="I8" s="3">
        <f ca="1">'efficiency CS trans'!D8</f>
        <v>0.35540323800000001</v>
      </c>
      <c r="J8" s="3">
        <f ca="1">'acceptance CS trans'!D8</f>
        <v>0.37590395099999996</v>
      </c>
      <c r="K8" s="2">
        <f ca="1">'raw yield'!D8</f>
        <v>149.86600000000001</v>
      </c>
      <c r="L8" s="2">
        <f ca="1">'raw yield'!E8</f>
        <v>14.499000000000001</v>
      </c>
      <c r="M8" s="28">
        <f t="shared" ca="1" si="10"/>
        <v>2.2230753882526408</v>
      </c>
      <c r="N8" s="2">
        <f t="shared" ca="1" si="0"/>
        <v>0.21507460033813564</v>
      </c>
      <c r="O8" s="2">
        <f ca="1">'final systematics'!$K10*M8</f>
        <v>0.34272658048181703</v>
      </c>
      <c r="P8" s="3">
        <f>'efficiency CS trans'!F8</f>
        <v>0.36599999999999999</v>
      </c>
      <c r="Q8" s="3">
        <f>'acceptance CS trans'!F8</f>
        <v>0.36899999999999999</v>
      </c>
      <c r="R8" s="2">
        <f ca="1">'raw yield'!F8</f>
        <v>125.804</v>
      </c>
      <c r="S8" s="2">
        <f ca="1">'raw yield'!G8</f>
        <v>14.110900000000001</v>
      </c>
      <c r="T8" s="28">
        <f t="shared" ca="1" si="1"/>
        <v>1.846019752892861</v>
      </c>
      <c r="U8" s="2">
        <f t="shared" ca="1" si="2"/>
        <v>0.20706018990728334</v>
      </c>
      <c r="V8" s="2">
        <f ca="1">'final systematics'!$K10*T8</f>
        <v>0.28459675310793298</v>
      </c>
      <c r="W8" s="3">
        <f>'efficiency CS trans'!H8</f>
        <v>0.3</v>
      </c>
      <c r="X8" s="3">
        <f>'acceptance CS trans'!H8</f>
        <v>0.41199999999999998</v>
      </c>
      <c r="Y8" s="2">
        <f ca="1">'raw yield'!H8</f>
        <v>24.061900000000001</v>
      </c>
      <c r="Z8" s="2">
        <f ca="1">'raw yield'!I8</f>
        <v>7.5100300000000004</v>
      </c>
      <c r="AA8" s="28">
        <f t="shared" ca="1" si="3"/>
        <v>0.3857987286963323</v>
      </c>
      <c r="AB8" s="2">
        <f t="shared" ca="1" si="4"/>
        <v>0.12041276983410773</v>
      </c>
      <c r="AC8" s="2">
        <f ca="1">'final systematics'!$K$23*AA8</f>
        <v>6.0973453630925878E-2</v>
      </c>
      <c r="AD8" s="4">
        <f t="shared" ca="1" si="5"/>
        <v>1.0000000001042508E-4</v>
      </c>
      <c r="AE8" s="3">
        <f t="shared" ca="1" si="6"/>
        <v>0.84411161161114678</v>
      </c>
      <c r="AF8" s="3">
        <f t="shared" ca="1" si="6"/>
        <v>1.0960246597674097</v>
      </c>
      <c r="AG8" s="4">
        <f ca="1">'raw yield'!J8</f>
        <v>0.16055700000000001</v>
      </c>
      <c r="AH8" s="4">
        <f ca="1">'raw yield'!K8</f>
        <v>4.7643499999999998E-2</v>
      </c>
      <c r="AI8" s="32">
        <f t="shared" ca="1" si="7"/>
        <v>0.17354377682121189</v>
      </c>
      <c r="AJ8" s="4">
        <f t="shared" ca="1" si="8"/>
        <v>5.1497181256385013E-2</v>
      </c>
      <c r="AK8" s="4">
        <f t="shared" ca="1" si="9"/>
        <v>3.470875536424238E-2</v>
      </c>
    </row>
    <row r="9" spans="1:37">
      <c r="A9" s="41"/>
      <c r="B9" s="1" t="s">
        <v>17</v>
      </c>
      <c r="C9" s="42"/>
      <c r="D9" s="3">
        <f>ReReco!U$42</f>
        <v>5.6625111171875</v>
      </c>
      <c r="E9" s="3">
        <f>ReReco!V$42</f>
        <v>0.18008369263408391</v>
      </c>
      <c r="F9" s="14">
        <v>1</v>
      </c>
      <c r="G9" s="2">
        <v>1.6</v>
      </c>
      <c r="H9" s="2">
        <v>27</v>
      </c>
      <c r="I9" s="3">
        <f ca="1">'efficiency CS trans'!D9</f>
        <v>0.288799048</v>
      </c>
      <c r="J9" s="3">
        <f ca="1">'acceptance CS trans'!D9</f>
        <v>0.17140071400000001</v>
      </c>
      <c r="K9" s="2">
        <f ca="1">'raw yield'!D9</f>
        <v>447.24099999999999</v>
      </c>
      <c r="L9" s="2">
        <f ca="1">'raw yield'!E9</f>
        <v>63.208599999999997</v>
      </c>
      <c r="M9" s="2">
        <f t="shared" ca="1" si="10"/>
        <v>17.905339963242412</v>
      </c>
      <c r="N9" s="2">
        <f t="shared" ca="1" si="0"/>
        <v>2.530562876839566</v>
      </c>
      <c r="O9" s="2">
        <f ca="1">'final systematics'!$K11*M9</f>
        <v>2.8124348931530498</v>
      </c>
      <c r="P9" s="3">
        <f>'efficiency CS trans'!F9</f>
        <v>0.29599999999999999</v>
      </c>
      <c r="Q9" s="3">
        <f>'acceptance CS trans'!F9</f>
        <v>0.16600000000000001</v>
      </c>
      <c r="R9" s="2">
        <f ca="1">'raw yield'!F9</f>
        <v>374.04700000000003</v>
      </c>
      <c r="S9" s="2">
        <f ca="1">'raw yield'!G9</f>
        <v>55.187899999999999</v>
      </c>
      <c r="T9" s="2">
        <f t="shared" ca="1" si="1"/>
        <v>15.086056232166257</v>
      </c>
      <c r="U9" s="2">
        <f t="shared" ca="1" si="2"/>
        <v>2.2258372951398302</v>
      </c>
      <c r="V9" s="2">
        <f ca="1">'final systematics'!$K11*T9</f>
        <v>2.3696032041008053</v>
      </c>
      <c r="W9" s="3">
        <f>'efficiency CS trans'!H9</f>
        <v>0.252</v>
      </c>
      <c r="X9" s="3">
        <f>'acceptance CS trans'!H9</f>
        <v>0.19900000000000001</v>
      </c>
      <c r="Y9" s="2">
        <f ca="1">'raw yield'!H9</f>
        <v>73.194500000000005</v>
      </c>
      <c r="Z9" s="2">
        <f ca="1">'raw yield'!I9</f>
        <v>18.9237</v>
      </c>
      <c r="AA9" s="2">
        <f t="shared" ca="1" si="3"/>
        <v>2.8925053881197322</v>
      </c>
      <c r="AB9" s="2">
        <f t="shared" ca="1" si="4"/>
        <v>0.74782810475051231</v>
      </c>
      <c r="AC9" s="2">
        <f ca="1">'final systematics'!$K$24*AA9</f>
        <v>0.60393520344700424</v>
      </c>
      <c r="AD9" s="4">
        <f t="shared" ca="1" si="5"/>
        <v>-5.0000000004501999E-4</v>
      </c>
      <c r="AE9" s="3">
        <f t="shared" ca="1" si="6"/>
        <v>0.87257905365394417</v>
      </c>
      <c r="AF9" s="3">
        <f t="shared" ca="1" si="6"/>
        <v>1.1610220013435884</v>
      </c>
      <c r="AG9" s="4">
        <f ca="1">'raw yield'!J9</f>
        <v>0.163658</v>
      </c>
      <c r="AH9" s="4">
        <f ca="1">'raw yield'!K9</f>
        <v>3.5430400000000001E-2</v>
      </c>
      <c r="AI9" s="4">
        <f t="shared" ca="1" si="7"/>
        <v>0.16154443672166308</v>
      </c>
      <c r="AJ9" s="4">
        <f t="shared" ca="1" si="8"/>
        <v>3.4972833658135943E-2</v>
      </c>
      <c r="AK9" s="4">
        <f t="shared" ca="1" si="9"/>
        <v>3.2308887344332619E-2</v>
      </c>
    </row>
    <row r="10" spans="1:37">
      <c r="A10" s="41" t="s">
        <v>8</v>
      </c>
      <c r="B10" s="41" t="s">
        <v>9</v>
      </c>
      <c r="C10" s="8" t="s">
        <v>18</v>
      </c>
      <c r="D10" s="3">
        <f>ReReco!U2</f>
        <v>23.185742187499997</v>
      </c>
      <c r="E10" s="3">
        <f>ReReco!V2</f>
        <v>1.1224245480741166</v>
      </c>
      <c r="F10" s="14">
        <v>0.1</v>
      </c>
      <c r="G10" s="2">
        <v>4.8</v>
      </c>
      <c r="H10" s="2">
        <v>23.5</v>
      </c>
      <c r="I10" s="3">
        <f>'efficiency CS trans'!D10</f>
        <v>0.373</v>
      </c>
      <c r="J10" s="3">
        <f ca="1">'acceptance CS trans'!D10</f>
        <v>0.272123534</v>
      </c>
      <c r="K10" s="2">
        <f ca="1">'raw yield'!D10</f>
        <v>112.855</v>
      </c>
      <c r="L10" s="2">
        <f ca="1">'raw yield'!E10</f>
        <v>12.4671</v>
      </c>
      <c r="M10" s="15">
        <f t="shared" ca="1" si="10"/>
        <v>1.7937504655609429</v>
      </c>
      <c r="N10" s="2">
        <f t="shared" ca="1" si="0"/>
        <v>0.19815574346900741</v>
      </c>
      <c r="O10" s="2">
        <f ca="1">'final systematics'!$K12*M10</f>
        <v>0.27771910373432424</v>
      </c>
      <c r="P10" s="3">
        <f>'efficiency CS trans'!F10</f>
        <v>0.373</v>
      </c>
      <c r="Q10" s="3">
        <f>'acceptance CS trans'!F10</f>
        <v>0.26200000000000001</v>
      </c>
      <c r="R10" s="2">
        <f ca="1">'raw yield'!F10</f>
        <v>79.252200000000002</v>
      </c>
      <c r="S10" s="2">
        <f ca="1">'raw yield'!G10</f>
        <v>11.388500000000001</v>
      </c>
      <c r="T10" s="15">
        <f t="shared" ca="1" si="1"/>
        <v>1.3083301799860707</v>
      </c>
      <c r="U10" s="2">
        <f t="shared" ca="1" si="2"/>
        <v>0.1880063677067812</v>
      </c>
      <c r="V10" s="2">
        <f ca="1">'final systematics'!$K12*T10</f>
        <v>0.20256345124385633</v>
      </c>
      <c r="W10" s="3">
        <f>'efficiency CS trans'!H10</f>
        <v>0</v>
      </c>
      <c r="X10" s="3">
        <f>'acceptance CS trans'!H10</f>
        <v>0.29599999999999999</v>
      </c>
      <c r="Y10" s="2">
        <f ca="1">'raw yield'!H10</f>
        <v>33.602699999999999</v>
      </c>
      <c r="Z10" s="2">
        <f ca="1">'raw yield'!I10</f>
        <v>8.1747399999999999</v>
      </c>
      <c r="AA10" s="2" t="e">
        <f t="shared" ca="1" si="3"/>
        <v>#DIV/0!</v>
      </c>
      <c r="AB10" s="2" t="e">
        <f t="shared" ca="1" si="4"/>
        <v>#DIV/0!</v>
      </c>
      <c r="AC10" s="2"/>
      <c r="AD10" s="4">
        <f t="shared" ca="1" si="5"/>
        <v>1.0000000000331966E-4</v>
      </c>
      <c r="AE10" s="3">
        <f t="shared" si="6"/>
        <v>0</v>
      </c>
      <c r="AF10" s="3">
        <f t="shared" ca="1" si="6"/>
        <v>1.0877412756222693</v>
      </c>
      <c r="AG10" s="4">
        <f ca="1">'raw yield'!J10</f>
        <v>0.29775099999999999</v>
      </c>
      <c r="AH10" s="4">
        <f ca="1">'raw yield'!K10</f>
        <v>6.4536999999999997E-2</v>
      </c>
      <c r="AI10" s="4" t="e">
        <f t="shared" ca="1" si="7"/>
        <v>#DIV/0!</v>
      </c>
      <c r="AJ10" s="4" t="e">
        <f t="shared" ca="1" si="8"/>
        <v>#DIV/0!</v>
      </c>
      <c r="AK10" s="4" t="e">
        <f t="shared" ca="1" si="9"/>
        <v>#DIV/0!</v>
      </c>
    </row>
    <row r="11" spans="1:37">
      <c r="A11" s="41"/>
      <c r="B11" s="41"/>
      <c r="C11" s="8" t="s">
        <v>19</v>
      </c>
      <c r="D11" s="3">
        <f>ReReco!U6</f>
        <v>14.4776953125</v>
      </c>
      <c r="E11" s="3">
        <f>ReReco!V6</f>
        <v>1.0412851798499518</v>
      </c>
      <c r="F11" s="14">
        <v>0.1</v>
      </c>
      <c r="G11" s="2">
        <v>4.8</v>
      </c>
      <c r="H11" s="2">
        <v>23.5</v>
      </c>
      <c r="I11" s="3">
        <f>'efficiency CS trans'!D11</f>
        <v>0.38500000000000001</v>
      </c>
      <c r="J11" s="3">
        <f ca="1">'acceptance CS trans'!D11</f>
        <v>0.27180515799999999</v>
      </c>
      <c r="K11" s="2">
        <f ca="1">'raw yield'!D11</f>
        <v>79.810500000000005</v>
      </c>
      <c r="L11" s="2">
        <f ca="1">'raw yield'!E11</f>
        <v>10.086</v>
      </c>
      <c r="M11" s="15">
        <f t="shared" ca="1" si="10"/>
        <v>1.9705131340234188</v>
      </c>
      <c r="N11" s="2">
        <f t="shared" ca="1" si="0"/>
        <v>0.24902231498061284</v>
      </c>
      <c r="O11" s="2">
        <f ca="1">'final systematics'!$K13*M11</f>
        <v>0.31084314766923665</v>
      </c>
      <c r="P11" s="3">
        <f>'efficiency CS trans'!F11</f>
        <v>0.38500000000000001</v>
      </c>
      <c r="Q11" s="3">
        <f>'acceptance CS trans'!F11</f>
        <v>0.26200000000000001</v>
      </c>
      <c r="R11" s="2">
        <f ca="1">'raw yield'!F11</f>
        <v>56.794199999999996</v>
      </c>
      <c r="S11" s="2">
        <f ca="1">'raw yield'!G11</f>
        <v>9.2707300000000004</v>
      </c>
      <c r="T11" s="15">
        <f t="shared" ca="1" si="1"/>
        <v>1.4547209437772313</v>
      </c>
      <c r="U11" s="2">
        <f t="shared" ca="1" si="2"/>
        <v>0.23745954860010166</v>
      </c>
      <c r="V11" s="2">
        <f ca="1">'final systematics'!$K13*T11</f>
        <v>0.22947831675741731</v>
      </c>
      <c r="W11" s="3">
        <f>'efficiency CS trans'!H11</f>
        <v>0</v>
      </c>
      <c r="X11" s="3">
        <f>'acceptance CS trans'!H11</f>
        <v>0.29599999999999999</v>
      </c>
      <c r="Y11" s="2">
        <f ca="1">'raw yield'!H11</f>
        <v>23.016300000000001</v>
      </c>
      <c r="Z11" s="2">
        <f ca="1">'raw yield'!I11</f>
        <v>6.5492800000000004</v>
      </c>
      <c r="AA11" s="2" t="e">
        <f t="shared" ca="1" si="3"/>
        <v>#DIV/0!</v>
      </c>
      <c r="AB11" s="2" t="e">
        <f t="shared" ca="1" si="4"/>
        <v>#DIV/0!</v>
      </c>
      <c r="AC11" s="2"/>
      <c r="AD11" s="4">
        <f t="shared" ca="1" si="5"/>
        <v>0</v>
      </c>
      <c r="AE11" s="3">
        <f t="shared" si="6"/>
        <v>0</v>
      </c>
      <c r="AF11" s="3">
        <f t="shared" ca="1" si="6"/>
        <v>1.0890153894724839</v>
      </c>
      <c r="AG11" s="4">
        <f ca="1">'raw yield'!J11</f>
        <v>0.288387</v>
      </c>
      <c r="AH11" s="4">
        <f ca="1">'raw yield'!K11</f>
        <v>7.3523400000000003E-2</v>
      </c>
      <c r="AI11" s="4" t="e">
        <f t="shared" ca="1" si="7"/>
        <v>#DIV/0!</v>
      </c>
      <c r="AJ11" s="4" t="e">
        <f t="shared" ca="1" si="8"/>
        <v>#DIV/0!</v>
      </c>
      <c r="AK11" s="4" t="e">
        <f t="shared" ca="1" si="9"/>
        <v>#DIV/0!</v>
      </c>
    </row>
    <row r="12" spans="1:37">
      <c r="A12" s="41"/>
      <c r="B12" s="41"/>
      <c r="C12" s="8" t="s">
        <v>20</v>
      </c>
      <c r="D12" s="3">
        <f>ReReco!U10</f>
        <v>8.7829765625</v>
      </c>
      <c r="E12" s="3">
        <f>ReReco!V10</f>
        <v>0.72317759251451785</v>
      </c>
      <c r="F12" s="14">
        <v>0.1</v>
      </c>
      <c r="G12" s="2">
        <v>4.8</v>
      </c>
      <c r="H12" s="2">
        <v>23.5</v>
      </c>
      <c r="I12" s="3">
        <f>'efficiency CS trans'!D12</f>
        <v>0.39600000000000002</v>
      </c>
      <c r="J12" s="3">
        <f ca="1">'acceptance CS trans'!D12</f>
        <v>0.26440703679999999</v>
      </c>
      <c r="K12" s="2">
        <f ca="1">'raw yield'!D12</f>
        <v>63.361800000000002</v>
      </c>
      <c r="L12" s="2">
        <f ca="1">'raw yield'!E12</f>
        <v>8.8439399999999999</v>
      </c>
      <c r="M12" s="15">
        <f t="shared" ca="1" si="10"/>
        <v>2.5772393036284549</v>
      </c>
      <c r="N12" s="2">
        <f t="shared" ca="1" si="0"/>
        <v>0.35972699271377767</v>
      </c>
      <c r="O12" s="2">
        <f ca="1">'final systematics'!$K14*M12</f>
        <v>0.40338504019795385</v>
      </c>
      <c r="P12" s="3">
        <f>'efficiency CS trans'!F12</f>
        <v>0.39600000000000002</v>
      </c>
      <c r="Q12" s="3">
        <f>'acceptance CS trans'!F12</f>
        <v>0.26200000000000001</v>
      </c>
      <c r="R12" s="2">
        <f ca="1">'raw yield'!F12</f>
        <v>58.876100000000001</v>
      </c>
      <c r="S12" s="2">
        <f ca="1">'raw yield'!G12</f>
        <v>8.7785499999999992</v>
      </c>
      <c r="T12" s="15">
        <f t="shared" ca="1" si="1"/>
        <v>2.4167848595075636</v>
      </c>
      <c r="U12" s="2">
        <f t="shared" ca="1" si="2"/>
        <v>0.36034769165128333</v>
      </c>
      <c r="V12" s="2">
        <f ca="1">'final systematics'!$K14*T12</f>
        <v>0.37827098800244335</v>
      </c>
      <c r="W12" s="3">
        <f>'efficiency CS trans'!H12</f>
        <v>0</v>
      </c>
      <c r="X12" s="3">
        <f>'acceptance CS trans'!H12</f>
        <v>0.29599999999999999</v>
      </c>
      <c r="Y12" s="2">
        <f ca="1">'raw yield'!H12</f>
        <v>4.4857199999999997</v>
      </c>
      <c r="Z12" s="2">
        <f ca="1">'raw yield'!I12</f>
        <v>3.1499600000000001</v>
      </c>
      <c r="AA12" s="2" t="e">
        <f t="shared" ca="1" si="3"/>
        <v>#DIV/0!</v>
      </c>
      <c r="AB12" s="2" t="e">
        <f t="shared" ca="1" si="4"/>
        <v>#DIV/0!</v>
      </c>
      <c r="AC12" s="2"/>
      <c r="AD12" s="4">
        <f t="shared" ca="1" si="5"/>
        <v>-1.9999999998354667E-5</v>
      </c>
      <c r="AE12" s="3">
        <f t="shared" si="6"/>
        <v>0</v>
      </c>
      <c r="AF12" s="3">
        <f t="shared" ca="1" si="6"/>
        <v>1.1194860907726039</v>
      </c>
      <c r="AG12" s="4">
        <f ca="1">'raw yield'!J12</f>
        <v>7.0795200000000003E-2</v>
      </c>
      <c r="AH12" s="4">
        <f ca="1">'raw yield'!K12</f>
        <v>4.8721899999999999E-2</v>
      </c>
      <c r="AI12" s="4" t="e">
        <f t="shared" ca="1" si="7"/>
        <v>#DIV/0!</v>
      </c>
      <c r="AJ12" s="4" t="e">
        <f t="shared" ca="1" si="8"/>
        <v>#DIV/0!</v>
      </c>
      <c r="AK12" s="4" t="e">
        <f t="shared" ca="1" si="9"/>
        <v>#DIV/0!</v>
      </c>
    </row>
    <row r="13" spans="1:37">
      <c r="A13" s="41"/>
      <c r="B13" s="41"/>
      <c r="C13" s="8" t="s">
        <v>21</v>
      </c>
      <c r="D13" s="3">
        <f>ReReco!U14</f>
        <v>5.0892265625000004</v>
      </c>
      <c r="E13" s="3">
        <f>ReReco!V14</f>
        <v>0.48740498553650669</v>
      </c>
      <c r="F13" s="14">
        <v>0.1</v>
      </c>
      <c r="G13" s="2">
        <v>4.8</v>
      </c>
      <c r="H13" s="2">
        <v>23.5</v>
      </c>
      <c r="I13" s="3">
        <f>'efficiency CS trans'!D13</f>
        <v>0.40400000000000003</v>
      </c>
      <c r="J13" s="3">
        <f ca="1">'acceptance CS trans'!D13</f>
        <v>0.26817429799999998</v>
      </c>
      <c r="K13" s="2">
        <f ca="1">'raw yield'!D13</f>
        <v>58.244999999999997</v>
      </c>
      <c r="L13" s="2">
        <f ca="1">'raw yield'!E13</f>
        <v>8.2205399999999997</v>
      </c>
      <c r="M13" s="15">
        <f t="shared" ca="1" si="10"/>
        <v>3.9513500465544706</v>
      </c>
      <c r="N13" s="2">
        <f t="shared" ca="1" si="0"/>
        <v>0.55768273863340867</v>
      </c>
      <c r="O13" s="2">
        <f ca="1">'final systematics'!$K15*M13</f>
        <v>0.65863556231931408</v>
      </c>
      <c r="P13" s="3">
        <f>'efficiency CS trans'!F13</f>
        <v>0.40400000000000003</v>
      </c>
      <c r="Q13" s="3">
        <f>'acceptance CS trans'!F13</f>
        <v>0.26200000000000001</v>
      </c>
      <c r="R13" s="2">
        <f ca="1">'raw yield'!F13</f>
        <v>47.667900000000003</v>
      </c>
      <c r="S13" s="2">
        <f ca="1">'raw yield'!G13</f>
        <v>7.7744499999999999</v>
      </c>
      <c r="T13" s="15">
        <f t="shared" ca="1" si="1"/>
        <v>3.3100056588588749</v>
      </c>
      <c r="U13" s="2">
        <f t="shared" ca="1" si="2"/>
        <v>0.5398491121806368</v>
      </c>
      <c r="V13" s="2">
        <f ca="1">'final systematics'!$K15*T13</f>
        <v>0.55173229724449158</v>
      </c>
      <c r="W13" s="3">
        <f>'efficiency CS trans'!H13</f>
        <v>0</v>
      </c>
      <c r="X13" s="3">
        <f>'acceptance CS trans'!H13</f>
        <v>0.29599999999999999</v>
      </c>
      <c r="Y13" s="2">
        <f ca="1">'raw yield'!H13</f>
        <v>10.5771</v>
      </c>
      <c r="Z13" s="2">
        <f ca="1">'raw yield'!I13</f>
        <v>4.1723400000000002</v>
      </c>
      <c r="AA13" s="2" t="e">
        <f t="shared" ca="1" si="3"/>
        <v>#DIV/0!</v>
      </c>
      <c r="AB13" s="2" t="e">
        <f t="shared" ca="1" si="4"/>
        <v>#DIV/0!</v>
      </c>
      <c r="AC13" s="2"/>
      <c r="AD13" s="4">
        <f t="shared" ca="1" si="5"/>
        <v>0</v>
      </c>
      <c r="AE13" s="3">
        <f t="shared" si="6"/>
        <v>0</v>
      </c>
      <c r="AF13" s="3">
        <f t="shared" ca="1" si="6"/>
        <v>1.1037597644797414</v>
      </c>
      <c r="AG13" s="4">
        <f ca="1">'raw yield'!J13</f>
        <v>0.18159700000000001</v>
      </c>
      <c r="AH13" s="4">
        <f ca="1">'raw yield'!K13</f>
        <v>6.6892300000000002E-2</v>
      </c>
      <c r="AI13" s="4" t="e">
        <f t="shared" ca="1" si="7"/>
        <v>#DIV/0!</v>
      </c>
      <c r="AJ13" s="4" t="e">
        <f t="shared" ca="1" si="8"/>
        <v>#DIV/0!</v>
      </c>
      <c r="AK13" s="4" t="e">
        <f t="shared" ca="1" si="9"/>
        <v>#DIV/0!</v>
      </c>
    </row>
    <row r="14" spans="1:37">
      <c r="A14" s="41"/>
      <c r="B14" s="41"/>
      <c r="C14" s="8" t="s">
        <v>22</v>
      </c>
      <c r="D14" s="3">
        <f>ReReco!U18</f>
        <v>2.7483554687499998</v>
      </c>
      <c r="E14" s="3">
        <f>ReReco!V18</f>
        <v>0.30911282911454752</v>
      </c>
      <c r="F14" s="14">
        <v>0.1</v>
      </c>
      <c r="G14" s="2">
        <v>4.8</v>
      </c>
      <c r="H14" s="2">
        <v>23.5</v>
      </c>
      <c r="I14" s="3">
        <f>'efficiency CS trans'!D14</f>
        <v>0.41499999999999998</v>
      </c>
      <c r="J14" s="3">
        <f ca="1">'acceptance CS trans'!D14</f>
        <v>0.26991084799999998</v>
      </c>
      <c r="K14" s="2">
        <f ca="1">'raw yield'!D14</f>
        <v>45.228099999999998</v>
      </c>
      <c r="L14" s="2">
        <f ca="1">'raw yield'!E14</f>
        <v>7.0477100000000004</v>
      </c>
      <c r="M14" s="15">
        <f t="shared" ca="1" si="10"/>
        <v>5.4954614108917497</v>
      </c>
      <c r="N14" s="2">
        <f t="shared" ca="1" si="0"/>
        <v>0.85633529465433877</v>
      </c>
      <c r="O14" s="2">
        <f ca="1">'final systematics'!$K16*M14</f>
        <v>0.97997538636166137</v>
      </c>
      <c r="P14" s="3">
        <f>'efficiency CS trans'!F14</f>
        <v>0.41499999999999998</v>
      </c>
      <c r="Q14" s="3">
        <f>'acceptance CS trans'!F14</f>
        <v>0.26200000000000001</v>
      </c>
      <c r="R14" s="2">
        <f ca="1">'raw yield'!F14</f>
        <v>34.704799999999999</v>
      </c>
      <c r="S14" s="2">
        <f ca="1">'raw yield'!G14</f>
        <v>6.7179500000000001</v>
      </c>
      <c r="T14" s="15">
        <f t="shared" ca="1" si="1"/>
        <v>4.3441460037253572</v>
      </c>
      <c r="U14" s="2">
        <f t="shared" ca="1" si="2"/>
        <v>0.84091409965557395</v>
      </c>
      <c r="V14" s="2">
        <f ca="1">'final systematics'!$K16*T14</f>
        <v>0.77466764664651055</v>
      </c>
      <c r="W14" s="3">
        <f>'efficiency CS trans'!H14</f>
        <v>0</v>
      </c>
      <c r="X14" s="3">
        <f>'acceptance CS trans'!H14</f>
        <v>0.29599999999999999</v>
      </c>
      <c r="Y14" s="2">
        <f ca="1">'raw yield'!H14</f>
        <v>10.523300000000001</v>
      </c>
      <c r="Z14" s="2">
        <f ca="1">'raw yield'!I14</f>
        <v>4.3098099999999997</v>
      </c>
      <c r="AA14" s="2" t="e">
        <f t="shared" ca="1" si="3"/>
        <v>#DIV/0!</v>
      </c>
      <c r="AB14" s="2" t="e">
        <f t="shared" ca="1" si="4"/>
        <v>#DIV/0!</v>
      </c>
      <c r="AC14" s="2"/>
      <c r="AD14" s="4">
        <f t="shared" ca="1" si="5"/>
        <v>0</v>
      </c>
      <c r="AE14" s="3">
        <f t="shared" si="6"/>
        <v>0</v>
      </c>
      <c r="AF14" s="3">
        <f t="shared" ca="1" si="6"/>
        <v>1.0966584047781585</v>
      </c>
      <c r="AG14" s="4">
        <f ca="1">'raw yield'!J14</f>
        <v>0.23267199999999999</v>
      </c>
      <c r="AH14" s="4">
        <f ca="1">'raw yield'!K14</f>
        <v>8.8123599999999996E-2</v>
      </c>
      <c r="AI14" s="4" t="e">
        <f t="shared" ca="1" si="7"/>
        <v>#DIV/0!</v>
      </c>
      <c r="AJ14" s="4" t="e">
        <f t="shared" ca="1" si="8"/>
        <v>#DIV/0!</v>
      </c>
      <c r="AK14" s="4" t="e">
        <f t="shared" ca="1" si="9"/>
        <v>#DIV/0!</v>
      </c>
    </row>
    <row r="15" spans="1:37">
      <c r="A15" s="41"/>
      <c r="B15" s="41"/>
      <c r="C15" s="8" t="s">
        <v>23</v>
      </c>
      <c r="D15" s="3">
        <f>ReReco!U22</f>
        <v>0.46822301562500018</v>
      </c>
      <c r="E15" s="3">
        <f>ReReco!V22</f>
        <v>4.1377168590445754E-2</v>
      </c>
      <c r="F15" s="14">
        <v>0.5</v>
      </c>
      <c r="G15" s="2">
        <v>4.8</v>
      </c>
      <c r="H15" s="2">
        <v>23.5</v>
      </c>
      <c r="I15" s="3">
        <f>'efficiency CS trans'!D15</f>
        <v>0.44500000000000001</v>
      </c>
      <c r="J15" s="3">
        <f ca="1">'acceptance CS trans'!D15</f>
        <v>0.26888088600000004</v>
      </c>
      <c r="K15" s="2">
        <f ca="1">'raw yield'!D15</f>
        <v>36.657800000000002</v>
      </c>
      <c r="L15" s="2">
        <f ca="1">'raw yield'!E15</f>
        <v>6.2381700000000002</v>
      </c>
      <c r="M15" s="15">
        <f ca="1">K15/($D15*$F15*$G15*I15*J15*$B$21)</f>
        <v>4.8950919290671964</v>
      </c>
      <c r="N15" s="2">
        <f t="shared" ca="1" si="0"/>
        <v>0.83301277270182916</v>
      </c>
      <c r="O15" s="2">
        <f ca="1">'final systematics'!$K17*M15</f>
        <v>1.0128723433718538</v>
      </c>
      <c r="P15" s="3">
        <f>'efficiency CS trans'!F15</f>
        <v>0.44500000000000001</v>
      </c>
      <c r="Q15" s="3">
        <f>'acceptance CS trans'!F15</f>
        <v>0.26200000000000001</v>
      </c>
      <c r="R15" s="2">
        <f ca="1">'raw yield'!F15</f>
        <v>29.239000000000001</v>
      </c>
      <c r="S15" s="2">
        <f ca="1">'raw yield'!G15</f>
        <v>5.7256900000000002</v>
      </c>
      <c r="T15" s="15">
        <f t="shared" ca="1" si="1"/>
        <v>4.0069655560597086</v>
      </c>
      <c r="U15" s="2">
        <f t="shared" ca="1" si="2"/>
        <v>0.78465893548601229</v>
      </c>
      <c r="V15" s="2">
        <f ca="1">'final systematics'!$K17*T15</f>
        <v>0.82910487716823988</v>
      </c>
      <c r="W15" s="3">
        <f>'efficiency CS trans'!H15</f>
        <v>0</v>
      </c>
      <c r="X15" s="3">
        <f>'acceptance CS trans'!H15</f>
        <v>0.29599999999999999</v>
      </c>
      <c r="Y15" s="2">
        <f ca="1">'raw yield'!H15</f>
        <v>7.4187700000000003</v>
      </c>
      <c r="Z15" s="2">
        <f ca="1">'raw yield'!I15</f>
        <v>3.1015899999999998</v>
      </c>
      <c r="AA15" s="2" t="e">
        <f t="shared" ca="1" si="3"/>
        <v>#DIV/0!</v>
      </c>
      <c r="AB15" s="2" t="e">
        <f t="shared" ca="1" si="4"/>
        <v>#DIV/0!</v>
      </c>
      <c r="AC15" s="2"/>
      <c r="AD15" s="4">
        <f t="shared" ca="1" si="5"/>
        <v>3.0000000000640625E-5</v>
      </c>
      <c r="AE15" s="3">
        <f t="shared" si="6"/>
        <v>0</v>
      </c>
      <c r="AF15" s="3">
        <f t="shared" ca="1" si="6"/>
        <v>1.1008592109444326</v>
      </c>
      <c r="AG15" s="4">
        <f ca="1">'raw yield'!J15</f>
        <v>0.202379</v>
      </c>
      <c r="AH15" s="4">
        <f ca="1">'raw yield'!K15</f>
        <v>7.7282900000000002E-2</v>
      </c>
      <c r="AI15" s="4" t="e">
        <f t="shared" ca="1" si="7"/>
        <v>#DIV/0!</v>
      </c>
      <c r="AJ15" s="4" t="e">
        <f t="shared" ca="1" si="8"/>
        <v>#DIV/0!</v>
      </c>
      <c r="AK15" s="4" t="e">
        <f t="shared" ca="1" si="9"/>
        <v>#DIV/0!</v>
      </c>
    </row>
    <row r="16" spans="1:37">
      <c r="A16" s="41"/>
      <c r="B16" s="41"/>
      <c r="C16" s="8" t="s">
        <v>24</v>
      </c>
      <c r="D16" s="3">
        <f>ReReco!AO2</f>
        <v>18.831718749999997</v>
      </c>
      <c r="E16" s="3">
        <f>ReReco!AP2</f>
        <v>0.76552460638024744</v>
      </c>
      <c r="F16" s="14">
        <v>0.2</v>
      </c>
      <c r="G16" s="2">
        <v>4.8</v>
      </c>
      <c r="H16" s="2">
        <v>23.5</v>
      </c>
      <c r="I16" s="3">
        <f ca="1">'efficiency CS trans'!D16</f>
        <v>0.35149038399999999</v>
      </c>
      <c r="J16" s="3">
        <f ca="1">'acceptance CS trans'!D16</f>
        <v>0.27185598799999999</v>
      </c>
      <c r="K16" s="2">
        <f ca="1">'raw yield'!D16</f>
        <v>192.94200000000001</v>
      </c>
      <c r="L16" s="2">
        <f ca="1">'raw yield'!E16</f>
        <v>16.0366</v>
      </c>
      <c r="M16" s="2">
        <f t="shared" ca="1" si="10"/>
        <v>2.0053566741826647</v>
      </c>
      <c r="N16" s="2">
        <f t="shared" ca="1" si="0"/>
        <v>0.16667756549220866</v>
      </c>
      <c r="O16" s="2">
        <f ca="1">'final systematics'!$K18*M16</f>
        <v>0.30004178512199653</v>
      </c>
      <c r="P16" s="3">
        <f>'efficiency CS trans'!F16</f>
        <v>0.377</v>
      </c>
      <c r="Q16" s="3">
        <f>'acceptance CS trans'!F16</f>
        <v>0.26200000000000001</v>
      </c>
      <c r="R16" s="2">
        <f ca="1">'raw yield'!F16</f>
        <v>137.012</v>
      </c>
      <c r="S16" s="2">
        <f ca="1">'raw yield'!G16</f>
        <v>15.0991</v>
      </c>
      <c r="T16" s="2">
        <f t="shared" ca="1" si="1"/>
        <v>1.3776318271469166</v>
      </c>
      <c r="U16" s="2">
        <f t="shared" ca="1" si="2"/>
        <v>0.15181882405390776</v>
      </c>
      <c r="V16" s="2">
        <f ca="1">'final systematics'!$K18*T16</f>
        <v>0.20612149348769038</v>
      </c>
      <c r="W16" s="3">
        <f>'efficiency CS trans'!H16</f>
        <v>0.28899999999999998</v>
      </c>
      <c r="X16" s="3">
        <f>'acceptance CS trans'!H16</f>
        <v>0.29599999999999999</v>
      </c>
      <c r="Y16" s="2">
        <f ca="1">'raw yield'!H16</f>
        <v>55.930399999999999</v>
      </c>
      <c r="Z16" s="2">
        <f ca="1">'raw yield'!I16</f>
        <v>10.9504</v>
      </c>
      <c r="AA16" s="15">
        <f t="shared" ca="1" si="3"/>
        <v>0.64934511062358746</v>
      </c>
      <c r="AB16" s="2">
        <f t="shared" ca="1" si="4"/>
        <v>0.12713280611925773</v>
      </c>
      <c r="AC16" s="2">
        <f ca="1">'final systematics'!$K$25*AA16</f>
        <v>0.1053848082752316</v>
      </c>
      <c r="AD16" s="4">
        <f t="shared" ca="1" si="5"/>
        <v>-3.9999999999196234E-4</v>
      </c>
      <c r="AE16" s="3">
        <f t="shared" ca="1" si="6"/>
        <v>0.82221310498212663</v>
      </c>
      <c r="AF16" s="3">
        <f t="shared" ca="1" si="6"/>
        <v>1.0888117719150625</v>
      </c>
      <c r="AG16" s="4">
        <f ca="1">'raw yield'!J16</f>
        <v>0.28988199999999997</v>
      </c>
      <c r="AH16" s="4">
        <f ca="1">'raw yield'!K16</f>
        <v>5.1386599999999998E-2</v>
      </c>
      <c r="AI16" s="31">
        <f t="shared" ca="1" si="7"/>
        <v>0.32380536993775222</v>
      </c>
      <c r="AJ16" s="4">
        <f t="shared" ca="1" si="8"/>
        <v>5.7400104259123702E-2</v>
      </c>
      <c r="AK16" s="4">
        <f t="shared" ca="1" si="9"/>
        <v>6.4761073987550447E-2</v>
      </c>
    </row>
    <row r="17" spans="1:37">
      <c r="A17" s="41"/>
      <c r="B17" s="41"/>
      <c r="C17" s="8" t="s">
        <v>25</v>
      </c>
      <c r="D17" s="3">
        <f>ReReco!AO10</f>
        <v>2.3702092089843747</v>
      </c>
      <c r="E17" s="3">
        <f>ReReco!AP10</f>
        <v>0.11851304934598646</v>
      </c>
      <c r="F17" s="14">
        <v>0.8</v>
      </c>
      <c r="G17" s="2">
        <v>4.8</v>
      </c>
      <c r="H17" s="2">
        <v>23.5</v>
      </c>
      <c r="I17" s="3">
        <f ca="1">'efficiency CS trans'!D17</f>
        <v>0.395100744</v>
      </c>
      <c r="J17" s="3">
        <f ca="1">'acceptance CS trans'!D17</f>
        <v>0.267348472</v>
      </c>
      <c r="K17" s="2">
        <f ca="1">'raw yield'!D17</f>
        <v>204.755</v>
      </c>
      <c r="L17" s="2">
        <f ca="1">'raw yield'!E17</f>
        <v>15.3818</v>
      </c>
      <c r="M17" s="2">
        <f t="shared" ca="1" si="10"/>
        <v>3.8239257616224074</v>
      </c>
      <c r="N17" s="2">
        <f t="shared" ca="1" si="0"/>
        <v>0.28726459075540789</v>
      </c>
      <c r="O17" s="2">
        <f ca="1">'final systematics'!$K19*M17</f>
        <v>0.6318152696824646</v>
      </c>
      <c r="P17" s="3">
        <f>'efficiency CS trans'!F17</f>
        <v>0.40799999999999997</v>
      </c>
      <c r="Q17" s="3">
        <f>'acceptance CS trans'!F17</f>
        <v>0.26200000000000001</v>
      </c>
      <c r="R17" s="2">
        <f ca="1">'raw yield'!F17</f>
        <v>172.54599999999999</v>
      </c>
      <c r="S17" s="2">
        <f ca="1">'raw yield'!G17</f>
        <v>14.903499999999999</v>
      </c>
      <c r="T17" s="2">
        <f t="shared" ca="1" si="1"/>
        <v>3.1842263480603057</v>
      </c>
      <c r="U17" s="2">
        <f t="shared" ca="1" si="2"/>
        <v>0.27503458427501515</v>
      </c>
      <c r="V17" s="2">
        <f ca="1">'final systematics'!$K19*T17</f>
        <v>0.52611974035190234</v>
      </c>
      <c r="W17" s="3">
        <f>'efficiency CS trans'!H17</f>
        <v>0.32600000000000001</v>
      </c>
      <c r="X17" s="3">
        <f>'acceptance CS trans'!H17</f>
        <v>0.29599999999999999</v>
      </c>
      <c r="Y17" s="2">
        <f ca="1">'raw yield'!H17</f>
        <v>32.209800000000001</v>
      </c>
      <c r="Z17" s="2">
        <f ca="1">'raw yield'!I17</f>
        <v>7.7429699999999997</v>
      </c>
      <c r="AA17" s="15">
        <f ca="1">Y17/($D17*$F17*$G17*W17*X17*$B$21)</f>
        <v>0.65847487305897456</v>
      </c>
      <c r="AB17" s="2">
        <f t="shared" ca="1" si="4"/>
        <v>0.15829192319882296</v>
      </c>
      <c r="AC17" s="2">
        <f ca="1">'final systematics'!$K$25*AA17</f>
        <v>0.10686651383997775</v>
      </c>
      <c r="AD17" s="4">
        <f t="shared" ca="1" si="5"/>
        <v>-7.9999999999813554E-4</v>
      </c>
      <c r="AE17" s="3">
        <f t="shared" ca="1" si="6"/>
        <v>0.82510601397399552</v>
      </c>
      <c r="AF17" s="3">
        <f t="shared" ca="1" si="6"/>
        <v>1.1071692229458487</v>
      </c>
      <c r="AG17" s="4">
        <f ca="1">'raw yield'!J17</f>
        <v>0.157308</v>
      </c>
      <c r="AH17" s="4">
        <f ca="1">'raw yield'!K17</f>
        <v>3.5921799999999997E-2</v>
      </c>
      <c r="AI17" s="31">
        <f t="shared" ca="1" si="7"/>
        <v>0.17219758333226881</v>
      </c>
      <c r="AJ17" s="4">
        <f t="shared" ca="1" si="8"/>
        <v>3.9321885402809093E-2</v>
      </c>
      <c r="AK17" s="4">
        <f t="shared" ca="1" si="9"/>
        <v>3.4439516666453764E-2</v>
      </c>
    </row>
    <row r="18" spans="1:37"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37"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1" spans="1:37">
      <c r="A21" t="s">
        <v>41</v>
      </c>
      <c r="B21" s="12">
        <v>55.695692000000001</v>
      </c>
    </row>
    <row r="22" spans="1:37">
      <c r="A22" t="s">
        <v>139</v>
      </c>
      <c r="B22" s="12">
        <v>56.515360999999999</v>
      </c>
    </row>
    <row r="24" spans="1:37">
      <c r="A24" t="s">
        <v>135</v>
      </c>
    </row>
    <row r="25" spans="1:37">
      <c r="A25" s="1" t="s">
        <v>29</v>
      </c>
      <c r="B25" s="1" t="s">
        <v>1</v>
      </c>
      <c r="C25" s="1" t="s">
        <v>30</v>
      </c>
      <c r="K25" s="1" t="s">
        <v>142</v>
      </c>
      <c r="L25" s="1" t="s">
        <v>4</v>
      </c>
      <c r="M25" s="11" t="s">
        <v>37</v>
      </c>
      <c r="N25" s="11" t="s">
        <v>4</v>
      </c>
      <c r="O25" s="11" t="s">
        <v>38</v>
      </c>
    </row>
    <row r="26" spans="1:37">
      <c r="A26" s="49" t="s">
        <v>126</v>
      </c>
      <c r="B26" s="1" t="s">
        <v>128</v>
      </c>
      <c r="C26" s="42" t="s">
        <v>10</v>
      </c>
      <c r="D26" s="3">
        <f>ReReco!U$42</f>
        <v>5.6625111171875</v>
      </c>
      <c r="E26" s="2"/>
      <c r="F26" s="2">
        <v>1</v>
      </c>
      <c r="G26" s="2">
        <v>4.8</v>
      </c>
      <c r="H26" s="2">
        <v>6.5</v>
      </c>
      <c r="I26" s="3">
        <f>'[3]syst efficiency'!$D30</f>
        <v>0.54500000000000004</v>
      </c>
      <c r="J26" s="3">
        <f>'[3]syst acceptance'!$C$21</f>
        <v>0.19</v>
      </c>
      <c r="K26">
        <v>44.410499999999999</v>
      </c>
      <c r="L26">
        <v>8.5847599999999993</v>
      </c>
      <c r="M26" s="3">
        <f>K26/($D26*$F26*$G26*I26*J26*$B$21)</f>
        <v>0.28331113906430017</v>
      </c>
      <c r="N26" s="3">
        <f>L26/K26*M26</f>
        <v>5.4765385082213472E-2</v>
      </c>
      <c r="O26" s="3">
        <f>'[3]final systematics'!$K38*M26</f>
        <v>5.1685968379437348E-2</v>
      </c>
    </row>
    <row r="27" spans="1:37">
      <c r="A27" s="49"/>
      <c r="B27" s="1" t="s">
        <v>129</v>
      </c>
      <c r="C27" s="42"/>
      <c r="D27" s="3">
        <f>ReReco!U$42</f>
        <v>5.6625111171875</v>
      </c>
      <c r="E27" s="2"/>
      <c r="F27" s="2">
        <v>1</v>
      </c>
      <c r="G27" s="2">
        <v>4.8</v>
      </c>
      <c r="H27" s="2">
        <v>3.5</v>
      </c>
      <c r="I27" s="3">
        <f>'[3]syst efficiency'!$D31</f>
        <v>0.52700000000000002</v>
      </c>
      <c r="J27" s="3">
        <f>'[3]syst acceptance'!$C$23</f>
        <v>0.23499999999999999</v>
      </c>
      <c r="K27">
        <v>18.543500000000002</v>
      </c>
      <c r="L27">
        <v>5.4721299999999999</v>
      </c>
      <c r="M27" s="3">
        <f t="shared" ref="M27:M34" si="11">K27/($D27*$F27*$G27*I27*J27*$B$21)</f>
        <v>9.8910255068349426E-2</v>
      </c>
      <c r="N27" s="3">
        <f t="shared" ref="N27:N34" si="12">L27/K27*M27</f>
        <v>2.9188113035142602E-2</v>
      </c>
      <c r="O27" s="3">
        <f>'[3]final systematics'!$K39*M27</f>
        <v>1.8473586344581672E-2</v>
      </c>
    </row>
    <row r="28" spans="1:37">
      <c r="A28" s="49"/>
      <c r="B28" s="11" t="s">
        <v>136</v>
      </c>
      <c r="C28" s="42"/>
      <c r="D28" s="3">
        <f>ReReco!U$42</f>
        <v>5.6625111171875</v>
      </c>
      <c r="E28" s="2"/>
      <c r="F28" s="2">
        <v>1</v>
      </c>
      <c r="G28" s="2">
        <v>4.8</v>
      </c>
      <c r="H28" s="2">
        <v>10</v>
      </c>
      <c r="I28" s="3">
        <f>'[3]syst efficiency'!$D32</f>
        <v>0.56100000000000005</v>
      </c>
      <c r="J28" s="3">
        <f>'[3]syst acceptance'!$C$24</f>
        <v>0.4</v>
      </c>
      <c r="K28">
        <v>23.6144</v>
      </c>
      <c r="L28">
        <v>5.6167899999999999</v>
      </c>
      <c r="M28" s="3">
        <f t="shared" si="11"/>
        <v>6.9515580458556214E-2</v>
      </c>
      <c r="N28" s="3">
        <f t="shared" si="12"/>
        <v>1.6534589791136506E-2</v>
      </c>
      <c r="O28" s="3">
        <f>'[3]final systematics'!$K40*M28</f>
        <v>1.2243858147717472E-2</v>
      </c>
    </row>
    <row r="29" spans="1:37">
      <c r="A29" s="49"/>
      <c r="B29" s="11" t="s">
        <v>137</v>
      </c>
      <c r="C29" s="42"/>
      <c r="D29" s="3">
        <f>ReReco!U$42</f>
        <v>5.6625111171875</v>
      </c>
      <c r="E29" s="2"/>
      <c r="F29" s="2">
        <v>1</v>
      </c>
      <c r="G29" s="2">
        <v>4.8</v>
      </c>
      <c r="H29" s="2">
        <v>20</v>
      </c>
      <c r="I29" s="3">
        <f>'[3]syst efficiency'!$D33</f>
        <v>0.59</v>
      </c>
      <c r="J29" s="3">
        <f>'[3]syst acceptance'!$C$22</f>
        <v>0.216</v>
      </c>
      <c r="K29">
        <v>86.328599999999994</v>
      </c>
      <c r="L29">
        <v>11.6915</v>
      </c>
      <c r="M29" s="30">
        <f t="shared" si="11"/>
        <v>0.44748349957683048</v>
      </c>
      <c r="N29" s="3">
        <f t="shared" si="12"/>
        <v>6.0602782105843411E-2</v>
      </c>
      <c r="O29" s="3">
        <f>'[3]final systematics'!$K41*M29</f>
        <v>8.2509868505309183E-2</v>
      </c>
    </row>
    <row r="30" spans="1:37">
      <c r="A30" s="7" t="s">
        <v>130</v>
      </c>
      <c r="B30" s="45" t="s">
        <v>137</v>
      </c>
      <c r="C30" s="42" t="s">
        <v>10</v>
      </c>
      <c r="D30" s="3">
        <f>ReReco!U$42</f>
        <v>5.6625111171875</v>
      </c>
      <c r="E30" s="2"/>
      <c r="F30" s="2">
        <v>1</v>
      </c>
      <c r="G30" s="2">
        <v>2.4</v>
      </c>
      <c r="H30" s="2">
        <v>20</v>
      </c>
      <c r="I30" s="3">
        <f>'[3]syst efficiency'!$D34</f>
        <v>0.53700000000000003</v>
      </c>
      <c r="J30" s="3">
        <f>'[3]syst acceptance'!$C$25</f>
        <v>0.23799999999999999</v>
      </c>
      <c r="K30">
        <v>47.967100000000002</v>
      </c>
      <c r="L30">
        <v>8.7989899999999999</v>
      </c>
      <c r="M30" s="29">
        <f t="shared" si="11"/>
        <v>0.49584998704578942</v>
      </c>
      <c r="N30" s="3">
        <f t="shared" si="12"/>
        <v>9.0957741400168657E-2</v>
      </c>
      <c r="O30" s="3">
        <f>'[3]final systematics'!$K42*M30</f>
        <v>9.0604096791037175E-2</v>
      </c>
    </row>
    <row r="31" spans="1:37">
      <c r="A31" s="27" t="s">
        <v>138</v>
      </c>
      <c r="B31" s="45"/>
      <c r="C31" s="42"/>
      <c r="D31" s="3">
        <f>ReReco!U$42</f>
        <v>5.6625111171875</v>
      </c>
      <c r="E31" s="2"/>
      <c r="F31" s="2">
        <v>1</v>
      </c>
      <c r="G31" s="2">
        <v>2.4</v>
      </c>
      <c r="H31" s="2">
        <v>20</v>
      </c>
      <c r="I31" s="3">
        <f>'[3]syst efficiency'!$D35</f>
        <v>0.55800000000000005</v>
      </c>
      <c r="J31" s="3">
        <f>'[3]syst acceptance'!$C$26</f>
        <v>0.188</v>
      </c>
      <c r="K31">
        <v>39.5276</v>
      </c>
      <c r="L31">
        <v>7.7267000000000001</v>
      </c>
      <c r="M31" s="29">
        <f t="shared" si="11"/>
        <v>0.49781328715119322</v>
      </c>
      <c r="N31" s="3">
        <f t="shared" si="12"/>
        <v>9.7310586168427249E-2</v>
      </c>
      <c r="O31" s="3">
        <f>'[3]final systematics'!$K43*M31</f>
        <v>9.205447488666374E-2</v>
      </c>
    </row>
    <row r="32" spans="1:37">
      <c r="A32" s="44" t="s">
        <v>126</v>
      </c>
      <c r="B32" s="45" t="s">
        <v>137</v>
      </c>
      <c r="C32" s="8" t="s">
        <v>18</v>
      </c>
      <c r="D32" s="3">
        <f>ReReco!U2</f>
        <v>23.185742187499997</v>
      </c>
      <c r="E32" s="2"/>
      <c r="F32" s="2">
        <v>0.1</v>
      </c>
      <c r="G32" s="2">
        <v>4.8</v>
      </c>
      <c r="H32" s="2">
        <v>20</v>
      </c>
      <c r="I32" s="3">
        <f>'[3]syst efficiency'!$D36</f>
        <v>0.51700000000000002</v>
      </c>
      <c r="J32" s="3">
        <f>'[3]syst acceptance'!$C$22</f>
        <v>0.216</v>
      </c>
      <c r="K32">
        <v>23.990500000000001</v>
      </c>
      <c r="L32">
        <v>6.6101400000000003</v>
      </c>
      <c r="M32" s="30">
        <f t="shared" si="11"/>
        <v>0.34658611593338096</v>
      </c>
      <c r="N32" s="3">
        <f t="shared" si="12"/>
        <v>9.5495414784013619E-2</v>
      </c>
      <c r="O32" s="3">
        <f>'[3]final systematics'!$K44*M32</f>
        <v>6.9373812139812238E-2</v>
      </c>
    </row>
    <row r="33" spans="1:15">
      <c r="A33" s="44"/>
      <c r="B33" s="45"/>
      <c r="C33" s="8" t="s">
        <v>19</v>
      </c>
      <c r="D33" s="3">
        <f>ReReco!U6</f>
        <v>14.4776953125</v>
      </c>
      <c r="E33" s="2"/>
      <c r="F33" s="2">
        <v>0.1</v>
      </c>
      <c r="G33" s="2">
        <v>4.8</v>
      </c>
      <c r="H33" s="2">
        <v>20</v>
      </c>
      <c r="I33" s="3">
        <f>'[3]syst efficiency'!$D37</f>
        <v>0.55800000000000005</v>
      </c>
      <c r="J33" s="3">
        <f>'[3]syst acceptance'!$C$22</f>
        <v>0.216</v>
      </c>
      <c r="K33">
        <v>30.011399999999998</v>
      </c>
      <c r="L33">
        <v>6.7252299999999998</v>
      </c>
      <c r="M33" s="30">
        <f t="shared" si="11"/>
        <v>0.64333329884342161</v>
      </c>
      <c r="N33" s="3">
        <f t="shared" si="12"/>
        <v>0.14416403104756009</v>
      </c>
      <c r="O33" s="3">
        <f>'[3]final systematics'!$K45*M33</f>
        <v>0.11803573726830351</v>
      </c>
    </row>
    <row r="34" spans="1:15">
      <c r="A34" s="44"/>
      <c r="B34" s="45"/>
      <c r="C34" s="8" t="s">
        <v>25</v>
      </c>
      <c r="D34" s="3">
        <f>ReReco!AO10</f>
        <v>2.3702092089843747</v>
      </c>
      <c r="E34" s="2"/>
      <c r="F34" s="2">
        <v>0.8</v>
      </c>
      <c r="G34" s="2">
        <v>4.8</v>
      </c>
      <c r="H34" s="2">
        <v>20</v>
      </c>
      <c r="I34" s="3">
        <f>'[3]syst efficiency'!$D38</f>
        <v>0.56499999999999995</v>
      </c>
      <c r="J34" s="3">
        <f>'[3]syst acceptance'!$C$22</f>
        <v>0.216</v>
      </c>
      <c r="K34">
        <v>32.000300000000003</v>
      </c>
      <c r="L34">
        <v>6.9220100000000002</v>
      </c>
      <c r="M34" s="30">
        <f t="shared" si="11"/>
        <v>0.51726410380410115</v>
      </c>
      <c r="N34" s="3">
        <f t="shared" si="12"/>
        <v>0.11188980413224332</v>
      </c>
      <c r="O34" s="3">
        <f>'[3]final systematics'!$K46*M34</f>
        <v>0.10093050319718043</v>
      </c>
    </row>
  </sheetData>
  <mergeCells count="12">
    <mergeCell ref="A26:A29"/>
    <mergeCell ref="C26:C29"/>
    <mergeCell ref="B30:B31"/>
    <mergeCell ref="C30:C31"/>
    <mergeCell ref="A32:A34"/>
    <mergeCell ref="B32:B34"/>
    <mergeCell ref="A2:A4"/>
    <mergeCell ref="C2:C9"/>
    <mergeCell ref="A6:A7"/>
    <mergeCell ref="A8:A9"/>
    <mergeCell ref="A10:A17"/>
    <mergeCell ref="B10:B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showRuler="0" workbookViewId="0">
      <pane xSplit="3" ySplit="1" topLeftCell="G2" activePane="bottomRight" state="frozen"/>
      <selection activeCell="M2" sqref="M2:O16"/>
      <selection pane="topRight" activeCell="M2" sqref="M2:O16"/>
      <selection pane="bottomLeft" activeCell="M2" sqref="M2:O16"/>
      <selection pane="bottomRight" activeCell="O2" sqref="O2"/>
    </sheetView>
  </sheetViews>
  <sheetFormatPr baseColWidth="10" defaultRowHeight="15" x14ac:dyDescent="0"/>
  <cols>
    <col min="14" max="14" width="10.83203125" customWidth="1"/>
  </cols>
  <sheetData>
    <row r="1" spans="1:37">
      <c r="A1" s="11" t="s">
        <v>29</v>
      </c>
      <c r="B1" s="11" t="s">
        <v>1</v>
      </c>
      <c r="C1" s="11" t="s">
        <v>30</v>
      </c>
      <c r="D1" s="11" t="s">
        <v>31</v>
      </c>
      <c r="E1" s="11" t="s">
        <v>4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97</v>
      </c>
      <c r="L1" s="11" t="s">
        <v>4</v>
      </c>
      <c r="M1" s="11" t="s">
        <v>37</v>
      </c>
      <c r="N1" s="11" t="s">
        <v>4</v>
      </c>
      <c r="O1" s="11" t="s">
        <v>38</v>
      </c>
      <c r="P1" s="11" t="s">
        <v>35</v>
      </c>
      <c r="Q1" s="11" t="s">
        <v>36</v>
      </c>
      <c r="R1" s="11" t="s">
        <v>98</v>
      </c>
      <c r="S1" s="11"/>
      <c r="T1" s="11" t="s">
        <v>39</v>
      </c>
      <c r="U1" s="11" t="s">
        <v>4</v>
      </c>
      <c r="V1" s="11" t="s">
        <v>38</v>
      </c>
      <c r="W1" s="11" t="s">
        <v>35</v>
      </c>
      <c r="X1" s="11" t="s">
        <v>36</v>
      </c>
      <c r="Y1" s="11" t="s">
        <v>99</v>
      </c>
      <c r="Z1" s="11"/>
      <c r="AA1" s="11" t="s">
        <v>100</v>
      </c>
      <c r="AB1" s="11" t="s">
        <v>4</v>
      </c>
      <c r="AC1" s="11" t="s">
        <v>38</v>
      </c>
      <c r="AD1" s="11" t="s">
        <v>40</v>
      </c>
      <c r="AE1" s="11" t="s">
        <v>145</v>
      </c>
      <c r="AF1" s="11" t="s">
        <v>146</v>
      </c>
      <c r="AG1" s="11" t="s">
        <v>143</v>
      </c>
      <c r="AH1" s="11" t="s">
        <v>4</v>
      </c>
      <c r="AI1" s="11" t="s">
        <v>144</v>
      </c>
      <c r="AJ1" s="11" t="s">
        <v>4</v>
      </c>
      <c r="AK1" s="11" t="s">
        <v>38</v>
      </c>
    </row>
    <row r="2" spans="1:37">
      <c r="A2" s="41" t="s">
        <v>8</v>
      </c>
      <c r="B2" s="1" t="s">
        <v>9</v>
      </c>
      <c r="C2" s="42" t="s">
        <v>10</v>
      </c>
      <c r="D2" s="3">
        <f>ReReco!U$42</f>
        <v>5.6625111171875</v>
      </c>
      <c r="E2" s="3">
        <f>ReReco!V$42</f>
        <v>0.18008369263408391</v>
      </c>
      <c r="F2" s="14">
        <v>1</v>
      </c>
      <c r="G2" s="2">
        <v>4.8</v>
      </c>
      <c r="H2" s="2">
        <v>23.5</v>
      </c>
      <c r="I2" s="3">
        <f ca="1">'efficiency CS long'!D2</f>
        <v>0.34933384499999998</v>
      </c>
      <c r="J2" s="3">
        <f ca="1">'acceptance CS long'!D2</f>
        <v>0.32350438999999998</v>
      </c>
      <c r="K2" s="2">
        <f ca="1">'raw yield'!D2</f>
        <v>396.46899999999999</v>
      </c>
      <c r="L2" s="2">
        <f ca="1">'raw yield'!E2</f>
        <v>23.965599999999998</v>
      </c>
      <c r="M2" s="15">
        <f ca="1">K2/($D2*$F2*$G2*I2*J2*$B$21)</f>
        <v>2.3174826078741253</v>
      </c>
      <c r="N2" s="2">
        <f ca="1">L2/K2*M2</f>
        <v>0.14008626446775949</v>
      </c>
      <c r="O2" s="2">
        <f ca="1">'final systematics'!$K4*M2</f>
        <v>0.35690880420309234</v>
      </c>
      <c r="P2" s="3">
        <f>'efficiency CS long'!F2</f>
        <v>0.374</v>
      </c>
      <c r="Q2" s="3">
        <f>'acceptance CS long'!F2</f>
        <v>0.314</v>
      </c>
      <c r="R2" s="2">
        <f ca="1">'raw yield'!F2</f>
        <v>306.75</v>
      </c>
      <c r="S2" s="2">
        <f ca="1">'raw yield'!G2</f>
        <v>22.272500000000001</v>
      </c>
      <c r="T2" s="15">
        <f ca="1">R2/($D2*$F2*$G2*P2*Q2*$B$21)</f>
        <v>1.7254858882658008</v>
      </c>
      <c r="U2" s="2">
        <f ca="1">S2/R2*T2</f>
        <v>0.12528405687497979</v>
      </c>
      <c r="V2" s="2">
        <f ca="1">'final systematics'!$K4*T2</f>
        <v>0.26573709893563402</v>
      </c>
      <c r="W2" s="3">
        <f>'efficiency CS long'!H2</f>
        <v>0.26500000000000001</v>
      </c>
      <c r="X2" s="3">
        <f>'acceptance CS long'!H2</f>
        <v>0.35599999999999998</v>
      </c>
      <c r="Y2" s="2">
        <f ca="1">'raw yield'!H2</f>
        <v>89.719099999999997</v>
      </c>
      <c r="Z2" s="2">
        <f ca="1">'raw yield'!I2</f>
        <v>13.478199999999999</v>
      </c>
      <c r="AA2" s="15">
        <f ca="1">Y2/($D2*$F2*$G2*W2*X2*$B$21)</f>
        <v>0.62822776601212682</v>
      </c>
      <c r="AB2" s="2">
        <f ca="1">Z2/Y2*AA2</f>
        <v>9.43765538872397E-2</v>
      </c>
      <c r="AC2" s="2">
        <f ca="1">'final systematics'!$K$22*AA2</f>
        <v>9.6985541894284599E-2</v>
      </c>
      <c r="AD2" s="4">
        <f ca="1">K2-R2-Y2</f>
        <v>-1.0000000000331966E-4</v>
      </c>
      <c r="AE2" s="3">
        <f ca="1">W2/I2</f>
        <v>0.75858667516169254</v>
      </c>
      <c r="AF2" s="3">
        <f ca="1">X2/J2</f>
        <v>1.1004487450695801</v>
      </c>
      <c r="AG2" s="4">
        <f ca="1">'raw yield'!J2</f>
        <v>0.226295</v>
      </c>
      <c r="AH2" s="4">
        <f ca="1">'raw yield'!K2</f>
        <v>3.1122199999999999E-2</v>
      </c>
      <c r="AI2" s="31">
        <f ca="1">AG2/(AE2*AF2)</f>
        <v>0.27108153046898165</v>
      </c>
      <c r="AJ2" s="4">
        <f ca="1">AH2/AG2*AI2</f>
        <v>3.7281661581394822E-2</v>
      </c>
      <c r="AK2" s="4">
        <f ca="1">0.2*AI2</f>
        <v>5.4216306093796331E-2</v>
      </c>
    </row>
    <row r="3" spans="1:37">
      <c r="A3" s="41"/>
      <c r="B3" s="1" t="s">
        <v>11</v>
      </c>
      <c r="C3" s="42"/>
      <c r="D3" s="3">
        <f>ReReco!U$42</f>
        <v>5.6625111171875</v>
      </c>
      <c r="E3" s="3">
        <f>ReReco!V$42</f>
        <v>0.18008369263408391</v>
      </c>
      <c r="F3" s="14">
        <v>1</v>
      </c>
      <c r="G3" s="2">
        <v>4.8</v>
      </c>
      <c r="H3" s="2">
        <v>3.5</v>
      </c>
      <c r="I3" s="3">
        <f>'efficiency CS long'!D3</f>
        <v>0.33800000000000002</v>
      </c>
      <c r="J3" s="3">
        <f ca="1">'acceptance CS long'!D3</f>
        <v>0.27160818999999997</v>
      </c>
      <c r="K3" s="2">
        <f ca="1">'raw yield'!D3</f>
        <v>260.846</v>
      </c>
      <c r="L3" s="2">
        <f ca="1">'raw yield'!E3</f>
        <v>19.561399999999999</v>
      </c>
      <c r="M3" s="2">
        <f ca="1">K3/($D3*$F3*$G3*I3*J3*$B$21)</f>
        <v>1.8769500289567922</v>
      </c>
      <c r="N3" s="2">
        <f t="shared" ref="N3:N17" ca="1" si="0">L3/K3*M3</f>
        <v>0.14075650114027199</v>
      </c>
      <c r="O3" s="2">
        <f ca="1">'final systematics'!$K5*M3</f>
        <v>0.29376218784196628</v>
      </c>
      <c r="P3" s="3">
        <f>'efficiency CS long'!F3</f>
        <v>0.33800000000000002</v>
      </c>
      <c r="Q3" s="3">
        <f>'acceptance CS long'!F3</f>
        <v>0.26800000000000002</v>
      </c>
      <c r="R3" s="2">
        <f ca="1">'raw yield'!F3</f>
        <v>208.55799999999999</v>
      </c>
      <c r="S3" s="2">
        <f ca="1">'raw yield'!G3</f>
        <v>18.416599999999999</v>
      </c>
      <c r="T3" s="2">
        <f t="shared" ref="T3:T17" ca="1" si="1">R3/($D3*$F3*$G3*P3*Q3*$B$21)</f>
        <v>1.5209097703415793</v>
      </c>
      <c r="U3" s="2">
        <f t="shared" ref="U3:U17" ca="1" si="2">S3/R3*T3</f>
        <v>0.1343031045391341</v>
      </c>
      <c r="V3" s="2">
        <f ca="1">'final systematics'!$K5*T3</f>
        <v>0.23803818682060923</v>
      </c>
      <c r="W3" s="3">
        <f>'efficiency CS long'!H3</f>
        <v>0</v>
      </c>
      <c r="X3" s="3">
        <f>'acceptance CS long'!H3</f>
        <v>0.28599999999999998</v>
      </c>
      <c r="Y3" s="2">
        <f ca="1">'raw yield'!H3</f>
        <v>52.287999999999997</v>
      </c>
      <c r="Z3" s="2">
        <f ca="1">'raw yield'!I3</f>
        <v>10.4848</v>
      </c>
      <c r="AA3" s="2" t="e">
        <f t="shared" ref="AA3:AA16" ca="1" si="3">Y3/($D3*$F3*$G3*W3*X3*$B$21)</f>
        <v>#DIV/0!</v>
      </c>
      <c r="AB3" s="2" t="e">
        <f t="shared" ref="AB3:AB17" ca="1" si="4">Z3/Y3*AA3</f>
        <v>#DIV/0!</v>
      </c>
      <c r="AC3" s="2"/>
      <c r="AD3" s="4">
        <f t="shared" ref="AD3:AD17" ca="1" si="5">K3-R3-Y3</f>
        <v>0</v>
      </c>
      <c r="AE3" s="3">
        <f t="shared" ref="AE3:AF17" si="6">W3/I3</f>
        <v>0</v>
      </c>
      <c r="AF3" s="3">
        <f t="shared" ca="1" si="6"/>
        <v>1.0529873933477485</v>
      </c>
      <c r="AG3" s="4">
        <f ca="1">'raw yield'!J3</f>
        <v>0.20045499999999999</v>
      </c>
      <c r="AH3" s="4">
        <f ca="1">'raw yield'!K3</f>
        <v>3.72783E-2</v>
      </c>
      <c r="AI3" s="4" t="e">
        <f t="shared" ref="AI3:AI17" ca="1" si="7">AG3/(AE3*AF3)</f>
        <v>#DIV/0!</v>
      </c>
      <c r="AJ3" s="4" t="e">
        <f t="shared" ref="AJ3:AJ17" ca="1" si="8">AH3/AG3*AI3</f>
        <v>#DIV/0!</v>
      </c>
      <c r="AK3" s="4" t="e">
        <f t="shared" ref="AK3:AK17" ca="1" si="9">0.2*AI3</f>
        <v>#DIV/0!</v>
      </c>
    </row>
    <row r="4" spans="1:37">
      <c r="A4" s="41"/>
      <c r="B4" s="1" t="s">
        <v>12</v>
      </c>
      <c r="C4" s="42"/>
      <c r="D4" s="3">
        <f>ReReco!U$42</f>
        <v>5.6625111171875</v>
      </c>
      <c r="E4" s="3">
        <f>ReReco!V$42</f>
        <v>0.18008369263408391</v>
      </c>
      <c r="F4" s="14">
        <v>1</v>
      </c>
      <c r="G4" s="2">
        <v>4.8</v>
      </c>
      <c r="H4" s="2">
        <v>20</v>
      </c>
      <c r="I4" s="3">
        <f>'efficiency CS long'!D4</f>
        <v>0.48199999999999998</v>
      </c>
      <c r="J4" s="3">
        <f ca="1">'acceptance CS long'!D4</f>
        <v>0.55458227999999998</v>
      </c>
      <c r="K4" s="2">
        <f ca="1">'raw yield'!D4</f>
        <v>137.767</v>
      </c>
      <c r="L4" s="2">
        <f ca="1">'raw yield'!E4</f>
        <v>13.886200000000001</v>
      </c>
      <c r="M4" s="2">
        <f t="shared" ref="M4:M17" ca="1" si="10">K4/($D4*$F4*$G4*I4*J4*$B$21)</f>
        <v>0.34045542974174531</v>
      </c>
      <c r="N4" s="2">
        <f t="shared" ca="1" si="0"/>
        <v>3.4316143840541088E-2</v>
      </c>
      <c r="O4" s="2">
        <f ca="1">'final systematics'!$K6*M4</f>
        <v>5.1506016430207725E-2</v>
      </c>
      <c r="P4" s="3">
        <f>'efficiency CS long'!F4</f>
        <v>0.48199999999999998</v>
      </c>
      <c r="Q4" s="3">
        <f>'acceptance CS long'!F4</f>
        <v>0.54600000000000004</v>
      </c>
      <c r="R4" s="2">
        <f ca="1">'raw yield'!F4</f>
        <v>102.992</v>
      </c>
      <c r="S4" s="2">
        <f ca="1">'raw yield'!G4</f>
        <v>12.436199999999999</v>
      </c>
      <c r="T4" s="2">
        <f t="shared" ca="1" si="1"/>
        <v>0.25851866319950839</v>
      </c>
      <c r="U4" s="2">
        <f t="shared" ca="1" si="2"/>
        <v>3.1215917734209706E-2</v>
      </c>
      <c r="V4" s="2">
        <f ca="1">'final systematics'!$K6*T4</f>
        <v>3.9110160541042334E-2</v>
      </c>
      <c r="W4" s="3">
        <f>'efficiency CS long'!H4</f>
        <v>0</v>
      </c>
      <c r="X4" s="3">
        <f>'acceptance CS long'!H4</f>
        <v>0.57999999999999996</v>
      </c>
      <c r="Y4" s="2">
        <f ca="1">'raw yield'!H4</f>
        <v>34.774999999999999</v>
      </c>
      <c r="Z4" s="2">
        <f ca="1">'raw yield'!I4</f>
        <v>7.6928000000000001</v>
      </c>
      <c r="AA4" s="2" t="e">
        <f t="shared" ca="1" si="3"/>
        <v>#DIV/0!</v>
      </c>
      <c r="AB4" s="2" t="e">
        <f t="shared" ca="1" si="4"/>
        <v>#DIV/0!</v>
      </c>
      <c r="AC4" s="2"/>
      <c r="AD4" s="4">
        <f t="shared" ca="1" si="5"/>
        <v>0</v>
      </c>
      <c r="AE4" s="3">
        <f t="shared" si="6"/>
        <v>0</v>
      </c>
      <c r="AF4" s="3">
        <f t="shared" ca="1" si="6"/>
        <v>1.0458321892289815</v>
      </c>
      <c r="AG4" s="4">
        <f ca="1">'raw yield'!J4</f>
        <v>0.25241999999999998</v>
      </c>
      <c r="AH4" s="4">
        <f ca="1">'raw yield'!K4</f>
        <v>4.9706199999999999E-2</v>
      </c>
      <c r="AI4" s="4" t="e">
        <f t="shared" ca="1" si="7"/>
        <v>#DIV/0!</v>
      </c>
      <c r="AJ4" s="4" t="e">
        <f t="shared" ca="1" si="8"/>
        <v>#DIV/0!</v>
      </c>
      <c r="AK4" s="4" t="e">
        <f t="shared" ca="1" si="9"/>
        <v>#DIV/0!</v>
      </c>
    </row>
    <row r="5" spans="1:37">
      <c r="A5" s="7" t="s">
        <v>13</v>
      </c>
      <c r="B5" s="1" t="s">
        <v>9</v>
      </c>
      <c r="C5" s="42"/>
      <c r="D5" s="3">
        <f>ReReco!U$42</f>
        <v>5.6625111171875</v>
      </c>
      <c r="E5" s="3">
        <f>ReReco!V$42</f>
        <v>0.18008369263408391</v>
      </c>
      <c r="F5" s="14">
        <v>1</v>
      </c>
      <c r="G5" s="2">
        <v>2.4</v>
      </c>
      <c r="H5" s="2">
        <v>23.5</v>
      </c>
      <c r="I5" s="3">
        <f>'efficiency CS long'!D5</f>
        <v>0.373</v>
      </c>
      <c r="J5" s="3">
        <f ca="1">'acceptance CS long'!D5</f>
        <v>0.25663710000000001</v>
      </c>
      <c r="K5" s="2">
        <f ca="1">'raw yield'!D5</f>
        <v>174.33199999999999</v>
      </c>
      <c r="L5" s="2">
        <f ca="1">'raw yield'!E5</f>
        <v>16.419899999999998</v>
      </c>
      <c r="M5" s="28">
        <f t="shared" ca="1" si="10"/>
        <v>2.4060626307225634</v>
      </c>
      <c r="N5" s="2">
        <f t="shared" ca="1" si="0"/>
        <v>0.22662108958883864</v>
      </c>
      <c r="O5" s="2">
        <f ca="1">'final systematics'!$K7*M5</f>
        <v>0.38728707775541538</v>
      </c>
      <c r="P5" s="3">
        <f>'efficiency CS long'!F5</f>
        <v>0.373</v>
      </c>
      <c r="Q5" s="3">
        <f>'acceptance CS long'!F5</f>
        <v>0.246</v>
      </c>
      <c r="R5" s="2">
        <f ca="1">'raw yield'!F5</f>
        <v>137.244</v>
      </c>
      <c r="S5" s="2">
        <f ca="1">'raw yield'!G5</f>
        <v>15.0952</v>
      </c>
      <c r="T5" s="28">
        <f ca="1">R5/($D5*$F5*$G5*P5*Q5*$B$21)</f>
        <v>1.9760936135466478</v>
      </c>
      <c r="U5" s="2">
        <f t="shared" ca="1" si="2"/>
        <v>0.2173466841188639</v>
      </c>
      <c r="V5" s="2">
        <f ca="1">'final systematics'!$K7*T5</f>
        <v>0.31807797153301398</v>
      </c>
      <c r="W5" s="3">
        <f>'efficiency CS long'!H5</f>
        <v>0</v>
      </c>
      <c r="X5" s="3">
        <f>'acceptance CS long'!H5</f>
        <v>0.29599999999999999</v>
      </c>
      <c r="Y5" s="2">
        <f ca="1">'raw yield'!H5</f>
        <v>37.087800000000001</v>
      </c>
      <c r="Z5" s="2">
        <f ca="1">'raw yield'!I5</f>
        <v>8.5421600000000009</v>
      </c>
      <c r="AA5" s="28" t="e">
        <f t="shared" ca="1" si="3"/>
        <v>#DIV/0!</v>
      </c>
      <c r="AB5" s="2" t="e">
        <f t="shared" ca="1" si="4"/>
        <v>#DIV/0!</v>
      </c>
      <c r="AC5" s="2"/>
      <c r="AD5" s="4">
        <f t="shared" ca="1" si="5"/>
        <v>1.9999999999242846E-4</v>
      </c>
      <c r="AE5" s="3">
        <f t="shared" si="6"/>
        <v>0</v>
      </c>
      <c r="AF5" s="3">
        <f t="shared" ca="1" si="6"/>
        <v>1.1533796165870016</v>
      </c>
      <c r="AG5" s="4">
        <f ca="1">'raw yield'!J5</f>
        <v>0.21274199999999999</v>
      </c>
      <c r="AH5" s="4">
        <f ca="1">'raw yield'!K5</f>
        <v>4.4714999999999998E-2</v>
      </c>
      <c r="AI5" s="32" t="e">
        <f t="shared" ca="1" si="7"/>
        <v>#DIV/0!</v>
      </c>
      <c r="AJ5" s="4" t="e">
        <f t="shared" ca="1" si="8"/>
        <v>#DIV/0!</v>
      </c>
      <c r="AK5" s="4" t="e">
        <f t="shared" ca="1" si="9"/>
        <v>#DIV/0!</v>
      </c>
    </row>
    <row r="6" spans="1:37">
      <c r="A6" s="41" t="s">
        <v>14</v>
      </c>
      <c r="B6" s="1" t="s">
        <v>9</v>
      </c>
      <c r="C6" s="42"/>
      <c r="D6" s="3">
        <f>ReReco!U$42</f>
        <v>5.6625111171875</v>
      </c>
      <c r="E6" s="3">
        <f>ReReco!V$42</f>
        <v>0.18008369263408391</v>
      </c>
      <c r="F6" s="14">
        <v>1</v>
      </c>
      <c r="G6" s="2">
        <v>0.8</v>
      </c>
      <c r="H6" s="2">
        <v>23.5</v>
      </c>
      <c r="I6" s="3">
        <f>'efficiency CS long'!D6</f>
        <v>0.40899999999999997</v>
      </c>
      <c r="J6" s="3">
        <f ca="1">'acceptance CS long'!D6</f>
        <v>0.434859616</v>
      </c>
      <c r="K6" s="2">
        <f ca="1">'raw yield'!D6</f>
        <v>90.325299999999999</v>
      </c>
      <c r="L6" s="2">
        <f ca="1">'raw yield'!E6</f>
        <v>11.1724</v>
      </c>
      <c r="M6" s="28">
        <f t="shared" ca="1" si="10"/>
        <v>2.0128729688946527</v>
      </c>
      <c r="N6" s="2">
        <f t="shared" ca="1" si="0"/>
        <v>0.24897367578827434</v>
      </c>
      <c r="O6" s="2">
        <f ca="1">'final systematics'!$K8*M6</f>
        <v>0.30957977045867319</v>
      </c>
      <c r="P6" s="3">
        <f>'efficiency CS long'!F6</f>
        <v>0.40899999999999997</v>
      </c>
      <c r="Q6" s="3">
        <f>'acceptance CS long'!F6</f>
        <v>0.42699999999999999</v>
      </c>
      <c r="R6" s="2">
        <f ca="1">'raw yield'!F6</f>
        <v>71.643100000000004</v>
      </c>
      <c r="S6" s="2">
        <f ca="1">'raw yield'!G6</f>
        <v>10.733499999999999</v>
      </c>
      <c r="T6" s="28">
        <f t="shared" ca="1" si="1"/>
        <v>1.6259325580271966</v>
      </c>
      <c r="U6" s="2">
        <f t="shared" ca="1" si="2"/>
        <v>0.24359564440378642</v>
      </c>
      <c r="V6" s="2">
        <f ca="1">'final systematics'!$K8*T6</f>
        <v>0.25006835298292829</v>
      </c>
      <c r="W6" s="3">
        <f>'efficiency CS long'!H6</f>
        <v>0</v>
      </c>
      <c r="X6" s="3">
        <f>'acceptance CS long'!H6</f>
        <v>0.46500000000000002</v>
      </c>
      <c r="Y6" s="2">
        <f ca="1">'raw yield'!H6</f>
        <v>18.682200000000002</v>
      </c>
      <c r="Z6" s="2">
        <f ca="1">'raw yield'!I6</f>
        <v>6.4822699999999998</v>
      </c>
      <c r="AA6" s="28" t="e">
        <f t="shared" ca="1" si="3"/>
        <v>#DIV/0!</v>
      </c>
      <c r="AB6" s="2" t="e">
        <f t="shared" ca="1" si="4"/>
        <v>#DIV/0!</v>
      </c>
      <c r="AC6" s="2"/>
      <c r="AD6" s="4">
        <f t="shared" ca="1" si="5"/>
        <v>0</v>
      </c>
      <c r="AE6" s="3">
        <f t="shared" si="6"/>
        <v>0</v>
      </c>
      <c r="AF6" s="3">
        <f t="shared" ca="1" si="6"/>
        <v>1.0693106071270597</v>
      </c>
      <c r="AG6" s="4">
        <f ca="1">'raw yield'!J6</f>
        <v>0.20683199999999999</v>
      </c>
      <c r="AH6" s="4">
        <f ca="1">'raw yield'!K6</f>
        <v>6.7050999999999999E-2</v>
      </c>
      <c r="AI6" s="32" t="e">
        <f t="shared" ca="1" si="7"/>
        <v>#DIV/0!</v>
      </c>
      <c r="AJ6" s="4" t="e">
        <f t="shared" ca="1" si="8"/>
        <v>#DIV/0!</v>
      </c>
      <c r="AK6" s="4" t="e">
        <f t="shared" ca="1" si="9"/>
        <v>#DIV/0!</v>
      </c>
    </row>
    <row r="7" spans="1:37">
      <c r="A7" s="41"/>
      <c r="B7" s="1" t="s">
        <v>15</v>
      </c>
      <c r="C7" s="42"/>
      <c r="D7" s="3">
        <f>ReReco!U$42</f>
        <v>5.6625111171875</v>
      </c>
      <c r="E7" s="3">
        <f>ReReco!V$42</f>
        <v>0.18008369263408391</v>
      </c>
      <c r="F7" s="14">
        <v>1</v>
      </c>
      <c r="G7" s="2">
        <v>0.8</v>
      </c>
      <c r="H7" s="2">
        <v>24.5</v>
      </c>
      <c r="I7" s="3">
        <f>'efficiency CS long'!D7</f>
        <v>0.36899999999999999</v>
      </c>
      <c r="J7" s="3">
        <f ca="1">'acceptance CS long'!D7</f>
        <v>0.33739887300000004</v>
      </c>
      <c r="K7" s="2">
        <f ca="1">'raw yield'!D7</f>
        <v>103.078</v>
      </c>
      <c r="L7" s="2">
        <f ca="1">'raw yield'!E7</f>
        <v>13.0311</v>
      </c>
      <c r="M7" s="2">
        <f t="shared" ca="1" si="10"/>
        <v>3.2815220796401312</v>
      </c>
      <c r="N7" s="2">
        <f t="shared" ca="1" si="0"/>
        <v>0.41484936040666792</v>
      </c>
      <c r="O7" s="2">
        <f ca="1">'final systematics'!$K9*M7</f>
        <v>0.52887705313158673</v>
      </c>
      <c r="P7" s="3">
        <f>'efficiency CS long'!F7</f>
        <v>0.36899999999999999</v>
      </c>
      <c r="Q7" s="3">
        <f>'acceptance CS long'!F7</f>
        <v>0.33100000000000002</v>
      </c>
      <c r="R7" s="2">
        <f ca="1">'raw yield'!F7</f>
        <v>87.739199999999997</v>
      </c>
      <c r="S7" s="2">
        <f ca="1">'raw yield'!G7</f>
        <v>13.145099999999999</v>
      </c>
      <c r="T7" s="2">
        <f t="shared" ca="1" si="1"/>
        <v>2.847204434102419</v>
      </c>
      <c r="U7" s="2">
        <f t="shared" ca="1" si="2"/>
        <v>0.42656859199445296</v>
      </c>
      <c r="V7" s="2">
        <f ca="1">'final systematics'!$K9*T7</f>
        <v>0.45887885384468002</v>
      </c>
      <c r="W7" s="3">
        <f>'efficiency CS long'!H7</f>
        <v>0</v>
      </c>
      <c r="X7" s="3">
        <f>'acceptance CS long'!H7</f>
        <v>0.374</v>
      </c>
      <c r="Y7" s="2">
        <f ca="1">'raw yield'!H7</f>
        <v>15.3393</v>
      </c>
      <c r="Z7" s="2">
        <f ca="1">'raw yield'!I7</f>
        <v>7.3159000000000001</v>
      </c>
      <c r="AA7" s="2" t="e">
        <f t="shared" ca="1" si="3"/>
        <v>#DIV/0!</v>
      </c>
      <c r="AB7" s="2" t="e">
        <f t="shared" ca="1" si="4"/>
        <v>#DIV/0!</v>
      </c>
      <c r="AC7" s="2"/>
      <c r="AD7" s="4">
        <f t="shared" ca="1" si="5"/>
        <v>-4.9999999999350564E-4</v>
      </c>
      <c r="AE7" s="3">
        <f t="shared" si="6"/>
        <v>0</v>
      </c>
      <c r="AF7" s="3">
        <f t="shared" ca="1" si="6"/>
        <v>1.1084802882551417</v>
      </c>
      <c r="AG7" s="4">
        <f ca="1">'raw yield'!J7</f>
        <v>0.148811</v>
      </c>
      <c r="AH7" s="4">
        <f ca="1">'raw yield'!K7</f>
        <v>6.8435399999999993E-2</v>
      </c>
      <c r="AI7" s="4" t="e">
        <f t="shared" ca="1" si="7"/>
        <v>#DIV/0!</v>
      </c>
      <c r="AJ7" s="4" t="e">
        <f t="shared" ca="1" si="8"/>
        <v>#DIV/0!</v>
      </c>
      <c r="AK7" s="4" t="e">
        <f t="shared" ca="1" si="9"/>
        <v>#DIV/0!</v>
      </c>
    </row>
    <row r="8" spans="1:37">
      <c r="A8" s="41" t="s">
        <v>16</v>
      </c>
      <c r="B8" s="1" t="s">
        <v>9</v>
      </c>
      <c r="C8" s="42"/>
      <c r="D8" s="3">
        <f>ReReco!U$42</f>
        <v>5.6625111171875</v>
      </c>
      <c r="E8" s="3">
        <f>ReReco!V$42</f>
        <v>0.18008369263408391</v>
      </c>
      <c r="F8" s="14">
        <v>1</v>
      </c>
      <c r="G8" s="2">
        <v>1.6</v>
      </c>
      <c r="H8" s="2">
        <v>23.5</v>
      </c>
      <c r="I8" s="3">
        <f ca="1">'efficiency CS long'!D8</f>
        <v>0.34215543999999998</v>
      </c>
      <c r="J8" s="3">
        <f ca="1">'acceptance CS long'!D8</f>
        <v>0.387867293</v>
      </c>
      <c r="K8" s="2">
        <f ca="1">'raw yield'!D8</f>
        <v>149.86600000000001</v>
      </c>
      <c r="L8" s="2">
        <f ca="1">'raw yield'!E8</f>
        <v>14.499000000000001</v>
      </c>
      <c r="M8" s="28">
        <f t="shared" ca="1" si="10"/>
        <v>2.2379266746786826</v>
      </c>
      <c r="N8" s="2">
        <f t="shared" ca="1" si="0"/>
        <v>0.21651140923335657</v>
      </c>
      <c r="O8" s="2">
        <f ca="1">'final systematics'!$K10*M8</f>
        <v>0.34501617022737846</v>
      </c>
      <c r="P8" s="3">
        <f>'efficiency CS long'!F8</f>
        <v>0.35499999999999998</v>
      </c>
      <c r="Q8" s="3">
        <f>'acceptance CS long'!F8</f>
        <v>0.38</v>
      </c>
      <c r="R8" s="2">
        <f ca="1">'raw yield'!F8</f>
        <v>125.804</v>
      </c>
      <c r="S8" s="2">
        <f ca="1">'raw yield'!G8</f>
        <v>14.110900000000001</v>
      </c>
      <c r="T8" s="28">
        <f t="shared" ca="1" si="1"/>
        <v>1.8481271438635467</v>
      </c>
      <c r="U8" s="2">
        <f t="shared" ca="1" si="2"/>
        <v>0.20729656699583576</v>
      </c>
      <c r="V8" s="2">
        <f ca="1">'final systematics'!$K10*T8</f>
        <v>0.28492164487945726</v>
      </c>
      <c r="W8" s="3">
        <f>'efficiency CS long'!H8</f>
        <v>0.27500000000000002</v>
      </c>
      <c r="X8" s="3">
        <f>'acceptance CS long'!H8</f>
        <v>0.42899999999999999</v>
      </c>
      <c r="Y8" s="2">
        <f ca="1">'raw yield'!H8</f>
        <v>24.061900000000001</v>
      </c>
      <c r="Z8" s="2">
        <f ca="1">'raw yield'!I8</f>
        <v>7.5100300000000004</v>
      </c>
      <c r="AA8" s="28">
        <f t="shared" ca="1" si="3"/>
        <v>0.40419345511224131</v>
      </c>
      <c r="AB8" s="2">
        <f t="shared" ca="1" si="4"/>
        <v>0.12615400170795266</v>
      </c>
      <c r="AC8" s="2">
        <f ca="1">'final systematics'!$K$23*AA8</f>
        <v>6.3880643092031689E-2</v>
      </c>
      <c r="AD8" s="4">
        <f t="shared" ca="1" si="5"/>
        <v>1.0000000001042508E-4</v>
      </c>
      <c r="AE8" s="3">
        <f t="shared" ca="1" si="6"/>
        <v>0.80372827040248151</v>
      </c>
      <c r="AF8" s="3">
        <f t="shared" ca="1" si="6"/>
        <v>1.106048403003653</v>
      </c>
      <c r="AG8" s="4">
        <f ca="1">'raw yield'!J8</f>
        <v>0.16055700000000001</v>
      </c>
      <c r="AH8" s="4">
        <f ca="1">'raw yield'!K8</f>
        <v>4.7643499999999998E-2</v>
      </c>
      <c r="AI8" s="32">
        <f t="shared" ca="1" si="7"/>
        <v>0.18061169452322803</v>
      </c>
      <c r="AJ8" s="4">
        <f t="shared" ca="1" si="8"/>
        <v>5.3594507047449905E-2</v>
      </c>
      <c r="AK8" s="4">
        <f t="shared" ca="1" si="9"/>
        <v>3.6122338904645605E-2</v>
      </c>
    </row>
    <row r="9" spans="1:37">
      <c r="A9" s="41"/>
      <c r="B9" s="1" t="s">
        <v>17</v>
      </c>
      <c r="C9" s="42"/>
      <c r="D9" s="3">
        <f>ReReco!U$42</f>
        <v>5.6625111171875</v>
      </c>
      <c r="E9" s="3">
        <f>ReReco!V$42</f>
        <v>0.18008369263408391</v>
      </c>
      <c r="F9" s="14">
        <v>1</v>
      </c>
      <c r="G9" s="2">
        <v>1.6</v>
      </c>
      <c r="H9" s="2">
        <v>27</v>
      </c>
      <c r="I9" s="3">
        <f ca="1">'efficiency CS long'!D9</f>
        <v>0.28265344199999998</v>
      </c>
      <c r="J9" s="3">
        <f ca="1">'acceptance CS long'!D9</f>
        <v>0.13605534600000002</v>
      </c>
      <c r="K9" s="2">
        <f ca="1">'raw yield'!D9</f>
        <v>447.24099999999999</v>
      </c>
      <c r="L9" s="2">
        <f ca="1">'raw yield'!E9</f>
        <v>63.208599999999997</v>
      </c>
      <c r="M9" s="2">
        <f t="shared" ca="1" si="10"/>
        <v>23.047353639923649</v>
      </c>
      <c r="N9" s="2">
        <f t="shared" ca="1" si="0"/>
        <v>3.2572840085870438</v>
      </c>
      <c r="O9" s="2">
        <f ca="1">'final systematics'!$K11*M9</f>
        <v>3.6201033716659663</v>
      </c>
      <c r="P9" s="3">
        <f>'efficiency CS long'!F9</f>
        <v>0.29099999999999998</v>
      </c>
      <c r="Q9" s="3">
        <f>'acceptance CS long'!F9</f>
        <v>0.13</v>
      </c>
      <c r="R9" s="2">
        <f ca="1">'raw yield'!F9</f>
        <v>374.04700000000003</v>
      </c>
      <c r="S9" s="2">
        <f ca="1">'raw yield'!G9</f>
        <v>55.187899999999999</v>
      </c>
      <c r="T9" s="2">
        <f t="shared" ca="1" si="1"/>
        <v>19.594725324444124</v>
      </c>
      <c r="U9" s="2">
        <f t="shared" ca="1" si="2"/>
        <v>2.891058454506759</v>
      </c>
      <c r="V9" s="2">
        <f ca="1">'final systematics'!$K11*T9</f>
        <v>3.0777907226195387</v>
      </c>
      <c r="W9" s="3">
        <f>'efficiency CS long'!H9</f>
        <v>0.24</v>
      </c>
      <c r="X9" s="3">
        <f>'acceptance CS long'!H9</f>
        <v>0.16700000000000001</v>
      </c>
      <c r="Y9" s="2">
        <f ca="1">'raw yield'!H9</f>
        <v>73.194500000000005</v>
      </c>
      <c r="Z9" s="2">
        <f ca="1">'raw yield'!I9</f>
        <v>18.9237</v>
      </c>
      <c r="AA9" s="2">
        <f t="shared" ca="1" si="3"/>
        <v>3.6190958134587916</v>
      </c>
      <c r="AB9" s="2">
        <f t="shared" ca="1" si="4"/>
        <v>0.93568073345879998</v>
      </c>
      <c r="AC9" s="2">
        <f ca="1">'final systematics'!$K$24*AA9</f>
        <v>0.75564228000150646</v>
      </c>
      <c r="AD9" s="4">
        <f t="shared" ca="1" si="5"/>
        <v>-5.0000000004501999E-4</v>
      </c>
      <c r="AE9" s="3">
        <f t="shared" ca="1" si="6"/>
        <v>0.84909632906575394</v>
      </c>
      <c r="AF9" s="3">
        <f t="shared" ca="1" si="6"/>
        <v>1.2274416618660466</v>
      </c>
      <c r="AG9" s="4">
        <f ca="1">'raw yield'!J9</f>
        <v>0.163658</v>
      </c>
      <c r="AH9" s="4">
        <f ca="1">'raw yield'!K9</f>
        <v>3.5430400000000001E-2</v>
      </c>
      <c r="AI9" s="4">
        <f t="shared" ca="1" si="7"/>
        <v>0.15702883773076992</v>
      </c>
      <c r="AJ9" s="4">
        <f t="shared" ca="1" si="8"/>
        <v>3.3995249436851671E-2</v>
      </c>
      <c r="AK9" s="4">
        <f t="shared" ca="1" si="9"/>
        <v>3.1405767546153984E-2</v>
      </c>
    </row>
    <row r="10" spans="1:37">
      <c r="A10" s="41" t="s">
        <v>8</v>
      </c>
      <c r="B10" s="41" t="s">
        <v>9</v>
      </c>
      <c r="C10" s="8" t="s">
        <v>18</v>
      </c>
      <c r="D10" s="3">
        <f>ReReco!U2</f>
        <v>23.185742187499997</v>
      </c>
      <c r="E10" s="3">
        <f>ReReco!V2</f>
        <v>1.1224245480741166</v>
      </c>
      <c r="F10" s="14">
        <v>0.1</v>
      </c>
      <c r="G10" s="2">
        <v>4.8</v>
      </c>
      <c r="H10" s="2">
        <v>23.5</v>
      </c>
      <c r="I10" s="3">
        <f>'efficiency CS long'!D10</f>
        <v>0.34899999999999998</v>
      </c>
      <c r="J10" s="3">
        <f ca="1">'acceptance CS long'!D10</f>
        <v>0.32650554199999998</v>
      </c>
      <c r="K10" s="2">
        <f ca="1">'raw yield'!D10</f>
        <v>112.855</v>
      </c>
      <c r="L10" s="2">
        <f ca="1">'raw yield'!E10</f>
        <v>12.4671</v>
      </c>
      <c r="M10" s="15">
        <f t="shared" ca="1" si="10"/>
        <v>1.59779470205365</v>
      </c>
      <c r="N10" s="2">
        <f t="shared" ca="1" si="0"/>
        <v>0.1765084961231054</v>
      </c>
      <c r="O10" s="2">
        <f ca="1">'final systematics'!$K12*M10</f>
        <v>0.2473800682566096</v>
      </c>
      <c r="P10" s="3">
        <f>'efficiency CS long'!F10</f>
        <v>0.34899999999999998</v>
      </c>
      <c r="Q10" s="3">
        <f>'acceptance CS long'!F10</f>
        <v>0.314</v>
      </c>
      <c r="R10" s="2">
        <f ca="1">'raw yield'!F10</f>
        <v>79.252200000000002</v>
      </c>
      <c r="S10" s="2">
        <f ca="1">'raw yield'!G10</f>
        <v>11.388500000000001</v>
      </c>
      <c r="T10" s="15">
        <f t="shared" ca="1" si="1"/>
        <v>1.1667354878298208</v>
      </c>
      <c r="U10" s="2">
        <f t="shared" ca="1" si="2"/>
        <v>0.16765928394605972</v>
      </c>
      <c r="V10" s="2">
        <f ca="1">'final systematics'!$K12*T10</f>
        <v>0.18064091979137029</v>
      </c>
      <c r="W10" s="3">
        <f>'efficiency CS long'!H10</f>
        <v>0</v>
      </c>
      <c r="X10" s="3">
        <f>'acceptance CS long'!H10</f>
        <v>0.35599999999999998</v>
      </c>
      <c r="Y10" s="2">
        <f ca="1">'raw yield'!H10</f>
        <v>33.602699999999999</v>
      </c>
      <c r="Z10" s="2">
        <f ca="1">'raw yield'!I10</f>
        <v>8.1747399999999999</v>
      </c>
      <c r="AA10" s="2" t="e">
        <f t="shared" ca="1" si="3"/>
        <v>#DIV/0!</v>
      </c>
      <c r="AB10" s="2" t="e">
        <f t="shared" ca="1" si="4"/>
        <v>#DIV/0!</v>
      </c>
      <c r="AC10" s="2"/>
      <c r="AD10" s="4">
        <f t="shared" ca="1" si="5"/>
        <v>1.0000000000331966E-4</v>
      </c>
      <c r="AE10" s="3">
        <f t="shared" si="6"/>
        <v>0</v>
      </c>
      <c r="AF10" s="3">
        <f t="shared" ca="1" si="6"/>
        <v>1.0903337132329594</v>
      </c>
      <c r="AG10" s="4">
        <f ca="1">'raw yield'!J10</f>
        <v>0.29775099999999999</v>
      </c>
      <c r="AH10" s="4">
        <f ca="1">'raw yield'!K10</f>
        <v>6.4536999999999997E-2</v>
      </c>
      <c r="AI10" s="4" t="e">
        <f t="shared" ca="1" si="7"/>
        <v>#DIV/0!</v>
      </c>
      <c r="AJ10" s="4" t="e">
        <f t="shared" ca="1" si="8"/>
        <v>#DIV/0!</v>
      </c>
      <c r="AK10" s="4" t="e">
        <f t="shared" ca="1" si="9"/>
        <v>#DIV/0!</v>
      </c>
    </row>
    <row r="11" spans="1:37">
      <c r="A11" s="41"/>
      <c r="B11" s="41"/>
      <c r="C11" s="8" t="s">
        <v>19</v>
      </c>
      <c r="D11" s="3">
        <f>ReReco!U6</f>
        <v>14.4776953125</v>
      </c>
      <c r="E11" s="3">
        <f>ReReco!V6</f>
        <v>1.0412851798499518</v>
      </c>
      <c r="F11" s="14">
        <v>0.1</v>
      </c>
      <c r="G11" s="2">
        <v>4.8</v>
      </c>
      <c r="H11" s="2">
        <v>23.5</v>
      </c>
      <c r="I11" s="3">
        <f>'efficiency CS long'!D11</f>
        <v>0.39200000000000002</v>
      </c>
      <c r="J11" s="3">
        <f ca="1">'acceptance CS long'!D11</f>
        <v>0.32611225400000005</v>
      </c>
      <c r="K11" s="2">
        <f ca="1">'raw yield'!D11</f>
        <v>79.810500000000005</v>
      </c>
      <c r="L11" s="2">
        <f ca="1">'raw yield'!E11</f>
        <v>10.086</v>
      </c>
      <c r="M11" s="15">
        <f t="shared" ca="1" si="10"/>
        <v>1.6130379019399095</v>
      </c>
      <c r="N11" s="2">
        <f t="shared" ca="1" si="0"/>
        <v>0.20384661515672658</v>
      </c>
      <c r="O11" s="2">
        <f ca="1">'final systematics'!$K13*M11</f>
        <v>0.25445239115205204</v>
      </c>
      <c r="P11" s="3">
        <f>'efficiency CS long'!F11</f>
        <v>0.39200000000000002</v>
      </c>
      <c r="Q11" s="3">
        <f>'acceptance CS long'!F11</f>
        <v>0.314</v>
      </c>
      <c r="R11" s="2">
        <f ca="1">'raw yield'!F11</f>
        <v>56.794199999999996</v>
      </c>
      <c r="S11" s="2">
        <f ca="1">'raw yield'!G11</f>
        <v>9.2707300000000004</v>
      </c>
      <c r="T11" s="15">
        <f t="shared" ca="1" si="1"/>
        <v>1.1921365332023375</v>
      </c>
      <c r="U11" s="2">
        <f t="shared" ca="1" si="2"/>
        <v>0.19459691169969659</v>
      </c>
      <c r="V11" s="2">
        <f ca="1">'final systematics'!$K13*T11</f>
        <v>0.18805633214708731</v>
      </c>
      <c r="W11" s="3">
        <f>'efficiency CS long'!H11</f>
        <v>0</v>
      </c>
      <c r="X11" s="3">
        <f>'acceptance CS long'!H11</f>
        <v>0.35599999999999998</v>
      </c>
      <c r="Y11" s="2">
        <f ca="1">'raw yield'!H11</f>
        <v>23.016300000000001</v>
      </c>
      <c r="Z11" s="2">
        <f ca="1">'raw yield'!I11</f>
        <v>6.5492800000000004</v>
      </c>
      <c r="AA11" s="2" t="e">
        <f t="shared" ca="1" si="3"/>
        <v>#DIV/0!</v>
      </c>
      <c r="AB11" s="2" t="e">
        <f t="shared" ca="1" si="4"/>
        <v>#DIV/0!</v>
      </c>
      <c r="AC11" s="2"/>
      <c r="AD11" s="4">
        <f t="shared" ca="1" si="5"/>
        <v>0</v>
      </c>
      <c r="AE11" s="3">
        <f t="shared" si="6"/>
        <v>0</v>
      </c>
      <c r="AF11" s="3">
        <f t="shared" ca="1" si="6"/>
        <v>1.0916486443959261</v>
      </c>
      <c r="AG11" s="4">
        <f ca="1">'raw yield'!J11</f>
        <v>0.288387</v>
      </c>
      <c r="AH11" s="4">
        <f ca="1">'raw yield'!K11</f>
        <v>7.3523400000000003E-2</v>
      </c>
      <c r="AI11" s="4" t="e">
        <f t="shared" ca="1" si="7"/>
        <v>#DIV/0!</v>
      </c>
      <c r="AJ11" s="4" t="e">
        <f t="shared" ca="1" si="8"/>
        <v>#DIV/0!</v>
      </c>
      <c r="AK11" s="4" t="e">
        <f t="shared" ca="1" si="9"/>
        <v>#DIV/0!</v>
      </c>
    </row>
    <row r="12" spans="1:37">
      <c r="A12" s="41"/>
      <c r="B12" s="41"/>
      <c r="C12" s="8" t="s">
        <v>20</v>
      </c>
      <c r="D12" s="3">
        <f>ReReco!U10</f>
        <v>8.7829765625</v>
      </c>
      <c r="E12" s="3">
        <f>ReReco!V10</f>
        <v>0.72317759251451785</v>
      </c>
      <c r="F12" s="14">
        <v>0.1</v>
      </c>
      <c r="G12" s="2">
        <v>4.8</v>
      </c>
      <c r="H12" s="2">
        <v>23.5</v>
      </c>
      <c r="I12" s="3">
        <f>'efficiency CS long'!D12</f>
        <v>0.38400000000000001</v>
      </c>
      <c r="J12" s="3">
        <f ca="1">'acceptance CS long'!D12</f>
        <v>0.31697339839999994</v>
      </c>
      <c r="K12" s="2">
        <f ca="1">'raw yield'!D12</f>
        <v>63.361800000000002</v>
      </c>
      <c r="L12" s="2">
        <f ca="1">'raw yield'!E12</f>
        <v>8.8439399999999999</v>
      </c>
      <c r="M12" s="15">
        <f t="shared" ca="1" si="10"/>
        <v>2.2170163724314866</v>
      </c>
      <c r="N12" s="2">
        <f t="shared" ca="1" si="0"/>
        <v>0.30944764474496811</v>
      </c>
      <c r="O12" s="2">
        <f ca="1">'final systematics'!$K14*M12</f>
        <v>0.34700356977084362</v>
      </c>
      <c r="P12" s="3">
        <f>'efficiency CS long'!F12</f>
        <v>0.38400000000000001</v>
      </c>
      <c r="Q12" s="3">
        <f>'acceptance CS long'!F12</f>
        <v>0.314</v>
      </c>
      <c r="R12" s="2">
        <f ca="1">'raw yield'!F12</f>
        <v>58.876100000000001</v>
      </c>
      <c r="S12" s="2">
        <f ca="1">'raw yield'!G12</f>
        <v>8.7785499999999992</v>
      </c>
      <c r="T12" s="15">
        <f t="shared" ca="1" si="1"/>
        <v>2.0795702523191077</v>
      </c>
      <c r="U12" s="2">
        <f t="shared" ca="1" si="2"/>
        <v>0.31006828642685069</v>
      </c>
      <c r="V12" s="2">
        <f ca="1">'final systematics'!$K14*T12</f>
        <v>0.32549074067168843</v>
      </c>
      <c r="W12" s="3">
        <f>'efficiency CS long'!H12</f>
        <v>0</v>
      </c>
      <c r="X12" s="3">
        <f>'acceptance CS long'!H12</f>
        <v>0.35599999999999998</v>
      </c>
      <c r="Y12" s="2">
        <f ca="1">'raw yield'!H12</f>
        <v>4.4857199999999997</v>
      </c>
      <c r="Z12" s="2">
        <f ca="1">'raw yield'!I12</f>
        <v>3.1499600000000001</v>
      </c>
      <c r="AA12" s="2" t="e">
        <f t="shared" ca="1" si="3"/>
        <v>#DIV/0!</v>
      </c>
      <c r="AB12" s="2" t="e">
        <f t="shared" ca="1" si="4"/>
        <v>#DIV/0!</v>
      </c>
      <c r="AC12" s="2"/>
      <c r="AD12" s="4">
        <f t="shared" ca="1" si="5"/>
        <v>-1.9999999998354667E-5</v>
      </c>
      <c r="AE12" s="3">
        <f t="shared" si="6"/>
        <v>0</v>
      </c>
      <c r="AF12" s="3">
        <f t="shared" ca="1" si="6"/>
        <v>1.1231226399344434</v>
      </c>
      <c r="AG12" s="4">
        <f ca="1">'raw yield'!J12</f>
        <v>7.0795200000000003E-2</v>
      </c>
      <c r="AH12" s="4">
        <f ca="1">'raw yield'!K12</f>
        <v>4.8721899999999999E-2</v>
      </c>
      <c r="AI12" s="4" t="e">
        <f t="shared" ca="1" si="7"/>
        <v>#DIV/0!</v>
      </c>
      <c r="AJ12" s="4" t="e">
        <f t="shared" ca="1" si="8"/>
        <v>#DIV/0!</v>
      </c>
      <c r="AK12" s="4" t="e">
        <f t="shared" ca="1" si="9"/>
        <v>#DIV/0!</v>
      </c>
    </row>
    <row r="13" spans="1:37">
      <c r="A13" s="41"/>
      <c r="B13" s="41"/>
      <c r="C13" s="8" t="s">
        <v>21</v>
      </c>
      <c r="D13" s="3">
        <f>ReReco!U14</f>
        <v>5.0892265625000004</v>
      </c>
      <c r="E13" s="3">
        <f>ReReco!V14</f>
        <v>0.48740498553650669</v>
      </c>
      <c r="F13" s="14">
        <v>0.1</v>
      </c>
      <c r="G13" s="2">
        <v>4.8</v>
      </c>
      <c r="H13" s="2">
        <v>23.5</v>
      </c>
      <c r="I13" s="3">
        <f>'efficiency CS long'!D13</f>
        <v>0.38600000000000001</v>
      </c>
      <c r="J13" s="3">
        <f ca="1">'acceptance CS long'!D13</f>
        <v>0.32162707399999996</v>
      </c>
      <c r="K13" s="2">
        <f ca="1">'raw yield'!D13</f>
        <v>58.244999999999997</v>
      </c>
      <c r="L13" s="2">
        <f ca="1">'raw yield'!E13</f>
        <v>8.2205399999999997</v>
      </c>
      <c r="M13" s="15">
        <f t="shared" ca="1" si="10"/>
        <v>3.4482926643593355</v>
      </c>
      <c r="N13" s="2">
        <f t="shared" ca="1" si="0"/>
        <v>0.48668259557167987</v>
      </c>
      <c r="O13" s="2">
        <f ca="1">'final systematics'!$K15*M13</f>
        <v>0.57478283403726982</v>
      </c>
      <c r="P13" s="3">
        <f>'efficiency CS long'!F13</f>
        <v>0.38600000000000001</v>
      </c>
      <c r="Q13" s="3">
        <f>'acceptance CS long'!F13</f>
        <v>0.314</v>
      </c>
      <c r="R13" s="2">
        <f ca="1">'raw yield'!F13</f>
        <v>47.667900000000003</v>
      </c>
      <c r="S13" s="2">
        <f ca="1">'raw yield'!G13</f>
        <v>7.7744499999999999</v>
      </c>
      <c r="T13" s="15">
        <f t="shared" ca="1" si="1"/>
        <v>2.8906428746484796</v>
      </c>
      <c r="U13" s="2">
        <f t="shared" ca="1" si="2"/>
        <v>0.4714526651438572</v>
      </c>
      <c r="V13" s="2">
        <f ca="1">'final systematics'!$K15*T13</f>
        <v>0.48183030426994955</v>
      </c>
      <c r="W13" s="3">
        <f>'efficiency CS long'!H13</f>
        <v>0</v>
      </c>
      <c r="X13" s="3">
        <f>'acceptance CS long'!H13</f>
        <v>0.35599999999999998</v>
      </c>
      <c r="Y13" s="2">
        <f ca="1">'raw yield'!H13</f>
        <v>10.5771</v>
      </c>
      <c r="Z13" s="2">
        <f ca="1">'raw yield'!I13</f>
        <v>4.1723400000000002</v>
      </c>
      <c r="AA13" s="2" t="e">
        <f t="shared" ca="1" si="3"/>
        <v>#DIV/0!</v>
      </c>
      <c r="AB13" s="2" t="e">
        <f t="shared" ca="1" si="4"/>
        <v>#DIV/0!</v>
      </c>
      <c r="AC13" s="2"/>
      <c r="AD13" s="4">
        <f t="shared" ca="1" si="5"/>
        <v>0</v>
      </c>
      <c r="AE13" s="3">
        <f t="shared" si="6"/>
        <v>0</v>
      </c>
      <c r="AF13" s="3">
        <f t="shared" ca="1" si="6"/>
        <v>1.1068719917527838</v>
      </c>
      <c r="AG13" s="4">
        <f ca="1">'raw yield'!J13</f>
        <v>0.18159700000000001</v>
      </c>
      <c r="AH13" s="4">
        <f ca="1">'raw yield'!K13</f>
        <v>6.6892300000000002E-2</v>
      </c>
      <c r="AI13" s="4" t="e">
        <f t="shared" ca="1" si="7"/>
        <v>#DIV/0!</v>
      </c>
      <c r="AJ13" s="4" t="e">
        <f t="shared" ca="1" si="8"/>
        <v>#DIV/0!</v>
      </c>
      <c r="AK13" s="4" t="e">
        <f t="shared" ca="1" si="9"/>
        <v>#DIV/0!</v>
      </c>
    </row>
    <row r="14" spans="1:37">
      <c r="A14" s="41"/>
      <c r="B14" s="41"/>
      <c r="C14" s="8" t="s">
        <v>22</v>
      </c>
      <c r="D14" s="3">
        <f>ReReco!U18</f>
        <v>2.7483554687499998</v>
      </c>
      <c r="E14" s="3">
        <f>ReReco!V18</f>
        <v>0.30911282911454752</v>
      </c>
      <c r="F14" s="14">
        <v>0.1</v>
      </c>
      <c r="G14" s="2">
        <v>4.8</v>
      </c>
      <c r="H14" s="2">
        <v>23.5</v>
      </c>
      <c r="I14" s="3">
        <f>'efficiency CS long'!D14</f>
        <v>0.39900000000000002</v>
      </c>
      <c r="J14" s="3">
        <f ca="1">'acceptance CS long'!D14</f>
        <v>0.323772224</v>
      </c>
      <c r="K14" s="2">
        <f ca="1">'raw yield'!D14</f>
        <v>45.228099999999998</v>
      </c>
      <c r="L14" s="2">
        <f ca="1">'raw yield'!E14</f>
        <v>7.0477100000000004</v>
      </c>
      <c r="M14" s="15">
        <f t="shared" ca="1" si="10"/>
        <v>4.7649693871305239</v>
      </c>
      <c r="N14" s="2">
        <f t="shared" ca="1" si="0"/>
        <v>0.74250570772094493</v>
      </c>
      <c r="O14" s="2">
        <f ca="1">'final systematics'!$K16*M14</f>
        <v>0.84971076439548587</v>
      </c>
      <c r="P14" s="3">
        <f>'efficiency CS long'!F14</f>
        <v>0.39900000000000002</v>
      </c>
      <c r="Q14" s="3">
        <f>'acceptance CS long'!F14</f>
        <v>0.314</v>
      </c>
      <c r="R14" s="2">
        <f ca="1">'raw yield'!F14</f>
        <v>34.704799999999999</v>
      </c>
      <c r="S14" s="2">
        <f ca="1">'raw yield'!G14</f>
        <v>6.7179500000000001</v>
      </c>
      <c r="T14" s="15">
        <f t="shared" ca="1" si="1"/>
        <v>3.7700860031053591</v>
      </c>
      <c r="U14" s="2">
        <f t="shared" ca="1" si="2"/>
        <v>0.72979095873082822</v>
      </c>
      <c r="V14" s="2">
        <f ca="1">'final systematics'!$K16*T14</f>
        <v>0.67229868636459844</v>
      </c>
      <c r="W14" s="3">
        <f>'efficiency CS long'!H14</f>
        <v>0</v>
      </c>
      <c r="X14" s="3">
        <f>'acceptance CS long'!H14</f>
        <v>0.35599999999999998</v>
      </c>
      <c r="Y14" s="2">
        <f ca="1">'raw yield'!H14</f>
        <v>10.523300000000001</v>
      </c>
      <c r="Z14" s="2">
        <f ca="1">'raw yield'!I14</f>
        <v>4.3098099999999997</v>
      </c>
      <c r="AA14" s="2" t="e">
        <f t="shared" ca="1" si="3"/>
        <v>#DIV/0!</v>
      </c>
      <c r="AB14" s="2" t="e">
        <f t="shared" ca="1" si="4"/>
        <v>#DIV/0!</v>
      </c>
      <c r="AC14" s="2"/>
      <c r="AD14" s="4">
        <f t="shared" ca="1" si="5"/>
        <v>0</v>
      </c>
      <c r="AE14" s="3">
        <f t="shared" si="6"/>
        <v>0</v>
      </c>
      <c r="AF14" s="3">
        <f t="shared" ca="1" si="6"/>
        <v>1.0995384211834058</v>
      </c>
      <c r="AG14" s="4">
        <f ca="1">'raw yield'!J14</f>
        <v>0.23267199999999999</v>
      </c>
      <c r="AH14" s="4">
        <f ca="1">'raw yield'!K14</f>
        <v>8.8123599999999996E-2</v>
      </c>
      <c r="AI14" s="4" t="e">
        <f t="shared" ca="1" si="7"/>
        <v>#DIV/0!</v>
      </c>
      <c r="AJ14" s="4" t="e">
        <f t="shared" ca="1" si="8"/>
        <v>#DIV/0!</v>
      </c>
      <c r="AK14" s="4" t="e">
        <f t="shared" ca="1" si="9"/>
        <v>#DIV/0!</v>
      </c>
    </row>
    <row r="15" spans="1:37">
      <c r="A15" s="41"/>
      <c r="B15" s="41"/>
      <c r="C15" s="8" t="s">
        <v>23</v>
      </c>
      <c r="D15" s="3">
        <f>ReReco!U22</f>
        <v>0.46822301562500018</v>
      </c>
      <c r="E15" s="3">
        <f>ReReco!V22</f>
        <v>4.1377168590445754E-2</v>
      </c>
      <c r="F15" s="14">
        <v>0.5</v>
      </c>
      <c r="G15" s="2">
        <v>4.8</v>
      </c>
      <c r="H15" s="2">
        <v>23.5</v>
      </c>
      <c r="I15" s="3">
        <f>'efficiency CS long'!D15</f>
        <v>0.43099999999999999</v>
      </c>
      <c r="J15" s="3">
        <f ca="1">'acceptance CS long'!D15</f>
        <v>0.322499918</v>
      </c>
      <c r="K15" s="2">
        <f ca="1">'raw yield'!D15</f>
        <v>36.657800000000002</v>
      </c>
      <c r="L15" s="2">
        <f ca="1">'raw yield'!E15</f>
        <v>6.2381700000000002</v>
      </c>
      <c r="M15" s="15">
        <f ca="1">K15/($D15*$F15*$G15*I15*J15*$B$21)</f>
        <v>4.2137999631071761</v>
      </c>
      <c r="N15" s="2">
        <f t="shared" ca="1" si="0"/>
        <v>0.71707523407995821</v>
      </c>
      <c r="O15" s="2">
        <f ca="1">'final systematics'!$K17*M15</f>
        <v>0.87190220428524412</v>
      </c>
      <c r="P15" s="3">
        <f>'efficiency CS long'!F15</f>
        <v>0.43099999999999999</v>
      </c>
      <c r="Q15" s="3">
        <f>'acceptance CS long'!F15</f>
        <v>0.314</v>
      </c>
      <c r="R15" s="2">
        <f ca="1">'raw yield'!F15</f>
        <v>29.239000000000001</v>
      </c>
      <c r="S15" s="2">
        <f ca="1">'raw yield'!G15</f>
        <v>5.7256900000000002</v>
      </c>
      <c r="T15" s="15">
        <f t="shared" ca="1" si="1"/>
        <v>3.4519936910237004</v>
      </c>
      <c r="U15" s="2">
        <f t="shared" ca="1" si="2"/>
        <v>0.6759822756167273</v>
      </c>
      <c r="V15" s="2">
        <f ca="1">'final systematics'!$K17*T15</f>
        <v>0.71427237522754883</v>
      </c>
      <c r="W15" s="3">
        <f>'efficiency CS long'!H15</f>
        <v>0</v>
      </c>
      <c r="X15" s="3">
        <f>'acceptance CS long'!H15</f>
        <v>0.35599999999999998</v>
      </c>
      <c r="Y15" s="2">
        <f ca="1">'raw yield'!H15</f>
        <v>7.4187700000000003</v>
      </c>
      <c r="Z15" s="2">
        <f ca="1">'raw yield'!I15</f>
        <v>3.1015899999999998</v>
      </c>
      <c r="AA15" s="2" t="e">
        <f t="shared" ca="1" si="3"/>
        <v>#DIV/0!</v>
      </c>
      <c r="AB15" s="2" t="e">
        <f t="shared" ca="1" si="4"/>
        <v>#DIV/0!</v>
      </c>
      <c r="AC15" s="2"/>
      <c r="AD15" s="4">
        <f t="shared" ca="1" si="5"/>
        <v>3.0000000000640625E-5</v>
      </c>
      <c r="AE15" s="3">
        <f t="shared" si="6"/>
        <v>0</v>
      </c>
      <c r="AF15" s="3">
        <f t="shared" ca="1" si="6"/>
        <v>1.1038762496677597</v>
      </c>
      <c r="AG15" s="4">
        <f ca="1">'raw yield'!J15</f>
        <v>0.202379</v>
      </c>
      <c r="AH15" s="4">
        <f ca="1">'raw yield'!K15</f>
        <v>7.7282900000000002E-2</v>
      </c>
      <c r="AI15" s="4" t="e">
        <f t="shared" ca="1" si="7"/>
        <v>#DIV/0!</v>
      </c>
      <c r="AJ15" s="4" t="e">
        <f t="shared" ca="1" si="8"/>
        <v>#DIV/0!</v>
      </c>
      <c r="AK15" s="4" t="e">
        <f t="shared" ca="1" si="9"/>
        <v>#DIV/0!</v>
      </c>
    </row>
    <row r="16" spans="1:37">
      <c r="A16" s="41"/>
      <c r="B16" s="41"/>
      <c r="C16" s="8" t="s">
        <v>24</v>
      </c>
      <c r="D16" s="3">
        <f>ReReco!AO2</f>
        <v>18.831718749999997</v>
      </c>
      <c r="E16" s="3">
        <f>ReReco!AP2</f>
        <v>0.76552460638024744</v>
      </c>
      <c r="F16" s="14">
        <v>0.2</v>
      </c>
      <c r="G16" s="2">
        <v>4.8</v>
      </c>
      <c r="H16" s="2">
        <v>23.5</v>
      </c>
      <c r="I16" s="3">
        <f ca="1">'efficiency CS long'!D16</f>
        <v>0.33340286200000002</v>
      </c>
      <c r="J16" s="3">
        <f ca="1">'acceptance CS long'!D16</f>
        <v>0.32617504399999997</v>
      </c>
      <c r="K16" s="2">
        <f ca="1">'raw yield'!D16</f>
        <v>192.94200000000001</v>
      </c>
      <c r="L16" s="2">
        <f ca="1">'raw yield'!E16</f>
        <v>16.0366</v>
      </c>
      <c r="M16" s="2">
        <f t="shared" ca="1" si="10"/>
        <v>1.7620731196010395</v>
      </c>
      <c r="N16" s="2">
        <f t="shared" ca="1" si="0"/>
        <v>0.14645676830236046</v>
      </c>
      <c r="O16" s="2">
        <f ca="1">'final systematics'!$K18*M16</f>
        <v>0.26364166092102531</v>
      </c>
      <c r="P16" s="3">
        <f>'efficiency CS long'!F16</f>
        <v>0.36499999999999999</v>
      </c>
      <c r="Q16" s="3">
        <f>'acceptance CS long'!F16</f>
        <v>0.314</v>
      </c>
      <c r="R16" s="2">
        <f ca="1">'raw yield'!F16</f>
        <v>137.012</v>
      </c>
      <c r="S16" s="2">
        <f ca="1">'raw yield'!G16</f>
        <v>15.0991</v>
      </c>
      <c r="T16" s="2">
        <f t="shared" ca="1" si="1"/>
        <v>1.1872803952064352</v>
      </c>
      <c r="U16" s="2">
        <f t="shared" ca="1" si="2"/>
        <v>0.13084157165256682</v>
      </c>
      <c r="V16" s="2">
        <f ca="1">'final systematics'!$K18*T16</f>
        <v>0.17764108191041908</v>
      </c>
      <c r="W16" s="3">
        <f>'efficiency CS long'!H16</f>
        <v>0.25600000000000001</v>
      </c>
      <c r="X16" s="3">
        <f>'acceptance CS long'!H16</f>
        <v>0.35599999999999998</v>
      </c>
      <c r="Y16" s="2">
        <f ca="1">'raw yield'!H16</f>
        <v>55.930399999999999</v>
      </c>
      <c r="Z16" s="2">
        <f ca="1">'raw yield'!I16</f>
        <v>10.9504</v>
      </c>
      <c r="AA16" s="15">
        <f t="shared" ca="1" si="3"/>
        <v>0.60950204247700324</v>
      </c>
      <c r="AB16" s="2">
        <f t="shared" ca="1" si="4"/>
        <v>0.11933208355277589</v>
      </c>
      <c r="AC16" s="2">
        <f ca="1">'final systematics'!$K$25*AA16</f>
        <v>9.8918517809607739E-2</v>
      </c>
      <c r="AD16" s="4">
        <f t="shared" ca="1" si="5"/>
        <v>-3.9999999999196234E-4</v>
      </c>
      <c r="AE16" s="3">
        <f t="shared" ca="1" si="6"/>
        <v>0.76783983935926736</v>
      </c>
      <c r="AF16" s="3">
        <f t="shared" ca="1" si="6"/>
        <v>1.0914384976675284</v>
      </c>
      <c r="AG16" s="4">
        <f ca="1">'raw yield'!J16</f>
        <v>0.28988199999999997</v>
      </c>
      <c r="AH16" s="4">
        <f ca="1">'raw yield'!K16</f>
        <v>5.1386599999999998E-2</v>
      </c>
      <c r="AI16" s="31">
        <f t="shared" ca="1" si="7"/>
        <v>0.34590061880213607</v>
      </c>
      <c r="AJ16" s="4">
        <f t="shared" ca="1" si="8"/>
        <v>6.1316869409407435E-2</v>
      </c>
      <c r="AK16" s="4">
        <f t="shared" ca="1" si="9"/>
        <v>6.9180123760427217E-2</v>
      </c>
    </row>
    <row r="17" spans="1:37">
      <c r="A17" s="41"/>
      <c r="B17" s="41"/>
      <c r="C17" s="8" t="s">
        <v>25</v>
      </c>
      <c r="D17" s="3">
        <f>ReReco!AO10</f>
        <v>2.3702092089843747</v>
      </c>
      <c r="E17" s="3">
        <f>ReReco!AP10</f>
        <v>0.11851304934598646</v>
      </c>
      <c r="F17" s="14">
        <v>0.8</v>
      </c>
      <c r="G17" s="2">
        <v>4.8</v>
      </c>
      <c r="H17" s="2">
        <v>23.5</v>
      </c>
      <c r="I17" s="3">
        <f ca="1">'efficiency CS long'!D17</f>
        <v>0.37669612000000002</v>
      </c>
      <c r="J17" s="3">
        <f ca="1">'acceptance CS long'!D17</f>
        <v>0.32060693600000001</v>
      </c>
      <c r="K17" s="2">
        <f ca="1">'raw yield'!D17</f>
        <v>204.755</v>
      </c>
      <c r="L17" s="2">
        <f ca="1">'raw yield'!E17</f>
        <v>15.3818</v>
      </c>
      <c r="M17" s="2">
        <f t="shared" ca="1" si="10"/>
        <v>3.3444980370516486</v>
      </c>
      <c r="N17" s="2">
        <f t="shared" ca="1" si="0"/>
        <v>0.25124856490108205</v>
      </c>
      <c r="O17" s="2">
        <f ca="1">'final systematics'!$K19*M17</f>
        <v>0.55260092924390802</v>
      </c>
      <c r="P17" s="3">
        <f>'efficiency CS long'!F17</f>
        <v>0.39400000000000002</v>
      </c>
      <c r="Q17" s="3">
        <f>'acceptance CS long'!F17</f>
        <v>0.314</v>
      </c>
      <c r="R17" s="2">
        <f ca="1">'raw yield'!F17</f>
        <v>172.54599999999999</v>
      </c>
      <c r="S17" s="2">
        <f ca="1">'raw yield'!G17</f>
        <v>14.903499999999999</v>
      </c>
      <c r="T17" s="2">
        <f t="shared" ca="1" si="1"/>
        <v>2.7513099332524038</v>
      </c>
      <c r="U17" s="2">
        <f t="shared" ca="1" si="2"/>
        <v>0.23764183226633592</v>
      </c>
      <c r="V17" s="2">
        <f ca="1">'final systematics'!$K19*T17</f>
        <v>0.4545903178623375</v>
      </c>
      <c r="W17" s="3">
        <f>'efficiency CS long'!H17</f>
        <v>0.28399999999999997</v>
      </c>
      <c r="X17" s="3">
        <f>'acceptance CS long'!H17</f>
        <v>0.35599999999999998</v>
      </c>
      <c r="Y17" s="2">
        <f ca="1">'raw yield'!H17</f>
        <v>32.209800000000001</v>
      </c>
      <c r="Z17" s="2">
        <f ca="1">'raw yield'!I17</f>
        <v>7.7429699999999997</v>
      </c>
      <c r="AA17" s="15">
        <f ca="1">Y17/($D17*$F17*$G17*W17*X17*$B$21)</f>
        <v>0.6284636745400658</v>
      </c>
      <c r="AB17" s="2">
        <f t="shared" ca="1" si="4"/>
        <v>0.15107747884350392</v>
      </c>
      <c r="AC17" s="2">
        <f ca="1">'final systematics'!$K$25*AA17</f>
        <v>0.10199587671607942</v>
      </c>
      <c r="AD17" s="4">
        <f t="shared" ca="1" si="5"/>
        <v>-7.9999999999813554E-4</v>
      </c>
      <c r="AE17" s="3">
        <f t="shared" ca="1" si="6"/>
        <v>0.75392334808226846</v>
      </c>
      <c r="AF17" s="3">
        <f t="shared" ca="1" si="6"/>
        <v>1.1103939435670849</v>
      </c>
      <c r="AG17" s="4">
        <f ca="1">'raw yield'!J17</f>
        <v>0.157308</v>
      </c>
      <c r="AH17" s="4">
        <f ca="1">'raw yield'!K17</f>
        <v>3.5921799999999997E-2</v>
      </c>
      <c r="AI17" s="31">
        <f t="shared" ca="1" si="7"/>
        <v>0.18790854600271845</v>
      </c>
      <c r="AJ17" s="4">
        <f t="shared" ca="1" si="8"/>
        <v>4.290953548325864E-2</v>
      </c>
      <c r="AK17" s="4">
        <f t="shared" ca="1" si="9"/>
        <v>3.7581709200543691E-2</v>
      </c>
    </row>
    <row r="18" spans="1:37"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37"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1" spans="1:37">
      <c r="A21" t="s">
        <v>41</v>
      </c>
      <c r="B21" s="12">
        <v>55.695692000000001</v>
      </c>
    </row>
    <row r="22" spans="1:37">
      <c r="A22" t="s">
        <v>139</v>
      </c>
      <c r="B22" s="12">
        <v>56.515360999999999</v>
      </c>
    </row>
    <row r="24" spans="1:37">
      <c r="A24" t="s">
        <v>135</v>
      </c>
    </row>
    <row r="25" spans="1:37">
      <c r="A25" s="1" t="s">
        <v>29</v>
      </c>
      <c r="B25" s="1" t="s">
        <v>1</v>
      </c>
      <c r="C25" s="1" t="s">
        <v>30</v>
      </c>
      <c r="K25" s="1" t="s">
        <v>142</v>
      </c>
      <c r="L25" s="1" t="s">
        <v>4</v>
      </c>
      <c r="M25" s="11" t="s">
        <v>37</v>
      </c>
      <c r="N25" s="11" t="s">
        <v>4</v>
      </c>
      <c r="O25" s="11" t="s">
        <v>38</v>
      </c>
    </row>
    <row r="26" spans="1:37">
      <c r="A26" s="49" t="s">
        <v>126</v>
      </c>
      <c r="B26" s="1" t="s">
        <v>128</v>
      </c>
      <c r="C26" s="42" t="s">
        <v>10</v>
      </c>
      <c r="D26" s="3">
        <f>ReReco!U$42</f>
        <v>5.6625111171875</v>
      </c>
      <c r="E26" s="2"/>
      <c r="F26" s="2">
        <v>1</v>
      </c>
      <c r="G26" s="2">
        <v>4.8</v>
      </c>
      <c r="H26" s="2">
        <v>6.5</v>
      </c>
      <c r="I26" s="3">
        <f>'[3]syst efficiency'!$D30</f>
        <v>0.54500000000000004</v>
      </c>
      <c r="J26" s="3">
        <f>'[3]syst acceptance'!$C$21</f>
        <v>0.19</v>
      </c>
      <c r="K26">
        <v>44.410499999999999</v>
      </c>
      <c r="L26">
        <v>8.5847599999999993</v>
      </c>
      <c r="M26" s="3">
        <f>K26/($D26*$F26*$G26*I26*J26*$B$21)</f>
        <v>0.28331113906430017</v>
      </c>
      <c r="N26" s="3">
        <f>L26/K26*M26</f>
        <v>5.4765385082213472E-2</v>
      </c>
      <c r="O26" s="3">
        <f>'[3]final systematics'!$K38*M26</f>
        <v>5.1685968379437348E-2</v>
      </c>
    </row>
    <row r="27" spans="1:37">
      <c r="A27" s="49"/>
      <c r="B27" s="1" t="s">
        <v>129</v>
      </c>
      <c r="C27" s="42"/>
      <c r="D27" s="3">
        <f>ReReco!U$42</f>
        <v>5.6625111171875</v>
      </c>
      <c r="E27" s="2"/>
      <c r="F27" s="2">
        <v>1</v>
      </c>
      <c r="G27" s="2">
        <v>4.8</v>
      </c>
      <c r="H27" s="2">
        <v>3.5</v>
      </c>
      <c r="I27" s="3">
        <f>'[3]syst efficiency'!$D31</f>
        <v>0.52700000000000002</v>
      </c>
      <c r="J27" s="3">
        <f>'[3]syst acceptance'!$C$23</f>
        <v>0.23499999999999999</v>
      </c>
      <c r="K27">
        <v>18.543500000000002</v>
      </c>
      <c r="L27">
        <v>5.4721299999999999</v>
      </c>
      <c r="M27" s="3">
        <f t="shared" ref="M27:M34" si="11">K27/($D27*$F27*$G27*I27*J27*$B$21)</f>
        <v>9.8910255068349426E-2</v>
      </c>
      <c r="N27" s="3">
        <f t="shared" ref="N27:N34" si="12">L27/K27*M27</f>
        <v>2.9188113035142602E-2</v>
      </c>
      <c r="O27" s="3">
        <f>'[3]final systematics'!$K39*M27</f>
        <v>1.8473586344581672E-2</v>
      </c>
    </row>
    <row r="28" spans="1:37">
      <c r="A28" s="49"/>
      <c r="B28" s="11" t="s">
        <v>136</v>
      </c>
      <c r="C28" s="42"/>
      <c r="D28" s="3">
        <f>ReReco!U$42</f>
        <v>5.6625111171875</v>
      </c>
      <c r="E28" s="2"/>
      <c r="F28" s="2">
        <v>1</v>
      </c>
      <c r="G28" s="2">
        <v>4.8</v>
      </c>
      <c r="H28" s="2">
        <v>10</v>
      </c>
      <c r="I28" s="3">
        <f>'[3]syst efficiency'!$D32</f>
        <v>0.56100000000000005</v>
      </c>
      <c r="J28" s="3">
        <f>'[3]syst acceptance'!$C$24</f>
        <v>0.4</v>
      </c>
      <c r="K28">
        <v>23.6144</v>
      </c>
      <c r="L28">
        <v>5.6167899999999999</v>
      </c>
      <c r="M28" s="3">
        <f t="shared" si="11"/>
        <v>6.9515580458556214E-2</v>
      </c>
      <c r="N28" s="3">
        <f t="shared" si="12"/>
        <v>1.6534589791136506E-2</v>
      </c>
      <c r="O28" s="3">
        <f>'[3]final systematics'!$K40*M28</f>
        <v>1.2243858147717472E-2</v>
      </c>
    </row>
    <row r="29" spans="1:37">
      <c r="A29" s="49"/>
      <c r="B29" s="11" t="s">
        <v>137</v>
      </c>
      <c r="C29" s="42"/>
      <c r="D29" s="3">
        <f>ReReco!U$42</f>
        <v>5.6625111171875</v>
      </c>
      <c r="E29" s="2"/>
      <c r="F29" s="2">
        <v>1</v>
      </c>
      <c r="G29" s="2">
        <v>4.8</v>
      </c>
      <c r="H29" s="2">
        <v>20</v>
      </c>
      <c r="I29" s="3">
        <f>'[3]syst efficiency'!$D33</f>
        <v>0.59</v>
      </c>
      <c r="J29" s="3">
        <f>'[3]syst acceptance'!$C$22</f>
        <v>0.216</v>
      </c>
      <c r="K29">
        <v>86.328599999999994</v>
      </c>
      <c r="L29">
        <v>11.6915</v>
      </c>
      <c r="M29" s="30">
        <f t="shared" si="11"/>
        <v>0.44748349957683048</v>
      </c>
      <c r="N29" s="3">
        <f t="shared" si="12"/>
        <v>6.0602782105843411E-2</v>
      </c>
      <c r="O29" s="3">
        <f>'[3]final systematics'!$K41*M29</f>
        <v>8.2509868505309183E-2</v>
      </c>
    </row>
    <row r="30" spans="1:37">
      <c r="A30" s="7" t="s">
        <v>130</v>
      </c>
      <c r="B30" s="45" t="s">
        <v>137</v>
      </c>
      <c r="C30" s="42" t="s">
        <v>10</v>
      </c>
      <c r="D30" s="3">
        <f>ReReco!U$42</f>
        <v>5.6625111171875</v>
      </c>
      <c r="E30" s="2"/>
      <c r="F30" s="2">
        <v>1</v>
      </c>
      <c r="G30" s="2">
        <v>2.4</v>
      </c>
      <c r="H30" s="2">
        <v>20</v>
      </c>
      <c r="I30" s="3">
        <f>'[3]syst efficiency'!$D34</f>
        <v>0.53700000000000003</v>
      </c>
      <c r="J30" s="3">
        <f>'[3]syst acceptance'!$C$25</f>
        <v>0.23799999999999999</v>
      </c>
      <c r="K30">
        <v>47.967100000000002</v>
      </c>
      <c r="L30">
        <v>8.7989899999999999</v>
      </c>
      <c r="M30" s="29">
        <f t="shared" si="11"/>
        <v>0.49584998704578942</v>
      </c>
      <c r="N30" s="3">
        <f t="shared" si="12"/>
        <v>9.0957741400168657E-2</v>
      </c>
      <c r="O30" s="3">
        <f>'[3]final systematics'!$K42*M30</f>
        <v>9.0604096791037175E-2</v>
      </c>
    </row>
    <row r="31" spans="1:37">
      <c r="A31" s="27" t="s">
        <v>138</v>
      </c>
      <c r="B31" s="45"/>
      <c r="C31" s="42"/>
      <c r="D31" s="3">
        <f>ReReco!U$42</f>
        <v>5.6625111171875</v>
      </c>
      <c r="E31" s="2"/>
      <c r="F31" s="2">
        <v>1</v>
      </c>
      <c r="G31" s="2">
        <v>2.4</v>
      </c>
      <c r="H31" s="2">
        <v>20</v>
      </c>
      <c r="I31" s="3">
        <f>'[3]syst efficiency'!$D35</f>
        <v>0.55800000000000005</v>
      </c>
      <c r="J31" s="3">
        <f>'[3]syst acceptance'!$C$26</f>
        <v>0.188</v>
      </c>
      <c r="K31">
        <v>39.5276</v>
      </c>
      <c r="L31">
        <v>7.7267000000000001</v>
      </c>
      <c r="M31" s="29">
        <f t="shared" si="11"/>
        <v>0.49781328715119322</v>
      </c>
      <c r="N31" s="3">
        <f t="shared" si="12"/>
        <v>9.7310586168427249E-2</v>
      </c>
      <c r="O31" s="3">
        <f>'[3]final systematics'!$K43*M31</f>
        <v>9.205447488666374E-2</v>
      </c>
    </row>
    <row r="32" spans="1:37">
      <c r="A32" s="44" t="s">
        <v>126</v>
      </c>
      <c r="B32" s="45" t="s">
        <v>137</v>
      </c>
      <c r="C32" s="8" t="s">
        <v>18</v>
      </c>
      <c r="D32" s="3">
        <f>ReReco!U2</f>
        <v>23.185742187499997</v>
      </c>
      <c r="E32" s="2"/>
      <c r="F32" s="2">
        <v>0.1</v>
      </c>
      <c r="G32" s="2">
        <v>4.8</v>
      </c>
      <c r="H32" s="2">
        <v>20</v>
      </c>
      <c r="I32" s="3">
        <f>'[3]syst efficiency'!$D36</f>
        <v>0.51700000000000002</v>
      </c>
      <c r="J32" s="3">
        <f>'[3]syst acceptance'!$C$22</f>
        <v>0.216</v>
      </c>
      <c r="K32">
        <v>23.990500000000001</v>
      </c>
      <c r="L32">
        <v>6.6101400000000003</v>
      </c>
      <c r="M32" s="30">
        <f t="shared" si="11"/>
        <v>0.34658611593338096</v>
      </c>
      <c r="N32" s="3">
        <f t="shared" si="12"/>
        <v>9.5495414784013619E-2</v>
      </c>
      <c r="O32" s="3">
        <f>'[3]final systematics'!$K44*M32</f>
        <v>6.9373812139812238E-2</v>
      </c>
    </row>
    <row r="33" spans="1:15">
      <c r="A33" s="44"/>
      <c r="B33" s="45"/>
      <c r="C33" s="8" t="s">
        <v>19</v>
      </c>
      <c r="D33" s="3">
        <f>ReReco!U6</f>
        <v>14.4776953125</v>
      </c>
      <c r="E33" s="2"/>
      <c r="F33" s="2">
        <v>0.1</v>
      </c>
      <c r="G33" s="2">
        <v>4.8</v>
      </c>
      <c r="H33" s="2">
        <v>20</v>
      </c>
      <c r="I33" s="3">
        <f>'[3]syst efficiency'!$D37</f>
        <v>0.55800000000000005</v>
      </c>
      <c r="J33" s="3">
        <f>'[3]syst acceptance'!$C$22</f>
        <v>0.216</v>
      </c>
      <c r="K33">
        <v>30.011399999999998</v>
      </c>
      <c r="L33">
        <v>6.7252299999999998</v>
      </c>
      <c r="M33" s="30">
        <f t="shared" si="11"/>
        <v>0.64333329884342161</v>
      </c>
      <c r="N33" s="3">
        <f t="shared" si="12"/>
        <v>0.14416403104756009</v>
      </c>
      <c r="O33" s="3">
        <f>'[3]final systematics'!$K45*M33</f>
        <v>0.11803573726830351</v>
      </c>
    </row>
    <row r="34" spans="1:15">
      <c r="A34" s="44"/>
      <c r="B34" s="45"/>
      <c r="C34" s="8" t="s">
        <v>25</v>
      </c>
      <c r="D34" s="3">
        <f>ReReco!AO10</f>
        <v>2.3702092089843747</v>
      </c>
      <c r="E34" s="2"/>
      <c r="F34" s="2">
        <v>0.8</v>
      </c>
      <c r="G34" s="2">
        <v>4.8</v>
      </c>
      <c r="H34" s="2">
        <v>20</v>
      </c>
      <c r="I34" s="3">
        <f>'[3]syst efficiency'!$D38</f>
        <v>0.56499999999999995</v>
      </c>
      <c r="J34" s="3">
        <f>'[3]syst acceptance'!$C$22</f>
        <v>0.216</v>
      </c>
      <c r="K34">
        <v>32.000300000000003</v>
      </c>
      <c r="L34">
        <v>6.9220100000000002</v>
      </c>
      <c r="M34" s="30">
        <f t="shared" si="11"/>
        <v>0.51726410380410115</v>
      </c>
      <c r="N34" s="3">
        <f t="shared" si="12"/>
        <v>0.11188980413224332</v>
      </c>
      <c r="O34" s="3">
        <f>'[3]final systematics'!$K46*M34</f>
        <v>0.10093050319718043</v>
      </c>
    </row>
  </sheetData>
  <mergeCells count="12">
    <mergeCell ref="A26:A29"/>
    <mergeCell ref="C26:C29"/>
    <mergeCell ref="B30:B31"/>
    <mergeCell ref="C30:C31"/>
    <mergeCell ref="A32:A34"/>
    <mergeCell ref="B32:B34"/>
    <mergeCell ref="A2:A4"/>
    <mergeCell ref="C2:C9"/>
    <mergeCell ref="A6:A7"/>
    <mergeCell ref="A8:A9"/>
    <mergeCell ref="A10:A17"/>
    <mergeCell ref="B10:B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Ruler="0" workbookViewId="0">
      <selection activeCell="F2" sqref="F2:H17"/>
    </sheetView>
  </sheetViews>
  <sheetFormatPr baseColWidth="10" defaultRowHeight="15" x14ac:dyDescent="0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6</v>
      </c>
      <c r="I1" s="1" t="s">
        <v>4</v>
      </c>
      <c r="J1" s="1" t="s">
        <v>7</v>
      </c>
      <c r="K1" s="1" t="s">
        <v>4</v>
      </c>
      <c r="M1" s="1"/>
    </row>
    <row r="2" spans="1:13">
      <c r="A2" s="1" t="s">
        <v>8</v>
      </c>
      <c r="B2" s="1" t="s">
        <v>9</v>
      </c>
      <c r="C2" s="1" t="s">
        <v>10</v>
      </c>
      <c r="D2" s="4">
        <f t="shared" ref="D2:D15" ca="1" si="0">(1-J2)*F2+J2*H2</f>
        <v>0.36040715499999998</v>
      </c>
      <c r="E2" s="4">
        <f t="shared" ref="E2:E15" si="1">G2</f>
        <v>6.0000000000000001E-3</v>
      </c>
      <c r="F2" s="3">
        <v>0.38100000000000001</v>
      </c>
      <c r="G2" s="3">
        <v>6.0000000000000001E-3</v>
      </c>
      <c r="H2" s="34">
        <v>0.28999999999999998</v>
      </c>
      <c r="I2" s="34">
        <v>6.0000000000000001E-3</v>
      </c>
      <c r="J2" s="4">
        <f ca="1">[1]Summary!J3</f>
        <v>0.226295</v>
      </c>
      <c r="K2" s="4">
        <f ca="1">[1]Summary!K3</f>
        <v>3.1122199999999999E-2</v>
      </c>
    </row>
    <row r="3" spans="1:13">
      <c r="A3" s="1" t="s">
        <v>8</v>
      </c>
      <c r="B3" s="1" t="s">
        <v>11</v>
      </c>
      <c r="C3" s="1" t="s">
        <v>10</v>
      </c>
      <c r="D3" s="4">
        <f t="shared" ref="D3:D6" si="2">F3</f>
        <v>0.34399999999999997</v>
      </c>
      <c r="E3" s="4">
        <f t="shared" si="1"/>
        <v>8.0000000000000002E-3</v>
      </c>
      <c r="F3" s="3">
        <v>0.34399999999999997</v>
      </c>
      <c r="G3" s="3">
        <v>8.0000000000000002E-3</v>
      </c>
      <c r="H3" s="34"/>
      <c r="I3" s="34"/>
      <c r="J3" s="4">
        <f ca="1">[1]Summary!J4</f>
        <v>0.20045499999999999</v>
      </c>
      <c r="K3" s="4">
        <f ca="1">[1]Summary!K4</f>
        <v>3.72783E-2</v>
      </c>
    </row>
    <row r="4" spans="1:13">
      <c r="A4" s="1" t="s">
        <v>8</v>
      </c>
      <c r="B4" s="1" t="s">
        <v>12</v>
      </c>
      <c r="C4" s="1" t="s">
        <v>10</v>
      </c>
      <c r="D4" s="4">
        <f t="shared" si="2"/>
        <v>0.47799999999999998</v>
      </c>
      <c r="E4" s="4">
        <f t="shared" si="1"/>
        <v>8.0000000000000002E-3</v>
      </c>
      <c r="F4" s="3">
        <v>0.47799999999999998</v>
      </c>
      <c r="G4" s="3">
        <v>8.0000000000000002E-3</v>
      </c>
      <c r="H4" s="34"/>
      <c r="I4" s="34"/>
      <c r="J4" s="4">
        <f ca="1">[1]Summary!J5</f>
        <v>0.25241999999999998</v>
      </c>
      <c r="K4" s="4">
        <f ca="1">[1]Summary!K5</f>
        <v>4.9706199999999999E-2</v>
      </c>
    </row>
    <row r="5" spans="1:13">
      <c r="A5" s="1" t="s">
        <v>13</v>
      </c>
      <c r="B5" s="1" t="s">
        <v>9</v>
      </c>
      <c r="C5" s="1" t="s">
        <v>10</v>
      </c>
      <c r="D5" s="4">
        <f t="shared" si="2"/>
        <v>0.38200000000000001</v>
      </c>
      <c r="E5" s="4">
        <f t="shared" si="1"/>
        <v>8.9999999999999993E-3</v>
      </c>
      <c r="F5" s="3">
        <v>0.38200000000000001</v>
      </c>
      <c r="G5" s="3">
        <v>8.9999999999999993E-3</v>
      </c>
      <c r="H5" s="34"/>
      <c r="I5" s="34"/>
      <c r="J5" s="4">
        <f ca="1">[1]Summary!J6</f>
        <v>0.21274199999999999</v>
      </c>
      <c r="K5" s="4">
        <f ca="1">[1]Summary!K6</f>
        <v>4.4714999999999998E-2</v>
      </c>
    </row>
    <row r="6" spans="1:13">
      <c r="A6" s="1" t="s">
        <v>14</v>
      </c>
      <c r="B6" s="1" t="s">
        <v>9</v>
      </c>
      <c r="C6" s="1" t="s">
        <v>10</v>
      </c>
      <c r="D6" s="4">
        <f t="shared" si="2"/>
        <v>0.41099999999999998</v>
      </c>
      <c r="E6" s="4">
        <f t="shared" si="1"/>
        <v>1.2999999999999999E-2</v>
      </c>
      <c r="F6" s="3">
        <v>0.41099999999999998</v>
      </c>
      <c r="G6" s="3">
        <v>1.2999999999999999E-2</v>
      </c>
      <c r="H6" s="34"/>
      <c r="I6" s="34"/>
      <c r="J6" s="4">
        <f ca="1">[1]Summary!J7</f>
        <v>0.20683199999999999</v>
      </c>
      <c r="K6" s="4">
        <f ca="1">[1]Summary!K7</f>
        <v>6.7050999999999999E-2</v>
      </c>
    </row>
    <row r="7" spans="1:13">
      <c r="A7" s="1" t="s">
        <v>14</v>
      </c>
      <c r="B7" s="1" t="s">
        <v>15</v>
      </c>
      <c r="C7" s="1" t="s">
        <v>10</v>
      </c>
      <c r="D7" s="4">
        <f>F7</f>
        <v>0.375</v>
      </c>
      <c r="E7" s="4">
        <f t="shared" si="1"/>
        <v>1.2E-2</v>
      </c>
      <c r="F7" s="3">
        <v>0.375</v>
      </c>
      <c r="G7" s="3">
        <v>1.2E-2</v>
      </c>
      <c r="H7" s="34"/>
      <c r="I7" s="34"/>
      <c r="J7" s="4">
        <f ca="1">[1]Summary!J8</f>
        <v>0.148811</v>
      </c>
      <c r="K7" s="4">
        <f ca="1">[1]Summary!K8</f>
        <v>6.8435399999999993E-2</v>
      </c>
    </row>
    <row r="8" spans="1:13">
      <c r="A8" s="1" t="s">
        <v>16</v>
      </c>
      <c r="B8" s="1" t="s">
        <v>9</v>
      </c>
      <c r="C8" s="1" t="s">
        <v>10</v>
      </c>
      <c r="D8" s="4">
        <f t="shared" ca="1" si="0"/>
        <v>0.34643989599999997</v>
      </c>
      <c r="E8" s="4">
        <f t="shared" si="1"/>
        <v>1.2E-2</v>
      </c>
      <c r="F8" s="3">
        <v>0.35799999999999998</v>
      </c>
      <c r="G8" s="3">
        <v>1.2E-2</v>
      </c>
      <c r="H8" s="34">
        <v>0.28599999999999998</v>
      </c>
      <c r="I8" s="34">
        <v>1.2E-2</v>
      </c>
      <c r="J8" s="4">
        <f ca="1">[1]Summary!J9</f>
        <v>0.16055700000000001</v>
      </c>
      <c r="K8" s="4">
        <f ca="1">[1]Summary!K9</f>
        <v>4.7643499999999998E-2</v>
      </c>
    </row>
    <row r="9" spans="1:13">
      <c r="A9" s="1" t="s">
        <v>16</v>
      </c>
      <c r="B9" s="1" t="s">
        <v>17</v>
      </c>
      <c r="C9" s="1" t="s">
        <v>10</v>
      </c>
      <c r="D9" s="4">
        <f t="shared" ca="1" si="0"/>
        <v>0.28414441600000001</v>
      </c>
      <c r="E9" s="4">
        <f t="shared" si="1"/>
        <v>8.9999999999999993E-3</v>
      </c>
      <c r="F9" s="3">
        <v>0.29199999999999998</v>
      </c>
      <c r="G9" s="3">
        <v>8.9999999999999993E-3</v>
      </c>
      <c r="H9" s="34">
        <v>0.24399999999999999</v>
      </c>
      <c r="I9" s="34">
        <v>8.0000000000000002E-3</v>
      </c>
      <c r="J9" s="4">
        <f ca="1">[1]Summary!J10</f>
        <v>0.163658</v>
      </c>
      <c r="K9" s="4">
        <f ca="1">[1]Summary!K10</f>
        <v>3.5430400000000001E-2</v>
      </c>
    </row>
    <row r="10" spans="1:13">
      <c r="A10" s="1" t="s">
        <v>8</v>
      </c>
      <c r="B10" s="1" t="s">
        <v>9</v>
      </c>
      <c r="C10" s="1" t="s">
        <v>18</v>
      </c>
      <c r="D10" s="4">
        <f>F10</f>
        <v>0.36299999999999999</v>
      </c>
      <c r="E10" s="4">
        <f t="shared" si="1"/>
        <v>1.2E-2</v>
      </c>
      <c r="F10" s="3">
        <v>0.36299999999999999</v>
      </c>
      <c r="G10" s="3">
        <v>1.2E-2</v>
      </c>
      <c r="H10" s="34"/>
      <c r="I10" s="34"/>
      <c r="J10" s="4">
        <f ca="1">[1]Summary!J11</f>
        <v>0.29775099999999999</v>
      </c>
      <c r="K10" s="4">
        <f ca="1">[1]Summary!K11</f>
        <v>6.4536999999999997E-2</v>
      </c>
    </row>
    <row r="11" spans="1:13">
      <c r="A11" s="1" t="s">
        <v>8</v>
      </c>
      <c r="B11" s="1" t="s">
        <v>9</v>
      </c>
      <c r="C11" s="1" t="s">
        <v>19</v>
      </c>
      <c r="D11" s="4">
        <f t="shared" ref="D11:D15" si="3">F11</f>
        <v>0.38600000000000001</v>
      </c>
      <c r="E11" s="4">
        <f t="shared" si="1"/>
        <v>1.2E-2</v>
      </c>
      <c r="F11" s="3">
        <v>0.38600000000000001</v>
      </c>
      <c r="G11" s="3">
        <v>1.2E-2</v>
      </c>
      <c r="H11" s="34"/>
      <c r="I11" s="34"/>
      <c r="J11" s="4">
        <f ca="1">[1]Summary!J12</f>
        <v>0.288387</v>
      </c>
      <c r="K11" s="4">
        <f ca="1">[1]Summary!K12</f>
        <v>7.3523400000000003E-2</v>
      </c>
    </row>
    <row r="12" spans="1:13">
      <c r="A12" s="1" t="s">
        <v>8</v>
      </c>
      <c r="B12" s="1" t="s">
        <v>9</v>
      </c>
      <c r="C12" s="1" t="s">
        <v>20</v>
      </c>
      <c r="D12" s="4">
        <f t="shared" si="3"/>
        <v>0.38900000000000001</v>
      </c>
      <c r="E12" s="4">
        <f t="shared" si="1"/>
        <v>1.2E-2</v>
      </c>
      <c r="F12" s="3">
        <v>0.38900000000000001</v>
      </c>
      <c r="G12" s="3">
        <v>1.2E-2</v>
      </c>
      <c r="H12" s="34"/>
      <c r="I12" s="34"/>
      <c r="J12" s="4">
        <f ca="1">[1]Summary!J13</f>
        <v>7.0795200000000003E-2</v>
      </c>
      <c r="K12" s="4">
        <f ca="1">[1]Summary!K13</f>
        <v>4.8721899999999999E-2</v>
      </c>
    </row>
    <row r="13" spans="1:13">
      <c r="A13" s="1" t="s">
        <v>8</v>
      </c>
      <c r="B13" s="1" t="s">
        <v>9</v>
      </c>
      <c r="C13" s="1" t="s">
        <v>21</v>
      </c>
      <c r="D13" s="4">
        <f t="shared" si="3"/>
        <v>0.39300000000000002</v>
      </c>
      <c r="E13" s="4">
        <f t="shared" si="1"/>
        <v>1.2E-2</v>
      </c>
      <c r="F13" s="3">
        <v>0.39300000000000002</v>
      </c>
      <c r="G13" s="3">
        <v>1.2E-2</v>
      </c>
      <c r="H13" s="34"/>
      <c r="I13" s="34"/>
      <c r="J13" s="4">
        <f ca="1">[1]Summary!J14</f>
        <v>0.18159700000000001</v>
      </c>
      <c r="K13" s="4">
        <f ca="1">[1]Summary!K14</f>
        <v>6.6892300000000002E-2</v>
      </c>
    </row>
    <row r="14" spans="1:13">
      <c r="A14" s="1" t="s">
        <v>8</v>
      </c>
      <c r="B14" s="1" t="s">
        <v>9</v>
      </c>
      <c r="C14" s="1" t="s">
        <v>22</v>
      </c>
      <c r="D14" s="4">
        <f t="shared" si="3"/>
        <v>0.40799999999999997</v>
      </c>
      <c r="E14" s="4">
        <f t="shared" si="1"/>
        <v>1.2E-2</v>
      </c>
      <c r="F14" s="3">
        <v>0.40799999999999997</v>
      </c>
      <c r="G14" s="3">
        <v>1.2E-2</v>
      </c>
      <c r="H14" s="34"/>
      <c r="I14" s="34"/>
      <c r="J14" s="4">
        <f ca="1">[1]Summary!J15</f>
        <v>0.23267199999999999</v>
      </c>
      <c r="K14" s="4">
        <f ca="1">[1]Summary!K15</f>
        <v>8.8123599999999996E-2</v>
      </c>
    </row>
    <row r="15" spans="1:13">
      <c r="A15" s="1" t="s">
        <v>8</v>
      </c>
      <c r="B15" s="1" t="s">
        <v>9</v>
      </c>
      <c r="C15" s="1" t="s">
        <v>23</v>
      </c>
      <c r="D15" s="4">
        <f t="shared" si="3"/>
        <v>0.439</v>
      </c>
      <c r="E15" s="4">
        <f t="shared" si="1"/>
        <v>7.0000000000000001E-3</v>
      </c>
      <c r="F15" s="3">
        <v>0.439</v>
      </c>
      <c r="G15" s="3">
        <v>7.0000000000000001E-3</v>
      </c>
      <c r="H15" s="34"/>
      <c r="I15" s="34"/>
      <c r="J15" s="4">
        <f ca="1">[1]Summary!J16</f>
        <v>0.202379</v>
      </c>
      <c r="K15" s="4">
        <f ca="1">[1]Summary!K16</f>
        <v>7.7282900000000002E-2</v>
      </c>
    </row>
    <row r="16" spans="1:13">
      <c r="A16" s="1" t="s">
        <v>8</v>
      </c>
      <c r="B16" s="1" t="s">
        <v>9</v>
      </c>
      <c r="C16" s="1" t="s">
        <v>24</v>
      </c>
      <c r="D16" s="4">
        <f ca="1">(1-J16)*F16+J16*H16</f>
        <v>0.34346121000000002</v>
      </c>
      <c r="E16" s="4">
        <f t="shared" ref="E16:E17" si="4">G16</f>
        <v>8.9999999999999993E-3</v>
      </c>
      <c r="F16" s="3">
        <v>0.371</v>
      </c>
      <c r="G16" s="3">
        <v>8.9999999999999993E-3</v>
      </c>
      <c r="H16" s="35">
        <v>0.27600000000000002</v>
      </c>
      <c r="I16" s="35">
        <v>8.9999999999999993E-3</v>
      </c>
      <c r="J16" s="4">
        <f ca="1">[1]Summary!J17</f>
        <v>0.28988199999999997</v>
      </c>
      <c r="K16" s="4">
        <f ca="1">[1]Summary!K17</f>
        <v>5.1386599999999998E-2</v>
      </c>
    </row>
    <row r="17" spans="1:11">
      <c r="A17" s="1" t="s">
        <v>8</v>
      </c>
      <c r="B17" s="1" t="s">
        <v>9</v>
      </c>
      <c r="C17" s="1" t="s">
        <v>25</v>
      </c>
      <c r="D17" s="4">
        <f ca="1">(1-J17)*F17+J17*H17</f>
        <v>0.385999588</v>
      </c>
      <c r="E17" s="4">
        <f t="shared" si="4"/>
        <v>8.0000000000000002E-3</v>
      </c>
      <c r="F17" s="3">
        <v>0.4</v>
      </c>
      <c r="G17" s="3">
        <v>8.0000000000000002E-3</v>
      </c>
      <c r="H17" s="35">
        <v>0.311</v>
      </c>
      <c r="I17" s="35">
        <v>7.0000000000000001E-3</v>
      </c>
      <c r="J17" s="4">
        <f ca="1">[1]Summary!J18</f>
        <v>0.157308</v>
      </c>
      <c r="K17" s="4">
        <f ca="1">[1]Summary!K18</f>
        <v>3.5921799999999997E-2</v>
      </c>
    </row>
    <row r="20" spans="1:11">
      <c r="A20" s="1" t="s">
        <v>0</v>
      </c>
      <c r="B20" s="1" t="s">
        <v>1</v>
      </c>
      <c r="C20" s="1" t="s">
        <v>2</v>
      </c>
      <c r="D20" t="s">
        <v>149</v>
      </c>
    </row>
    <row r="21" spans="1:11">
      <c r="A21" s="49" t="s">
        <v>126</v>
      </c>
      <c r="B21" s="1" t="s">
        <v>128</v>
      </c>
      <c r="C21" s="42" t="s">
        <v>10</v>
      </c>
      <c r="D21" s="34">
        <v>0.52500000000000002</v>
      </c>
      <c r="E21" s="34">
        <v>1.0999999999999999E-2</v>
      </c>
    </row>
    <row r="22" spans="1:11">
      <c r="A22" s="49"/>
      <c r="B22" s="1" t="s">
        <v>129</v>
      </c>
      <c r="C22" s="42"/>
      <c r="D22" s="34">
        <v>0.55700000000000005</v>
      </c>
      <c r="E22" s="34">
        <v>1.4E-2</v>
      </c>
    </row>
    <row r="23" spans="1:11">
      <c r="A23" s="49"/>
      <c r="B23" s="11" t="s">
        <v>136</v>
      </c>
      <c r="C23" s="42"/>
      <c r="D23" s="34">
        <v>0.58599999999999997</v>
      </c>
      <c r="E23" s="34">
        <v>1.2E-2</v>
      </c>
    </row>
    <row r="24" spans="1:11">
      <c r="A24" s="49"/>
      <c r="B24" s="11" t="s">
        <v>137</v>
      </c>
      <c r="C24" s="42"/>
      <c r="D24" s="34">
        <v>0.54200000000000004</v>
      </c>
      <c r="E24" s="34">
        <v>7.0000000000000001E-3</v>
      </c>
    </row>
    <row r="25" spans="1:11">
      <c r="A25" s="7" t="s">
        <v>130</v>
      </c>
      <c r="B25" s="45" t="s">
        <v>137</v>
      </c>
      <c r="C25" s="42" t="s">
        <v>10</v>
      </c>
      <c r="D25" s="34">
        <v>0.53400000000000003</v>
      </c>
      <c r="E25" s="34">
        <v>8.9999999999999993E-3</v>
      </c>
    </row>
    <row r="26" spans="1:11">
      <c r="A26" s="27" t="s">
        <v>138</v>
      </c>
      <c r="B26" s="45"/>
      <c r="C26" s="42"/>
      <c r="D26" s="34">
        <v>0.55600000000000005</v>
      </c>
      <c r="E26" s="34">
        <v>1.2E-2</v>
      </c>
    </row>
    <row r="27" spans="1:11">
      <c r="A27" s="44" t="s">
        <v>126</v>
      </c>
      <c r="B27" s="45" t="s">
        <v>137</v>
      </c>
      <c r="C27" s="8" t="s">
        <v>18</v>
      </c>
      <c r="D27" s="34">
        <v>0.51500000000000001</v>
      </c>
      <c r="E27" s="34">
        <v>1.4E-2</v>
      </c>
    </row>
    <row r="28" spans="1:11">
      <c r="A28" s="44"/>
      <c r="B28" s="45"/>
      <c r="C28" s="8" t="s">
        <v>19</v>
      </c>
      <c r="D28" s="34">
        <v>0.55400000000000005</v>
      </c>
      <c r="E28" s="34">
        <v>1.4E-2</v>
      </c>
    </row>
    <row r="29" spans="1:11">
      <c r="A29" s="44"/>
      <c r="B29" s="45"/>
      <c r="C29" s="8" t="s">
        <v>25</v>
      </c>
      <c r="D29" s="34">
        <v>0.56299999999999994</v>
      </c>
      <c r="E29" s="34">
        <v>8.0000000000000002E-3</v>
      </c>
    </row>
    <row r="30" spans="1:11">
      <c r="C30" s="8" t="s">
        <v>24</v>
      </c>
      <c r="D30" s="34">
        <v>0.53500000000000003</v>
      </c>
      <c r="E30" s="34">
        <v>0.01</v>
      </c>
    </row>
  </sheetData>
  <sheetProtection sheet="1" objects="1" scenarios="1"/>
  <mergeCells count="6">
    <mergeCell ref="A21:A24"/>
    <mergeCell ref="C21:C24"/>
    <mergeCell ref="B25:B26"/>
    <mergeCell ref="C25:C26"/>
    <mergeCell ref="A27:A29"/>
    <mergeCell ref="B27:B2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Ruler="0" workbookViewId="0">
      <selection activeCell="F2" sqref="F2:H17"/>
    </sheetView>
  </sheetViews>
  <sheetFormatPr baseColWidth="10" defaultRowHeight="15" x14ac:dyDescent="0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6</v>
      </c>
      <c r="I1" s="1" t="s">
        <v>4</v>
      </c>
      <c r="J1" s="1" t="s">
        <v>7</v>
      </c>
      <c r="K1" s="1" t="s">
        <v>4</v>
      </c>
    </row>
    <row r="2" spans="1:11">
      <c r="A2" s="1" t="s">
        <v>8</v>
      </c>
      <c r="B2" s="1" t="s">
        <v>9</v>
      </c>
      <c r="C2" s="1" t="s">
        <v>10</v>
      </c>
      <c r="D2" s="4">
        <f t="shared" ref="D2:D15" ca="1" si="0">(1-J2)*F2+J2*H2</f>
        <v>0.36640715499999998</v>
      </c>
      <c r="E2" s="4">
        <f t="shared" ref="E2:E15" si="1">G2</f>
        <v>6.0000000000000001E-3</v>
      </c>
      <c r="F2" s="4">
        <v>0.38700000000000001</v>
      </c>
      <c r="G2" s="4">
        <v>6.0000000000000001E-3</v>
      </c>
      <c r="H2" s="34">
        <v>0.29599999999999999</v>
      </c>
      <c r="I2" s="34">
        <v>6.0000000000000001E-3</v>
      </c>
      <c r="J2" s="4">
        <f ca="1">[1]Summary!J3</f>
        <v>0.226295</v>
      </c>
      <c r="K2" s="4">
        <f ca="1">[1]Summary!K3</f>
        <v>3.1122199999999999E-2</v>
      </c>
    </row>
    <row r="3" spans="1:11">
      <c r="A3" s="1" t="s">
        <v>8</v>
      </c>
      <c r="B3" s="1" t="s">
        <v>11</v>
      </c>
      <c r="C3" s="1" t="s">
        <v>10</v>
      </c>
      <c r="D3" s="4">
        <f t="shared" ref="D3:D6" si="2">F3</f>
        <v>0.35099999999999998</v>
      </c>
      <c r="E3" s="4">
        <f t="shared" si="1"/>
        <v>8.0000000000000002E-3</v>
      </c>
      <c r="F3" s="4">
        <v>0.35099999999999998</v>
      </c>
      <c r="G3" s="4">
        <v>8.0000000000000002E-3</v>
      </c>
      <c r="H3" s="34"/>
      <c r="I3" s="34"/>
      <c r="J3" s="4">
        <f ca="1">[1]Summary!J4</f>
        <v>0.20045499999999999</v>
      </c>
      <c r="K3" s="4">
        <f ca="1">[1]Summary!K4</f>
        <v>3.72783E-2</v>
      </c>
    </row>
    <row r="4" spans="1:11">
      <c r="A4" s="1" t="s">
        <v>8</v>
      </c>
      <c r="B4" s="1" t="s">
        <v>12</v>
      </c>
      <c r="C4" s="1" t="s">
        <v>10</v>
      </c>
      <c r="D4" s="4">
        <f t="shared" si="2"/>
        <v>0.49399999999999999</v>
      </c>
      <c r="E4" s="4">
        <f t="shared" si="1"/>
        <v>8.0000000000000002E-3</v>
      </c>
      <c r="F4" s="4">
        <v>0.49399999999999999</v>
      </c>
      <c r="G4" s="4">
        <v>8.0000000000000002E-3</v>
      </c>
      <c r="H4" s="34"/>
      <c r="I4" s="34"/>
      <c r="J4" s="4">
        <f ca="1">[1]Summary!J5</f>
        <v>0.25241999999999998</v>
      </c>
      <c r="K4" s="4">
        <f ca="1">[1]Summary!K5</f>
        <v>4.9706199999999999E-2</v>
      </c>
    </row>
    <row r="5" spans="1:11">
      <c r="A5" s="1" t="s">
        <v>13</v>
      </c>
      <c r="B5" s="1" t="s">
        <v>9</v>
      </c>
      <c r="C5" s="1" t="s">
        <v>10</v>
      </c>
      <c r="D5" s="4">
        <f t="shared" si="2"/>
        <v>0.38</v>
      </c>
      <c r="E5" s="4">
        <f t="shared" si="1"/>
        <v>0.01</v>
      </c>
      <c r="F5" s="4">
        <v>0.38</v>
      </c>
      <c r="G5" s="4">
        <v>0.01</v>
      </c>
      <c r="H5" s="34"/>
      <c r="I5" s="34"/>
      <c r="J5" s="4">
        <f ca="1">[1]Summary!J6</f>
        <v>0.21274199999999999</v>
      </c>
      <c r="K5" s="4">
        <f ca="1">[1]Summary!K6</f>
        <v>4.4714999999999998E-2</v>
      </c>
    </row>
    <row r="6" spans="1:11">
      <c r="A6" s="1" t="s">
        <v>14</v>
      </c>
      <c r="B6" s="1" t="s">
        <v>9</v>
      </c>
      <c r="C6" s="1" t="s">
        <v>10</v>
      </c>
      <c r="D6" s="4">
        <f t="shared" si="2"/>
        <v>0.42099999999999999</v>
      </c>
      <c r="E6" s="4">
        <f t="shared" si="1"/>
        <v>1.2999999999999999E-2</v>
      </c>
      <c r="F6" s="4">
        <v>0.42099999999999999</v>
      </c>
      <c r="G6" s="4">
        <v>1.2999999999999999E-2</v>
      </c>
      <c r="H6" s="34"/>
      <c r="I6" s="34"/>
      <c r="J6" s="4">
        <f ca="1">[1]Summary!J7</f>
        <v>0.20683199999999999</v>
      </c>
      <c r="K6" s="4">
        <f ca="1">[1]Summary!K7</f>
        <v>6.7050999999999999E-2</v>
      </c>
    </row>
    <row r="7" spans="1:11">
      <c r="A7" s="1" t="s">
        <v>14</v>
      </c>
      <c r="B7" s="1" t="s">
        <v>15</v>
      </c>
      <c r="C7" s="1" t="s">
        <v>10</v>
      </c>
      <c r="D7" s="4">
        <f>F7</f>
        <v>0.38</v>
      </c>
      <c r="E7" s="4">
        <f t="shared" si="1"/>
        <v>1.2999999999999999E-2</v>
      </c>
      <c r="F7" s="4">
        <v>0.38</v>
      </c>
      <c r="G7" s="4">
        <v>1.2999999999999999E-2</v>
      </c>
      <c r="H7" s="34"/>
      <c r="I7" s="34"/>
      <c r="J7" s="4">
        <f ca="1">[1]Summary!J8</f>
        <v>0.148811</v>
      </c>
      <c r="K7" s="4">
        <f ca="1">[1]Summary!K8</f>
        <v>6.8435399999999993E-2</v>
      </c>
    </row>
    <row r="8" spans="1:11">
      <c r="A8" s="1" t="s">
        <v>16</v>
      </c>
      <c r="B8" s="1" t="s">
        <v>9</v>
      </c>
      <c r="C8" s="1" t="s">
        <v>10</v>
      </c>
      <c r="D8" s="4">
        <f t="shared" ca="1" si="0"/>
        <v>0.356921567</v>
      </c>
      <c r="E8" s="4">
        <f t="shared" si="1"/>
        <v>1.2E-2</v>
      </c>
      <c r="F8" s="4">
        <v>0.36799999999999999</v>
      </c>
      <c r="G8" s="4">
        <v>1.2E-2</v>
      </c>
      <c r="H8" s="34">
        <v>0.29899999999999999</v>
      </c>
      <c r="I8" s="34">
        <v>1.2E-2</v>
      </c>
      <c r="J8" s="4">
        <f ca="1">[1]Summary!J9</f>
        <v>0.16055700000000001</v>
      </c>
      <c r="K8" s="4">
        <f ca="1">[1]Summary!K9</f>
        <v>4.7643499999999998E-2</v>
      </c>
    </row>
    <row r="9" spans="1:11">
      <c r="A9" s="1" t="s">
        <v>16</v>
      </c>
      <c r="B9" s="1" t="s">
        <v>17</v>
      </c>
      <c r="C9" s="1" t="s">
        <v>10</v>
      </c>
      <c r="D9" s="4">
        <f t="shared" ca="1" si="0"/>
        <v>0.287799048</v>
      </c>
      <c r="E9" s="4">
        <f t="shared" si="1"/>
        <v>8.9999999999999993E-3</v>
      </c>
      <c r="F9" s="4">
        <v>0.29499999999999998</v>
      </c>
      <c r="G9" s="4">
        <v>8.9999999999999993E-3</v>
      </c>
      <c r="H9" s="34">
        <v>0.251</v>
      </c>
      <c r="I9" s="34">
        <v>8.0000000000000002E-3</v>
      </c>
      <c r="J9" s="4">
        <f ca="1">[1]Summary!J10</f>
        <v>0.163658</v>
      </c>
      <c r="K9" s="4">
        <f ca="1">[1]Summary!K10</f>
        <v>3.5430400000000001E-2</v>
      </c>
    </row>
    <row r="10" spans="1:11">
      <c r="A10" s="1" t="s">
        <v>8</v>
      </c>
      <c r="B10" s="1" t="s">
        <v>9</v>
      </c>
      <c r="C10" s="1" t="s">
        <v>18</v>
      </c>
      <c r="D10" s="4">
        <f>F10</f>
        <v>0.36899999999999999</v>
      </c>
      <c r="E10" s="4">
        <f t="shared" si="1"/>
        <v>1.2999999999999999E-2</v>
      </c>
      <c r="F10" s="4">
        <v>0.36899999999999999</v>
      </c>
      <c r="G10" s="4">
        <v>1.2999999999999999E-2</v>
      </c>
      <c r="H10" s="34"/>
      <c r="I10" s="34"/>
      <c r="J10" s="4">
        <f ca="1">[1]Summary!J11</f>
        <v>0.29775099999999999</v>
      </c>
      <c r="K10" s="4">
        <f ca="1">[1]Summary!K11</f>
        <v>6.4536999999999997E-2</v>
      </c>
    </row>
    <row r="11" spans="1:11">
      <c r="A11" s="1" t="s">
        <v>8</v>
      </c>
      <c r="B11" s="1" t="s">
        <v>9</v>
      </c>
      <c r="C11" s="1" t="s">
        <v>19</v>
      </c>
      <c r="D11" s="4">
        <f t="shared" ref="D11:D15" si="3">F11</f>
        <v>0.38800000000000001</v>
      </c>
      <c r="E11" s="4">
        <f t="shared" si="1"/>
        <v>1.2E-2</v>
      </c>
      <c r="F11" s="4">
        <v>0.38800000000000001</v>
      </c>
      <c r="G11" s="4">
        <v>1.2E-2</v>
      </c>
      <c r="H11" s="34"/>
      <c r="I11" s="34"/>
      <c r="J11" s="4">
        <f ca="1">[1]Summary!J12</f>
        <v>0.288387</v>
      </c>
      <c r="K11" s="4">
        <f ca="1">[1]Summary!K12</f>
        <v>7.3523400000000003E-2</v>
      </c>
    </row>
    <row r="12" spans="1:11">
      <c r="A12" s="1" t="s">
        <v>8</v>
      </c>
      <c r="B12" s="1" t="s">
        <v>9</v>
      </c>
      <c r="C12" s="1" t="s">
        <v>20</v>
      </c>
      <c r="D12" s="4">
        <f t="shared" si="3"/>
        <v>0.39600000000000002</v>
      </c>
      <c r="E12" s="4">
        <f t="shared" si="1"/>
        <v>1.2E-2</v>
      </c>
      <c r="F12" s="4">
        <v>0.39600000000000002</v>
      </c>
      <c r="G12" s="4">
        <v>1.2E-2</v>
      </c>
      <c r="H12" s="34"/>
      <c r="I12" s="34"/>
      <c r="J12" s="4">
        <f ca="1">[1]Summary!J13</f>
        <v>7.0795200000000003E-2</v>
      </c>
      <c r="K12" s="4">
        <f ca="1">[1]Summary!K13</f>
        <v>4.8721899999999999E-2</v>
      </c>
    </row>
    <row r="13" spans="1:11">
      <c r="A13" s="1" t="s">
        <v>8</v>
      </c>
      <c r="B13" s="1" t="s">
        <v>9</v>
      </c>
      <c r="C13" s="1" t="s">
        <v>21</v>
      </c>
      <c r="D13" s="4">
        <f t="shared" si="3"/>
        <v>0.40600000000000003</v>
      </c>
      <c r="E13" s="4">
        <f t="shared" si="1"/>
        <v>1.2E-2</v>
      </c>
      <c r="F13" s="4">
        <v>0.40600000000000003</v>
      </c>
      <c r="G13" s="4">
        <v>1.2E-2</v>
      </c>
      <c r="H13" s="34"/>
      <c r="I13" s="34"/>
      <c r="J13" s="4">
        <f ca="1">[1]Summary!J14</f>
        <v>0.18159700000000001</v>
      </c>
      <c r="K13" s="4">
        <f ca="1">[1]Summary!K14</f>
        <v>6.6892300000000002E-2</v>
      </c>
    </row>
    <row r="14" spans="1:11">
      <c r="A14" s="1" t="s">
        <v>8</v>
      </c>
      <c r="B14" s="1" t="s">
        <v>9</v>
      </c>
      <c r="C14" s="1" t="s">
        <v>22</v>
      </c>
      <c r="D14" s="4">
        <f t="shared" si="3"/>
        <v>0.41499999999999998</v>
      </c>
      <c r="E14" s="4">
        <f t="shared" si="1"/>
        <v>1.2E-2</v>
      </c>
      <c r="F14" s="4">
        <v>0.41499999999999998</v>
      </c>
      <c r="G14" s="4">
        <v>1.2E-2</v>
      </c>
      <c r="H14" s="34"/>
      <c r="I14" s="34"/>
      <c r="J14" s="4">
        <f ca="1">[1]Summary!J15</f>
        <v>0.23267199999999999</v>
      </c>
      <c r="K14" s="4">
        <f ca="1">[1]Summary!K15</f>
        <v>8.8123599999999996E-2</v>
      </c>
    </row>
    <row r="15" spans="1:11">
      <c r="A15" s="1" t="s">
        <v>8</v>
      </c>
      <c r="B15" s="1" t="s">
        <v>9</v>
      </c>
      <c r="C15" s="1" t="s">
        <v>23</v>
      </c>
      <c r="D15" s="4">
        <f t="shared" si="3"/>
        <v>0.443</v>
      </c>
      <c r="E15" s="4">
        <f t="shared" si="1"/>
        <v>7.0000000000000001E-3</v>
      </c>
      <c r="F15" s="4">
        <v>0.443</v>
      </c>
      <c r="G15" s="4">
        <v>7.0000000000000001E-3</v>
      </c>
      <c r="H15" s="34"/>
      <c r="I15" s="34"/>
      <c r="J15" s="4">
        <f ca="1">[1]Summary!J16</f>
        <v>0.202379</v>
      </c>
      <c r="K15" s="4">
        <f ca="1">[1]Summary!K16</f>
        <v>7.7282900000000002E-2</v>
      </c>
    </row>
    <row r="16" spans="1:11">
      <c r="A16" s="1" t="s">
        <v>8</v>
      </c>
      <c r="B16" s="1" t="s">
        <v>9</v>
      </c>
      <c r="C16" s="1" t="s">
        <v>24</v>
      </c>
      <c r="D16" s="4">
        <f t="shared" ref="D16:D17" ca="1" si="4">(1-J16)*F16+J16*H16</f>
        <v>0.349040974</v>
      </c>
      <c r="E16" s="4">
        <f t="shared" ref="E16:E17" si="5">G16</f>
        <v>8.9999999999999993E-3</v>
      </c>
      <c r="F16" s="4">
        <v>0.376</v>
      </c>
      <c r="G16" s="4">
        <v>8.9999999999999993E-3</v>
      </c>
      <c r="H16" s="35">
        <v>0.28299999999999997</v>
      </c>
      <c r="I16" s="35">
        <v>8.9999999999999993E-3</v>
      </c>
      <c r="J16" s="4">
        <f ca="1">[1]Summary!J17</f>
        <v>0.28988199999999997</v>
      </c>
      <c r="K16" s="4">
        <f ca="1">[1]Summary!K17</f>
        <v>5.1386599999999998E-2</v>
      </c>
    </row>
    <row r="17" spans="1:11">
      <c r="A17" s="1" t="s">
        <v>8</v>
      </c>
      <c r="B17" s="1" t="s">
        <v>9</v>
      </c>
      <c r="C17" s="1" t="s">
        <v>25</v>
      </c>
      <c r="D17" s="4">
        <f t="shared" ca="1" si="4"/>
        <v>0.394527664</v>
      </c>
      <c r="E17" s="4">
        <f t="shared" si="5"/>
        <v>7.0000000000000001E-3</v>
      </c>
      <c r="F17" s="4">
        <v>0.40899999999999997</v>
      </c>
      <c r="G17" s="4">
        <v>7.0000000000000001E-3</v>
      </c>
      <c r="H17" s="35">
        <v>0.317</v>
      </c>
      <c r="I17" s="35">
        <v>7.0000000000000001E-3</v>
      </c>
      <c r="J17" s="4">
        <f ca="1">[1]Summary!J18</f>
        <v>0.157308</v>
      </c>
      <c r="K17" s="4">
        <f ca="1">[1]Summary!K18</f>
        <v>3.5921799999999997E-2</v>
      </c>
    </row>
    <row r="20" spans="1:11">
      <c r="A20" s="1" t="s">
        <v>0</v>
      </c>
      <c r="B20" s="1" t="s">
        <v>1</v>
      </c>
      <c r="C20" s="1" t="s">
        <v>2</v>
      </c>
      <c r="D20" t="s">
        <v>149</v>
      </c>
    </row>
    <row r="21" spans="1:11">
      <c r="A21" s="49" t="s">
        <v>126</v>
      </c>
      <c r="B21" s="1" t="s">
        <v>128</v>
      </c>
      <c r="C21" s="42" t="s">
        <v>10</v>
      </c>
      <c r="D21" s="34">
        <v>0.53</v>
      </c>
      <c r="E21" s="34">
        <v>1.0999999999999999E-2</v>
      </c>
    </row>
    <row r="22" spans="1:11">
      <c r="A22" s="49"/>
      <c r="B22" s="1" t="s">
        <v>129</v>
      </c>
      <c r="C22" s="42"/>
      <c r="D22" s="34">
        <v>0.56599999999999995</v>
      </c>
      <c r="E22" s="34">
        <v>1.4E-2</v>
      </c>
    </row>
    <row r="23" spans="1:11">
      <c r="A23" s="49"/>
      <c r="B23" s="11" t="s">
        <v>136</v>
      </c>
      <c r="C23" s="42"/>
      <c r="D23" s="34">
        <v>0.59599999999999997</v>
      </c>
      <c r="E23" s="34">
        <v>1.2E-2</v>
      </c>
    </row>
    <row r="24" spans="1:11">
      <c r="A24" s="49"/>
      <c r="B24" s="11" t="s">
        <v>137</v>
      </c>
      <c r="C24" s="42"/>
      <c r="D24" s="34">
        <v>0.54800000000000004</v>
      </c>
      <c r="E24" s="34">
        <v>7.0000000000000001E-3</v>
      </c>
    </row>
    <row r="25" spans="1:11">
      <c r="A25" s="7" t="s">
        <v>130</v>
      </c>
      <c r="B25" s="45" t="s">
        <v>137</v>
      </c>
      <c r="C25" s="42" t="s">
        <v>10</v>
      </c>
      <c r="D25" s="34">
        <v>0.54</v>
      </c>
      <c r="E25" s="34">
        <v>8.9999999999999993E-3</v>
      </c>
    </row>
    <row r="26" spans="1:11">
      <c r="A26" s="27" t="s">
        <v>138</v>
      </c>
      <c r="B26" s="45"/>
      <c r="C26" s="42"/>
      <c r="D26" s="34">
        <v>0.56200000000000006</v>
      </c>
      <c r="E26" s="34">
        <v>1.2999999999999999E-2</v>
      </c>
    </row>
    <row r="27" spans="1:11">
      <c r="A27" s="44" t="s">
        <v>126</v>
      </c>
      <c r="B27" s="45" t="s">
        <v>137</v>
      </c>
      <c r="C27" s="8" t="s">
        <v>18</v>
      </c>
      <c r="D27" s="34">
        <v>0.52100000000000002</v>
      </c>
      <c r="E27" s="34">
        <v>1.4999999999999999E-2</v>
      </c>
    </row>
    <row r="28" spans="1:11">
      <c r="A28" s="44"/>
      <c r="B28" s="45"/>
      <c r="C28" s="8" t="s">
        <v>19</v>
      </c>
      <c r="D28" s="34">
        <v>0.57399999999999995</v>
      </c>
      <c r="E28" s="34">
        <v>1.4999999999999999E-2</v>
      </c>
    </row>
    <row r="29" spans="1:11">
      <c r="A29" s="44"/>
      <c r="B29" s="45"/>
      <c r="C29" s="8" t="s">
        <v>25</v>
      </c>
      <c r="D29" s="34">
        <v>0.56899999999999995</v>
      </c>
      <c r="E29" s="34">
        <v>8.0000000000000002E-3</v>
      </c>
    </row>
    <row r="30" spans="1:11">
      <c r="C30" s="8" t="s">
        <v>24</v>
      </c>
      <c r="D30" s="34">
        <v>0.53700000000000003</v>
      </c>
      <c r="E30" s="34">
        <v>0.01</v>
      </c>
    </row>
  </sheetData>
  <sheetProtection sheet="1" objects="1" scenarios="1"/>
  <mergeCells count="6">
    <mergeCell ref="A21:A24"/>
    <mergeCell ref="C21:C24"/>
    <mergeCell ref="B25:B26"/>
    <mergeCell ref="C25:C26"/>
    <mergeCell ref="A27:A29"/>
    <mergeCell ref="B27:B2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Ruler="0" workbookViewId="0">
      <selection activeCell="F2" sqref="F2:H17"/>
    </sheetView>
  </sheetViews>
  <sheetFormatPr baseColWidth="10" defaultRowHeight="15" x14ac:dyDescent="0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6</v>
      </c>
      <c r="I1" s="1" t="s">
        <v>4</v>
      </c>
      <c r="J1" s="1" t="s">
        <v>7</v>
      </c>
      <c r="K1" s="1" t="s">
        <v>4</v>
      </c>
    </row>
    <row r="2" spans="1:11">
      <c r="A2" s="1" t="s">
        <v>8</v>
      </c>
      <c r="B2" s="1" t="s">
        <v>9</v>
      </c>
      <c r="C2" s="1" t="s">
        <v>10</v>
      </c>
      <c r="D2" s="4">
        <f ca="1">(1-J2)*F2+J2*H2</f>
        <v>0.36753862999999998</v>
      </c>
      <c r="E2" s="4">
        <f>G2</f>
        <v>6.0000000000000001E-3</v>
      </c>
      <c r="F2" s="37">
        <v>0.38700000000000001</v>
      </c>
      <c r="G2" s="37">
        <v>6.0000000000000001E-3</v>
      </c>
      <c r="H2" s="34">
        <v>0.30099999999999999</v>
      </c>
      <c r="I2" s="34">
        <v>6.0000000000000001E-3</v>
      </c>
      <c r="J2" s="4">
        <f ca="1">[1]Summary!J3</f>
        <v>0.226295</v>
      </c>
      <c r="K2" s="4">
        <f ca="1">[1]Summary!K3</f>
        <v>3.1122199999999999E-2</v>
      </c>
    </row>
    <row r="3" spans="1:11">
      <c r="A3" s="1" t="s">
        <v>8</v>
      </c>
      <c r="B3" s="1" t="s">
        <v>11</v>
      </c>
      <c r="C3" s="1" t="s">
        <v>10</v>
      </c>
      <c r="D3" s="4">
        <f t="shared" ref="D3:D6" si="0">F3</f>
        <v>0.35199999999999998</v>
      </c>
      <c r="E3" s="4">
        <f t="shared" ref="E3:E17" si="1">G3</f>
        <v>8.0000000000000002E-3</v>
      </c>
      <c r="F3" s="37">
        <v>0.35199999999999998</v>
      </c>
      <c r="G3" s="37">
        <v>8.0000000000000002E-3</v>
      </c>
      <c r="H3" s="34"/>
      <c r="I3" s="34"/>
      <c r="J3" s="4">
        <f ca="1">[1]Summary!J4</f>
        <v>0.20045499999999999</v>
      </c>
      <c r="K3" s="4">
        <f ca="1">[1]Summary!K4</f>
        <v>3.72783E-2</v>
      </c>
    </row>
    <row r="4" spans="1:11">
      <c r="A4" s="1" t="s">
        <v>8</v>
      </c>
      <c r="B4" s="1" t="s">
        <v>12</v>
      </c>
      <c r="C4" s="1" t="s">
        <v>10</v>
      </c>
      <c r="D4" s="4">
        <f t="shared" si="0"/>
        <v>0.48599999999999999</v>
      </c>
      <c r="E4" s="4">
        <f t="shared" si="1"/>
        <v>8.0000000000000002E-3</v>
      </c>
      <c r="F4" s="37">
        <v>0.48599999999999999</v>
      </c>
      <c r="G4" s="37">
        <v>8.0000000000000002E-3</v>
      </c>
      <c r="H4" s="34"/>
      <c r="I4" s="34"/>
      <c r="J4" s="4">
        <f ca="1">[1]Summary!J5</f>
        <v>0.25241999999999998</v>
      </c>
      <c r="K4" s="4">
        <f ca="1">[1]Summary!K5</f>
        <v>4.9706199999999999E-2</v>
      </c>
    </row>
    <row r="5" spans="1:11">
      <c r="A5" s="1" t="s">
        <v>13</v>
      </c>
      <c r="B5" s="1" t="s">
        <v>9</v>
      </c>
      <c r="C5" s="1" t="s">
        <v>10</v>
      </c>
      <c r="D5" s="4">
        <f t="shared" si="0"/>
        <v>0.38600000000000001</v>
      </c>
      <c r="E5" s="4">
        <f t="shared" si="1"/>
        <v>0.01</v>
      </c>
      <c r="F5" s="37">
        <v>0.38600000000000001</v>
      </c>
      <c r="G5" s="37">
        <v>0.01</v>
      </c>
      <c r="H5" s="34"/>
      <c r="I5" s="34"/>
      <c r="J5" s="4">
        <f ca="1">[1]Summary!J6</f>
        <v>0.21274199999999999</v>
      </c>
      <c r="K5" s="4">
        <f ca="1">[1]Summary!K6</f>
        <v>4.4714999999999998E-2</v>
      </c>
    </row>
    <row r="6" spans="1:11">
      <c r="A6" s="1" t="s">
        <v>14</v>
      </c>
      <c r="B6" s="1" t="s">
        <v>9</v>
      </c>
      <c r="C6" s="1" t="s">
        <v>10</v>
      </c>
      <c r="D6" s="4">
        <f t="shared" si="0"/>
        <v>0.41899999999999998</v>
      </c>
      <c r="E6" s="4">
        <f t="shared" si="1"/>
        <v>1.2999999999999999E-2</v>
      </c>
      <c r="F6" s="37">
        <v>0.41899999999999998</v>
      </c>
      <c r="G6" s="37">
        <v>1.2999999999999999E-2</v>
      </c>
      <c r="H6" s="34"/>
      <c r="I6" s="34"/>
      <c r="J6" s="4">
        <f ca="1">[1]Summary!J7</f>
        <v>0.20683199999999999</v>
      </c>
      <c r="K6" s="4">
        <f ca="1">[1]Summary!K7</f>
        <v>6.7050999999999999E-2</v>
      </c>
    </row>
    <row r="7" spans="1:11">
      <c r="A7" s="1" t="s">
        <v>14</v>
      </c>
      <c r="B7" s="1" t="s">
        <v>15</v>
      </c>
      <c r="C7" s="1" t="s">
        <v>10</v>
      </c>
      <c r="D7" s="4">
        <f>F7</f>
        <v>0.38100000000000001</v>
      </c>
      <c r="E7" s="4">
        <f t="shared" si="1"/>
        <v>1.2999999999999999E-2</v>
      </c>
      <c r="F7" s="37">
        <v>0.38100000000000001</v>
      </c>
      <c r="G7" s="37">
        <v>1.2999999999999999E-2</v>
      </c>
      <c r="H7" s="34"/>
      <c r="I7" s="34"/>
      <c r="J7" s="4">
        <f ca="1">[1]Summary!J8</f>
        <v>0.148811</v>
      </c>
      <c r="K7" s="4">
        <f ca="1">[1]Summary!K8</f>
        <v>6.8435399999999993E-2</v>
      </c>
    </row>
    <row r="8" spans="1:11">
      <c r="A8" s="1" t="s">
        <v>16</v>
      </c>
      <c r="B8" s="1" t="s">
        <v>9</v>
      </c>
      <c r="C8" s="1" t="s">
        <v>10</v>
      </c>
      <c r="D8" s="4">
        <f t="shared" ref="D3:D17" ca="1" si="2">(1-J8)*F8+J8*H8</f>
        <v>0.35540323800000001</v>
      </c>
      <c r="E8" s="4">
        <f t="shared" si="1"/>
        <v>1.2E-2</v>
      </c>
      <c r="F8" s="37">
        <v>0.36599999999999999</v>
      </c>
      <c r="G8" s="37">
        <v>1.2E-2</v>
      </c>
      <c r="H8" s="34">
        <v>0.3</v>
      </c>
      <c r="I8" s="34">
        <v>1.2E-2</v>
      </c>
      <c r="J8" s="4">
        <f ca="1">[1]Summary!J9</f>
        <v>0.16055700000000001</v>
      </c>
      <c r="K8" s="4">
        <f ca="1">[1]Summary!K9</f>
        <v>4.7643499999999998E-2</v>
      </c>
    </row>
    <row r="9" spans="1:11">
      <c r="A9" s="1" t="s">
        <v>16</v>
      </c>
      <c r="B9" s="1" t="s">
        <v>17</v>
      </c>
      <c r="C9" s="1" t="s">
        <v>10</v>
      </c>
      <c r="D9" s="4">
        <f t="shared" ca="1" si="2"/>
        <v>0.288799048</v>
      </c>
      <c r="E9" s="4">
        <f t="shared" si="1"/>
        <v>8.9999999999999993E-3</v>
      </c>
      <c r="F9" s="37">
        <v>0.29599999999999999</v>
      </c>
      <c r="G9" s="37">
        <v>8.9999999999999993E-3</v>
      </c>
      <c r="H9" s="34">
        <v>0.252</v>
      </c>
      <c r="I9" s="34">
        <v>8.9999999999999993E-3</v>
      </c>
      <c r="J9" s="4">
        <f ca="1">[1]Summary!J10</f>
        <v>0.163658</v>
      </c>
      <c r="K9" s="4">
        <f ca="1">[1]Summary!K10</f>
        <v>3.5430400000000001E-2</v>
      </c>
    </row>
    <row r="10" spans="1:11">
      <c r="A10" s="1" t="s">
        <v>8</v>
      </c>
      <c r="B10" s="1" t="s">
        <v>9</v>
      </c>
      <c r="C10" s="1" t="s">
        <v>18</v>
      </c>
      <c r="D10" s="4">
        <f t="shared" ref="D10:D14" si="3">F10</f>
        <v>0.373</v>
      </c>
      <c r="E10" s="4">
        <f t="shared" si="1"/>
        <v>1.2999999999999999E-2</v>
      </c>
      <c r="F10" s="37">
        <v>0.373</v>
      </c>
      <c r="G10" s="37">
        <v>1.2999999999999999E-2</v>
      </c>
      <c r="H10" s="34"/>
      <c r="I10" s="34"/>
      <c r="J10" s="4">
        <f ca="1">[1]Summary!J11</f>
        <v>0.29775099999999999</v>
      </c>
      <c r="K10" s="4">
        <f ca="1">[1]Summary!K11</f>
        <v>6.4536999999999997E-2</v>
      </c>
    </row>
    <row r="11" spans="1:11">
      <c r="A11" s="1" t="s">
        <v>8</v>
      </c>
      <c r="B11" s="1" t="s">
        <v>9</v>
      </c>
      <c r="C11" s="1" t="s">
        <v>19</v>
      </c>
      <c r="D11" s="4">
        <f t="shared" si="3"/>
        <v>0.38500000000000001</v>
      </c>
      <c r="E11" s="4">
        <f t="shared" si="1"/>
        <v>1.2999999999999999E-2</v>
      </c>
      <c r="F11" s="37">
        <v>0.38500000000000001</v>
      </c>
      <c r="G11" s="37">
        <v>1.2999999999999999E-2</v>
      </c>
      <c r="H11" s="34"/>
      <c r="I11" s="34"/>
      <c r="J11" s="4">
        <f ca="1">[1]Summary!J12</f>
        <v>0.288387</v>
      </c>
      <c r="K11" s="4">
        <f ca="1">[1]Summary!K12</f>
        <v>7.3523400000000003E-2</v>
      </c>
    </row>
    <row r="12" spans="1:11">
      <c r="A12" s="1" t="s">
        <v>8</v>
      </c>
      <c r="B12" s="1" t="s">
        <v>9</v>
      </c>
      <c r="C12" s="1" t="s">
        <v>20</v>
      </c>
      <c r="D12" s="4">
        <f t="shared" si="3"/>
        <v>0.39600000000000002</v>
      </c>
      <c r="E12" s="4">
        <f t="shared" si="1"/>
        <v>1.2E-2</v>
      </c>
      <c r="F12" s="37">
        <v>0.39600000000000002</v>
      </c>
      <c r="G12" s="37">
        <v>1.2E-2</v>
      </c>
      <c r="H12" s="34"/>
      <c r="I12" s="34"/>
      <c r="J12" s="4">
        <f ca="1">[1]Summary!J13</f>
        <v>7.0795200000000003E-2</v>
      </c>
      <c r="K12" s="4">
        <f ca="1">[1]Summary!K13</f>
        <v>4.8721899999999999E-2</v>
      </c>
    </row>
    <row r="13" spans="1:11">
      <c r="A13" s="1" t="s">
        <v>8</v>
      </c>
      <c r="B13" s="1" t="s">
        <v>9</v>
      </c>
      <c r="C13" s="1" t="s">
        <v>21</v>
      </c>
      <c r="D13" s="4">
        <f t="shared" si="3"/>
        <v>0.40400000000000003</v>
      </c>
      <c r="E13" s="4">
        <f t="shared" si="1"/>
        <v>1.2E-2</v>
      </c>
      <c r="F13" s="37">
        <v>0.40400000000000003</v>
      </c>
      <c r="G13" s="37">
        <v>1.2E-2</v>
      </c>
      <c r="H13" s="34"/>
      <c r="I13" s="34"/>
      <c r="J13" s="4">
        <f ca="1">[1]Summary!J14</f>
        <v>0.18159700000000001</v>
      </c>
      <c r="K13" s="4">
        <f ca="1">[1]Summary!K14</f>
        <v>6.6892300000000002E-2</v>
      </c>
    </row>
    <row r="14" spans="1:11">
      <c r="A14" s="1" t="s">
        <v>8</v>
      </c>
      <c r="B14" s="1" t="s">
        <v>9</v>
      </c>
      <c r="C14" s="1" t="s">
        <v>22</v>
      </c>
      <c r="D14" s="4">
        <f t="shared" si="3"/>
        <v>0.41499999999999998</v>
      </c>
      <c r="E14" s="4">
        <f t="shared" si="1"/>
        <v>1.2E-2</v>
      </c>
      <c r="F14" s="37">
        <v>0.41499999999999998</v>
      </c>
      <c r="G14" s="37">
        <v>1.2E-2</v>
      </c>
      <c r="H14" s="34"/>
      <c r="I14" s="34"/>
      <c r="J14" s="4">
        <f ca="1">[1]Summary!J15</f>
        <v>0.23267199999999999</v>
      </c>
      <c r="K14" s="4">
        <f ca="1">[1]Summary!K15</f>
        <v>8.8123599999999996E-2</v>
      </c>
    </row>
    <row r="15" spans="1:11">
      <c r="A15" s="1" t="s">
        <v>8</v>
      </c>
      <c r="B15" s="1" t="s">
        <v>9</v>
      </c>
      <c r="C15" s="1" t="s">
        <v>23</v>
      </c>
      <c r="D15" s="4">
        <f>F15</f>
        <v>0.44500000000000001</v>
      </c>
      <c r="E15" s="4">
        <f t="shared" si="1"/>
        <v>7.0000000000000001E-3</v>
      </c>
      <c r="F15" s="37">
        <v>0.44500000000000001</v>
      </c>
      <c r="G15" s="37">
        <v>7.0000000000000001E-3</v>
      </c>
      <c r="H15" s="34"/>
      <c r="I15" s="34"/>
      <c r="J15" s="4">
        <f ca="1">[1]Summary!J16</f>
        <v>0.202379</v>
      </c>
      <c r="K15" s="4">
        <f ca="1">[1]Summary!K16</f>
        <v>7.7282900000000002E-2</v>
      </c>
    </row>
    <row r="16" spans="1:11">
      <c r="A16" s="1" t="s">
        <v>8</v>
      </c>
      <c r="B16" s="1" t="s">
        <v>9</v>
      </c>
      <c r="C16" s="1" t="s">
        <v>24</v>
      </c>
      <c r="D16" s="4">
        <f t="shared" ca="1" si="2"/>
        <v>0.35149038399999999</v>
      </c>
      <c r="E16" s="4">
        <f t="shared" si="1"/>
        <v>8.9999999999999993E-3</v>
      </c>
      <c r="F16" s="37">
        <v>0.377</v>
      </c>
      <c r="G16" s="37">
        <v>8.9999999999999993E-3</v>
      </c>
      <c r="H16" s="35">
        <v>0.28899999999999998</v>
      </c>
      <c r="I16" s="35">
        <v>8.9999999999999993E-3</v>
      </c>
      <c r="J16" s="4">
        <f ca="1">[1]Summary!J17</f>
        <v>0.28988199999999997</v>
      </c>
      <c r="K16" s="4">
        <f ca="1">[1]Summary!K17</f>
        <v>5.1386599999999998E-2</v>
      </c>
    </row>
    <row r="17" spans="1:11">
      <c r="A17" s="1" t="s">
        <v>8</v>
      </c>
      <c r="B17" s="1" t="s">
        <v>9</v>
      </c>
      <c r="C17" s="1" t="s">
        <v>25</v>
      </c>
      <c r="D17" s="4">
        <f t="shared" ca="1" si="2"/>
        <v>0.395100744</v>
      </c>
      <c r="E17" s="4">
        <f t="shared" si="1"/>
        <v>7.0000000000000001E-3</v>
      </c>
      <c r="F17" s="37">
        <v>0.40799999999999997</v>
      </c>
      <c r="G17" s="37">
        <v>7.0000000000000001E-3</v>
      </c>
      <c r="H17" s="35">
        <v>0.32600000000000001</v>
      </c>
      <c r="I17" s="35">
        <v>7.0000000000000001E-3</v>
      </c>
      <c r="J17" s="4">
        <f ca="1">[1]Summary!J18</f>
        <v>0.157308</v>
      </c>
      <c r="K17" s="4">
        <f ca="1">[1]Summary!K18</f>
        <v>3.5921799999999997E-2</v>
      </c>
    </row>
    <row r="20" spans="1:11">
      <c r="A20" s="1" t="s">
        <v>0</v>
      </c>
      <c r="B20" s="1" t="s">
        <v>1</v>
      </c>
      <c r="C20" s="1" t="s">
        <v>2</v>
      </c>
      <c r="D20" t="s">
        <v>149</v>
      </c>
    </row>
    <row r="21" spans="1:11">
      <c r="A21" s="49" t="s">
        <v>126</v>
      </c>
      <c r="B21" s="1" t="s">
        <v>128</v>
      </c>
      <c r="C21" s="42" t="s">
        <v>10</v>
      </c>
      <c r="D21" s="34">
        <v>0.52700000000000002</v>
      </c>
      <c r="E21" s="34">
        <v>1.0999999999999999E-2</v>
      </c>
    </row>
    <row r="22" spans="1:11">
      <c r="A22" s="49"/>
      <c r="B22" s="1" t="s">
        <v>129</v>
      </c>
      <c r="C22" s="42"/>
      <c r="D22" s="34">
        <v>0.55900000000000005</v>
      </c>
      <c r="E22" s="34">
        <v>1.4E-2</v>
      </c>
    </row>
    <row r="23" spans="1:11">
      <c r="A23" s="49"/>
      <c r="B23" s="11" t="s">
        <v>136</v>
      </c>
      <c r="C23" s="42"/>
      <c r="D23" s="34">
        <v>0.59199999999999997</v>
      </c>
      <c r="E23" s="34">
        <v>1.2E-2</v>
      </c>
    </row>
    <row r="24" spans="1:11">
      <c r="A24" s="49"/>
      <c r="B24" s="11" t="s">
        <v>137</v>
      </c>
      <c r="C24" s="42"/>
      <c r="D24" s="34">
        <v>0.54900000000000004</v>
      </c>
      <c r="E24" s="34">
        <v>7.0000000000000001E-3</v>
      </c>
    </row>
    <row r="25" spans="1:11">
      <c r="A25" s="7" t="s">
        <v>130</v>
      </c>
      <c r="B25" s="45" t="s">
        <v>137</v>
      </c>
      <c r="C25" s="42" t="s">
        <v>10</v>
      </c>
      <c r="D25" s="34">
        <v>0.54200000000000004</v>
      </c>
      <c r="E25" s="34">
        <v>8.9999999999999993E-3</v>
      </c>
    </row>
    <row r="26" spans="1:11">
      <c r="A26" s="27" t="s">
        <v>138</v>
      </c>
      <c r="B26" s="45"/>
      <c r="C26" s="42"/>
      <c r="D26" s="34">
        <v>0.55600000000000005</v>
      </c>
      <c r="E26" s="34">
        <v>1.2E-2</v>
      </c>
    </row>
    <row r="27" spans="1:11">
      <c r="A27" s="44" t="s">
        <v>126</v>
      </c>
      <c r="B27" s="45" t="s">
        <v>137</v>
      </c>
      <c r="C27" s="8" t="s">
        <v>18</v>
      </c>
      <c r="D27" s="34">
        <v>0.52300000000000002</v>
      </c>
      <c r="E27" s="34">
        <v>1.4E-2</v>
      </c>
    </row>
    <row r="28" spans="1:11">
      <c r="A28" s="44"/>
      <c r="B28" s="45"/>
      <c r="C28" s="8" t="s">
        <v>19</v>
      </c>
      <c r="D28" s="34">
        <v>0.56799999999999995</v>
      </c>
      <c r="E28" s="34">
        <v>1.4E-2</v>
      </c>
    </row>
    <row r="29" spans="1:11">
      <c r="A29" s="44"/>
      <c r="B29" s="45"/>
      <c r="C29" s="8" t="s">
        <v>25</v>
      </c>
      <c r="D29" s="34">
        <v>0.56899999999999995</v>
      </c>
      <c r="E29" s="34">
        <v>8.0000000000000002E-3</v>
      </c>
    </row>
    <row r="30" spans="1:11">
      <c r="C30" s="8" t="s">
        <v>24</v>
      </c>
      <c r="D30" s="34">
        <v>0.53600000000000003</v>
      </c>
      <c r="E30" s="34">
        <v>0.01</v>
      </c>
    </row>
  </sheetData>
  <sheetProtection sheet="1" objects="1" scenarios="1"/>
  <mergeCells count="6">
    <mergeCell ref="A21:A24"/>
    <mergeCell ref="C21:C24"/>
    <mergeCell ref="B25:B26"/>
    <mergeCell ref="C25:C26"/>
    <mergeCell ref="A27:A29"/>
    <mergeCell ref="B27:B2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Ruler="0" workbookViewId="0">
      <selection activeCell="F2" sqref="F2:H17"/>
    </sheetView>
  </sheetViews>
  <sheetFormatPr baseColWidth="10" defaultRowHeight="15" x14ac:dyDescent="0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6</v>
      </c>
      <c r="I1" s="1" t="s">
        <v>4</v>
      </c>
      <c r="J1" s="1" t="s">
        <v>7</v>
      </c>
      <c r="K1" s="1" t="s">
        <v>4</v>
      </c>
    </row>
    <row r="2" spans="1:11">
      <c r="A2" s="1" t="s">
        <v>8</v>
      </c>
      <c r="B2" s="1" t="s">
        <v>9</v>
      </c>
      <c r="C2" s="1" t="s">
        <v>10</v>
      </c>
      <c r="D2" s="4">
        <f ca="1">(1-J2)*F2+J2*H2</f>
        <v>0.34933384499999998</v>
      </c>
      <c r="E2" s="4">
        <f>G2</f>
        <v>7.0000000000000001E-3</v>
      </c>
      <c r="F2" s="36">
        <v>0.374</v>
      </c>
      <c r="G2" s="36">
        <v>7.0000000000000001E-3</v>
      </c>
      <c r="H2" s="34">
        <v>0.26500000000000001</v>
      </c>
      <c r="I2" s="34">
        <v>8.0000000000000002E-3</v>
      </c>
      <c r="J2" s="4">
        <f ca="1">[1]Summary!J3</f>
        <v>0.226295</v>
      </c>
      <c r="K2" s="4">
        <f ca="1">[1]Summary!K3</f>
        <v>3.1122199999999999E-2</v>
      </c>
    </row>
    <row r="3" spans="1:11">
      <c r="A3" s="1" t="s">
        <v>8</v>
      </c>
      <c r="B3" s="1" t="s">
        <v>11</v>
      </c>
      <c r="C3" s="1" t="s">
        <v>10</v>
      </c>
      <c r="D3" s="4">
        <f t="shared" ref="D3:D6" si="0">F3</f>
        <v>0.33800000000000002</v>
      </c>
      <c r="E3" s="4">
        <f t="shared" ref="E3:E17" si="1">G3</f>
        <v>0.01</v>
      </c>
      <c r="F3" s="36">
        <v>0.33800000000000002</v>
      </c>
      <c r="G3" s="36">
        <v>0.01</v>
      </c>
      <c r="H3" s="34"/>
      <c r="I3" s="34"/>
      <c r="J3" s="4">
        <f ca="1">[1]Summary!J4</f>
        <v>0.20045499999999999</v>
      </c>
      <c r="K3" s="4">
        <f ca="1">[1]Summary!K4</f>
        <v>3.72783E-2</v>
      </c>
    </row>
    <row r="4" spans="1:11">
      <c r="A4" s="1" t="s">
        <v>8</v>
      </c>
      <c r="B4" s="1" t="s">
        <v>12</v>
      </c>
      <c r="C4" s="1" t="s">
        <v>10</v>
      </c>
      <c r="D4" s="4">
        <f t="shared" si="0"/>
        <v>0.48199999999999998</v>
      </c>
      <c r="E4" s="4">
        <f t="shared" si="1"/>
        <v>8.9999999999999993E-3</v>
      </c>
      <c r="F4" s="36">
        <v>0.48199999999999998</v>
      </c>
      <c r="G4" s="36">
        <v>8.9999999999999993E-3</v>
      </c>
      <c r="H4" s="34"/>
      <c r="I4" s="34"/>
      <c r="J4" s="4">
        <f ca="1">[1]Summary!J5</f>
        <v>0.25241999999999998</v>
      </c>
      <c r="K4" s="4">
        <f ca="1">[1]Summary!K5</f>
        <v>4.9706199999999999E-2</v>
      </c>
    </row>
    <row r="5" spans="1:11">
      <c r="A5" s="1" t="s">
        <v>13</v>
      </c>
      <c r="B5" s="1" t="s">
        <v>9</v>
      </c>
      <c r="C5" s="1" t="s">
        <v>10</v>
      </c>
      <c r="D5" s="4">
        <f t="shared" si="0"/>
        <v>0.373</v>
      </c>
      <c r="E5" s="4">
        <f t="shared" si="1"/>
        <v>1.2E-2</v>
      </c>
      <c r="F5" s="36">
        <v>0.373</v>
      </c>
      <c r="G5" s="36">
        <v>1.2E-2</v>
      </c>
      <c r="H5" s="34"/>
      <c r="I5" s="34"/>
      <c r="J5" s="4">
        <f ca="1">[1]Summary!J6</f>
        <v>0.21274199999999999</v>
      </c>
      <c r="K5" s="4">
        <f ca="1">[1]Summary!K6</f>
        <v>4.4714999999999998E-2</v>
      </c>
    </row>
    <row r="6" spans="1:11">
      <c r="A6" s="1" t="s">
        <v>14</v>
      </c>
      <c r="B6" s="1" t="s">
        <v>9</v>
      </c>
      <c r="C6" s="1" t="s">
        <v>10</v>
      </c>
      <c r="D6" s="4">
        <f t="shared" si="0"/>
        <v>0.40899999999999997</v>
      </c>
      <c r="E6" s="4">
        <f t="shared" si="1"/>
        <v>1.4999999999999999E-2</v>
      </c>
      <c r="F6" s="36">
        <v>0.40899999999999997</v>
      </c>
      <c r="G6" s="36">
        <v>1.4999999999999999E-2</v>
      </c>
      <c r="H6" s="34"/>
      <c r="I6" s="34"/>
      <c r="J6" s="4">
        <f ca="1">[1]Summary!J7</f>
        <v>0.20683199999999999</v>
      </c>
      <c r="K6" s="4">
        <f ca="1">[1]Summary!K7</f>
        <v>6.7050999999999999E-2</v>
      </c>
    </row>
    <row r="7" spans="1:11">
      <c r="A7" s="1" t="s">
        <v>14</v>
      </c>
      <c r="B7" s="1" t="s">
        <v>15</v>
      </c>
      <c r="C7" s="1" t="s">
        <v>10</v>
      </c>
      <c r="D7" s="4">
        <f>F7</f>
        <v>0.36899999999999999</v>
      </c>
      <c r="E7" s="4">
        <f t="shared" si="1"/>
        <v>1.4999999999999999E-2</v>
      </c>
      <c r="F7" s="36">
        <v>0.36899999999999999</v>
      </c>
      <c r="G7" s="36">
        <v>1.4999999999999999E-2</v>
      </c>
      <c r="H7" s="34"/>
      <c r="I7" s="34"/>
      <c r="J7" s="4">
        <f ca="1">[1]Summary!J8</f>
        <v>0.148811</v>
      </c>
      <c r="K7" s="4">
        <f ca="1">[1]Summary!K8</f>
        <v>6.8435399999999993E-2</v>
      </c>
    </row>
    <row r="8" spans="1:11">
      <c r="A8" s="1" t="s">
        <v>16</v>
      </c>
      <c r="B8" s="1" t="s">
        <v>9</v>
      </c>
      <c r="C8" s="1" t="s">
        <v>10</v>
      </c>
      <c r="D8" s="4">
        <f t="shared" ref="D3:D17" ca="1" si="2">(1-J8)*F8+J8*H8</f>
        <v>0.34215543999999998</v>
      </c>
      <c r="E8" s="4">
        <f t="shared" si="1"/>
        <v>1.2999999999999999E-2</v>
      </c>
      <c r="F8" s="36">
        <v>0.35499999999999998</v>
      </c>
      <c r="G8" s="36">
        <v>1.2999999999999999E-2</v>
      </c>
      <c r="H8" s="34">
        <v>0.27500000000000002</v>
      </c>
      <c r="I8" s="34">
        <v>1.4E-2</v>
      </c>
      <c r="J8" s="4">
        <f ca="1">[1]Summary!J9</f>
        <v>0.16055700000000001</v>
      </c>
      <c r="K8" s="4">
        <f ca="1">[1]Summary!K9</f>
        <v>4.7643499999999998E-2</v>
      </c>
    </row>
    <row r="9" spans="1:11">
      <c r="A9" s="1" t="s">
        <v>16</v>
      </c>
      <c r="B9" s="1" t="s">
        <v>17</v>
      </c>
      <c r="C9" s="1" t="s">
        <v>10</v>
      </c>
      <c r="D9" s="4">
        <f t="shared" ca="1" si="2"/>
        <v>0.28265344199999998</v>
      </c>
      <c r="E9" s="4">
        <f t="shared" si="1"/>
        <v>8.9999999999999993E-3</v>
      </c>
      <c r="F9" s="36">
        <v>0.29099999999999998</v>
      </c>
      <c r="G9" s="36">
        <v>8.9999999999999993E-3</v>
      </c>
      <c r="H9" s="34">
        <v>0.24</v>
      </c>
      <c r="I9" s="34">
        <v>8.9999999999999993E-3</v>
      </c>
      <c r="J9" s="4">
        <f ca="1">[1]Summary!J10</f>
        <v>0.163658</v>
      </c>
      <c r="K9" s="4">
        <f ca="1">[1]Summary!K10</f>
        <v>3.5430400000000001E-2</v>
      </c>
    </row>
    <row r="10" spans="1:11">
      <c r="A10" s="1" t="s">
        <v>8</v>
      </c>
      <c r="B10" s="1" t="s">
        <v>9</v>
      </c>
      <c r="C10" s="1" t="s">
        <v>18</v>
      </c>
      <c r="D10" s="4">
        <f t="shared" ref="D10:D14" si="3">F10</f>
        <v>0.34899999999999998</v>
      </c>
      <c r="E10" s="4">
        <f t="shared" si="1"/>
        <v>1.4999999999999999E-2</v>
      </c>
      <c r="F10" s="36">
        <v>0.34899999999999998</v>
      </c>
      <c r="G10" s="36">
        <v>1.4999999999999999E-2</v>
      </c>
      <c r="H10" s="34"/>
      <c r="I10" s="34"/>
      <c r="J10" s="4">
        <f ca="1">[1]Summary!J11</f>
        <v>0.29775099999999999</v>
      </c>
      <c r="K10" s="4">
        <f ca="1">[1]Summary!K11</f>
        <v>6.4536999999999997E-2</v>
      </c>
    </row>
    <row r="11" spans="1:11">
      <c r="A11" s="1" t="s">
        <v>8</v>
      </c>
      <c r="B11" s="1" t="s">
        <v>9</v>
      </c>
      <c r="C11" s="1" t="s">
        <v>19</v>
      </c>
      <c r="D11" s="4">
        <f t="shared" si="3"/>
        <v>0.39200000000000002</v>
      </c>
      <c r="E11" s="4">
        <f t="shared" si="1"/>
        <v>1.4E-2</v>
      </c>
      <c r="F11" s="36">
        <v>0.39200000000000002</v>
      </c>
      <c r="G11" s="36">
        <v>1.4E-2</v>
      </c>
      <c r="H11" s="34"/>
      <c r="I11" s="34"/>
      <c r="J11" s="4">
        <f ca="1">[1]Summary!J12</f>
        <v>0.288387</v>
      </c>
      <c r="K11" s="4">
        <f ca="1">[1]Summary!K12</f>
        <v>7.3523400000000003E-2</v>
      </c>
    </row>
    <row r="12" spans="1:11">
      <c r="A12" s="1" t="s">
        <v>8</v>
      </c>
      <c r="B12" s="1" t="s">
        <v>9</v>
      </c>
      <c r="C12" s="1" t="s">
        <v>20</v>
      </c>
      <c r="D12" s="4">
        <f t="shared" si="3"/>
        <v>0.38400000000000001</v>
      </c>
      <c r="E12" s="4">
        <f t="shared" si="1"/>
        <v>1.4E-2</v>
      </c>
      <c r="F12" s="36">
        <v>0.38400000000000001</v>
      </c>
      <c r="G12" s="36">
        <v>1.4E-2</v>
      </c>
      <c r="H12" s="34"/>
      <c r="I12" s="34"/>
      <c r="J12" s="4">
        <f ca="1">[1]Summary!J13</f>
        <v>7.0795200000000003E-2</v>
      </c>
      <c r="K12" s="4">
        <f ca="1">[1]Summary!K13</f>
        <v>4.8721899999999999E-2</v>
      </c>
    </row>
    <row r="13" spans="1:11">
      <c r="A13" s="1" t="s">
        <v>8</v>
      </c>
      <c r="B13" s="1" t="s">
        <v>9</v>
      </c>
      <c r="C13" s="1" t="s">
        <v>21</v>
      </c>
      <c r="D13" s="4">
        <f t="shared" si="3"/>
        <v>0.38600000000000001</v>
      </c>
      <c r="E13" s="4">
        <f t="shared" si="1"/>
        <v>1.4E-2</v>
      </c>
      <c r="F13" s="36">
        <v>0.38600000000000001</v>
      </c>
      <c r="G13" s="36">
        <v>1.4E-2</v>
      </c>
      <c r="H13" s="34"/>
      <c r="I13" s="34"/>
      <c r="J13" s="4">
        <f ca="1">[1]Summary!J14</f>
        <v>0.18159700000000001</v>
      </c>
      <c r="K13" s="4">
        <f ca="1">[1]Summary!K14</f>
        <v>6.6892300000000002E-2</v>
      </c>
    </row>
    <row r="14" spans="1:11">
      <c r="A14" s="1" t="s">
        <v>8</v>
      </c>
      <c r="B14" s="1" t="s">
        <v>9</v>
      </c>
      <c r="C14" s="1" t="s">
        <v>22</v>
      </c>
      <c r="D14" s="4">
        <f t="shared" si="3"/>
        <v>0.39900000000000002</v>
      </c>
      <c r="E14" s="4">
        <f t="shared" si="1"/>
        <v>1.4E-2</v>
      </c>
      <c r="F14" s="36">
        <v>0.39900000000000002</v>
      </c>
      <c r="G14" s="36">
        <v>1.4E-2</v>
      </c>
      <c r="H14" s="34"/>
      <c r="I14" s="34"/>
      <c r="J14" s="4">
        <f ca="1">[1]Summary!J15</f>
        <v>0.23267199999999999</v>
      </c>
      <c r="K14" s="4">
        <f ca="1">[1]Summary!K15</f>
        <v>8.8123599999999996E-2</v>
      </c>
    </row>
    <row r="15" spans="1:11">
      <c r="A15" s="1" t="s">
        <v>8</v>
      </c>
      <c r="B15" s="1" t="s">
        <v>9</v>
      </c>
      <c r="C15" s="1" t="s">
        <v>23</v>
      </c>
      <c r="D15" s="4">
        <f>F15</f>
        <v>0.43099999999999999</v>
      </c>
      <c r="E15" s="4">
        <f t="shared" si="1"/>
        <v>8.0000000000000002E-3</v>
      </c>
      <c r="F15" s="36">
        <v>0.43099999999999999</v>
      </c>
      <c r="G15" s="36">
        <v>8.0000000000000002E-3</v>
      </c>
      <c r="H15" s="34"/>
      <c r="I15" s="34"/>
      <c r="J15" s="4">
        <f ca="1">[1]Summary!J16</f>
        <v>0.202379</v>
      </c>
      <c r="K15" s="4">
        <f ca="1">[1]Summary!K16</f>
        <v>7.7282900000000002E-2</v>
      </c>
    </row>
    <row r="16" spans="1:11">
      <c r="A16" s="1" t="s">
        <v>8</v>
      </c>
      <c r="B16" s="1" t="s">
        <v>9</v>
      </c>
      <c r="C16" s="1" t="s">
        <v>24</v>
      </c>
      <c r="D16" s="4">
        <f t="shared" ca="1" si="2"/>
        <v>0.33340286200000002</v>
      </c>
      <c r="E16" s="4">
        <f t="shared" si="1"/>
        <v>1.2E-2</v>
      </c>
      <c r="F16" s="36">
        <v>0.36499999999999999</v>
      </c>
      <c r="G16" s="36">
        <v>1.2E-2</v>
      </c>
      <c r="H16" s="35">
        <v>0.25600000000000001</v>
      </c>
      <c r="I16" s="35">
        <v>1.0999999999999999E-2</v>
      </c>
      <c r="J16" s="4">
        <f ca="1">[1]Summary!J17</f>
        <v>0.28988199999999997</v>
      </c>
      <c r="K16" s="4">
        <f ca="1">[1]Summary!K17</f>
        <v>5.1386599999999998E-2</v>
      </c>
    </row>
    <row r="17" spans="1:11">
      <c r="A17" s="1" t="s">
        <v>8</v>
      </c>
      <c r="B17" s="1" t="s">
        <v>9</v>
      </c>
      <c r="C17" s="1" t="s">
        <v>25</v>
      </c>
      <c r="D17" s="4">
        <f t="shared" ca="1" si="2"/>
        <v>0.37669612000000002</v>
      </c>
      <c r="E17" s="4">
        <f t="shared" si="1"/>
        <v>8.0000000000000002E-3</v>
      </c>
      <c r="F17" s="36">
        <v>0.39400000000000002</v>
      </c>
      <c r="G17" s="36">
        <v>8.0000000000000002E-3</v>
      </c>
      <c r="H17" s="35">
        <v>0.28399999999999997</v>
      </c>
      <c r="I17" s="35">
        <v>8.0000000000000002E-3</v>
      </c>
      <c r="J17" s="4">
        <f ca="1">[1]Summary!J18</f>
        <v>0.157308</v>
      </c>
      <c r="K17" s="4">
        <f ca="1">[1]Summary!K18</f>
        <v>3.5921799999999997E-2</v>
      </c>
    </row>
    <row r="20" spans="1:11">
      <c r="A20" s="1" t="s">
        <v>0</v>
      </c>
      <c r="B20" s="1" t="s">
        <v>1</v>
      </c>
      <c r="C20" s="1" t="s">
        <v>2</v>
      </c>
      <c r="D20" t="s">
        <v>149</v>
      </c>
    </row>
    <row r="21" spans="1:11">
      <c r="A21" s="49" t="s">
        <v>126</v>
      </c>
      <c r="B21" s="1" t="s">
        <v>128</v>
      </c>
      <c r="C21" s="42" t="s">
        <v>10</v>
      </c>
      <c r="D21" s="34">
        <v>0.52800000000000002</v>
      </c>
      <c r="E21" s="34">
        <v>1.0999999999999999E-2</v>
      </c>
    </row>
    <row r="22" spans="1:11">
      <c r="A22" s="49"/>
      <c r="B22" s="1" t="s">
        <v>129</v>
      </c>
      <c r="C22" s="42"/>
      <c r="D22" s="34">
        <v>0.56299999999999994</v>
      </c>
      <c r="E22" s="34">
        <v>1.4999999999999999E-2</v>
      </c>
    </row>
    <row r="23" spans="1:11">
      <c r="A23" s="49"/>
      <c r="B23" s="11" t="s">
        <v>136</v>
      </c>
      <c r="C23" s="42"/>
      <c r="D23" s="34">
        <v>0.58599999999999997</v>
      </c>
      <c r="E23" s="34">
        <v>1.2999999999999999E-2</v>
      </c>
    </row>
    <row r="24" spans="1:11">
      <c r="A24" s="49"/>
      <c r="B24" s="11" t="s">
        <v>137</v>
      </c>
      <c r="C24" s="42"/>
      <c r="D24" s="34">
        <v>0.54200000000000004</v>
      </c>
      <c r="E24" s="34">
        <v>8.0000000000000002E-3</v>
      </c>
    </row>
    <row r="25" spans="1:11">
      <c r="A25" s="7" t="s">
        <v>130</v>
      </c>
      <c r="B25" s="45" t="s">
        <v>137</v>
      </c>
      <c r="C25" s="42" t="s">
        <v>10</v>
      </c>
      <c r="D25" s="34">
        <v>0.53100000000000003</v>
      </c>
      <c r="E25" s="34">
        <v>0.01</v>
      </c>
    </row>
    <row r="26" spans="1:11">
      <c r="A26" s="27" t="s">
        <v>138</v>
      </c>
      <c r="B26" s="45"/>
      <c r="C26" s="42"/>
      <c r="D26" s="34">
        <v>0.56100000000000005</v>
      </c>
      <c r="E26" s="34">
        <v>1.2999999999999999E-2</v>
      </c>
    </row>
    <row r="27" spans="1:11">
      <c r="A27" s="44" t="s">
        <v>126</v>
      </c>
      <c r="B27" s="45" t="s">
        <v>137</v>
      </c>
      <c r="C27" s="8" t="s">
        <v>18</v>
      </c>
      <c r="D27" s="34">
        <v>0.51</v>
      </c>
      <c r="E27" s="34">
        <v>1.4999999999999999E-2</v>
      </c>
    </row>
    <row r="28" spans="1:11">
      <c r="A28" s="44"/>
      <c r="B28" s="45"/>
      <c r="C28" s="8" t="s">
        <v>19</v>
      </c>
      <c r="D28" s="34">
        <v>0.56000000000000005</v>
      </c>
      <c r="E28" s="34">
        <v>1.4999999999999999E-2</v>
      </c>
    </row>
    <row r="29" spans="1:11">
      <c r="A29" s="44"/>
      <c r="B29" s="45"/>
      <c r="C29" s="8" t="s">
        <v>25</v>
      </c>
      <c r="D29" s="34">
        <v>0.56499999999999995</v>
      </c>
      <c r="E29" s="34">
        <v>8.9999999999999993E-3</v>
      </c>
    </row>
    <row r="30" spans="1:11">
      <c r="C30" s="8" t="s">
        <v>24</v>
      </c>
      <c r="D30" s="34">
        <v>0.53400000000000003</v>
      </c>
      <c r="E30" s="34">
        <v>1.0999999999999999E-2</v>
      </c>
    </row>
  </sheetData>
  <sheetProtection sheet="1" objects="1" scenarios="1"/>
  <mergeCells count="6">
    <mergeCell ref="A21:A24"/>
    <mergeCell ref="C21:C24"/>
    <mergeCell ref="B25:B26"/>
    <mergeCell ref="C25:C26"/>
    <mergeCell ref="A27:A29"/>
    <mergeCell ref="B27:B2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Ruler="0" workbookViewId="0">
      <selection activeCell="F2" sqref="F2:H17"/>
    </sheetView>
  </sheetViews>
  <sheetFormatPr baseColWidth="10" defaultRowHeight="15" x14ac:dyDescent="0"/>
  <sheetData>
    <row r="1" spans="1:11">
      <c r="A1" s="1" t="s">
        <v>0</v>
      </c>
      <c r="B1" s="1" t="s">
        <v>1</v>
      </c>
      <c r="C1" s="1" t="s">
        <v>2</v>
      </c>
      <c r="D1" s="1" t="s">
        <v>26</v>
      </c>
      <c r="E1" s="1" t="s">
        <v>4</v>
      </c>
      <c r="F1" s="1" t="s">
        <v>27</v>
      </c>
      <c r="G1" s="1" t="s">
        <v>4</v>
      </c>
      <c r="H1" s="1" t="s">
        <v>28</v>
      </c>
      <c r="I1" s="1" t="s">
        <v>4</v>
      </c>
      <c r="J1" s="1" t="s">
        <v>7</v>
      </c>
      <c r="K1" s="1" t="s">
        <v>4</v>
      </c>
    </row>
    <row r="2" spans="1:11">
      <c r="A2" s="41" t="s">
        <v>8</v>
      </c>
      <c r="B2" s="1" t="s">
        <v>9</v>
      </c>
      <c r="C2" s="42" t="s">
        <v>10</v>
      </c>
      <c r="D2" s="4">
        <f ca="1">(1-J2)*F2+J2*H2</f>
        <v>0.41673068499999999</v>
      </c>
      <c r="E2" s="4"/>
      <c r="F2" s="54">
        <v>0.40699999999999997</v>
      </c>
      <c r="G2" s="54"/>
      <c r="H2" s="54">
        <v>0.45</v>
      </c>
      <c r="I2" s="4"/>
      <c r="J2" s="4">
        <f ca="1">[1]Summary!J3</f>
        <v>0.226295</v>
      </c>
      <c r="K2" s="4">
        <f ca="1">[1]Summary!K3</f>
        <v>3.1122199999999999E-2</v>
      </c>
    </row>
    <row r="3" spans="1:11">
      <c r="A3" s="41"/>
      <c r="B3" s="1" t="s">
        <v>11</v>
      </c>
      <c r="C3" s="42"/>
      <c r="D3" s="4">
        <f t="shared" ref="D3:D17" ca="1" si="0">(1-J3)*F3+J3*H3</f>
        <v>0.35760818999999999</v>
      </c>
      <c r="E3" s="4"/>
      <c r="F3" s="54">
        <v>0.35399999999999998</v>
      </c>
      <c r="G3" s="54"/>
      <c r="H3" s="54">
        <v>0.372</v>
      </c>
      <c r="I3" s="4"/>
      <c r="J3" s="4">
        <f ca="1">[1]Summary!J4</f>
        <v>0.20045499999999999</v>
      </c>
      <c r="K3" s="4">
        <f ca="1">[1]Summary!K4</f>
        <v>3.72783E-2</v>
      </c>
    </row>
    <row r="4" spans="1:11">
      <c r="A4" s="41"/>
      <c r="B4" s="1" t="s">
        <v>12</v>
      </c>
      <c r="C4" s="42"/>
      <c r="D4" s="4">
        <f t="shared" ca="1" si="0"/>
        <v>0.68256292000000007</v>
      </c>
      <c r="E4" s="4"/>
      <c r="F4" s="54">
        <v>0.67600000000000005</v>
      </c>
      <c r="G4" s="54"/>
      <c r="H4" s="54">
        <v>0.70199999999999996</v>
      </c>
      <c r="I4" s="4"/>
      <c r="J4" s="4">
        <f ca="1">[1]Summary!J5</f>
        <v>0.25241999999999998</v>
      </c>
      <c r="K4" s="4">
        <f ca="1">[1]Summary!K5</f>
        <v>4.9706199999999999E-2</v>
      </c>
    </row>
    <row r="5" spans="1:11">
      <c r="A5" s="7" t="s">
        <v>13</v>
      </c>
      <c r="B5" s="1" t="s">
        <v>9</v>
      </c>
      <c r="C5" s="42"/>
      <c r="D5" s="4">
        <f t="shared" ca="1" si="0"/>
        <v>0.33270081000000001</v>
      </c>
      <c r="E5" s="4"/>
      <c r="F5" s="54">
        <v>0.32100000000000001</v>
      </c>
      <c r="G5" s="54"/>
      <c r="H5" s="54">
        <v>0.376</v>
      </c>
      <c r="I5" s="4"/>
      <c r="J5" s="4">
        <f ca="1">[1]Summary!J6</f>
        <v>0.21274199999999999</v>
      </c>
      <c r="K5" s="4">
        <f ca="1">[1]Summary!K6</f>
        <v>4.4714999999999998E-2</v>
      </c>
    </row>
    <row r="6" spans="1:11">
      <c r="A6" s="41" t="s">
        <v>14</v>
      </c>
      <c r="B6" s="1" t="s">
        <v>9</v>
      </c>
      <c r="C6" s="42"/>
      <c r="D6" s="4">
        <f t="shared" ca="1" si="0"/>
        <v>0.56244595200000003</v>
      </c>
      <c r="E6" s="4"/>
      <c r="F6" s="54">
        <v>0.55500000000000005</v>
      </c>
      <c r="G6" s="54"/>
      <c r="H6" s="54">
        <v>0.59099999999999997</v>
      </c>
      <c r="I6" s="4"/>
      <c r="J6" s="4">
        <f ca="1">[1]Summary!J7</f>
        <v>0.20683199999999999</v>
      </c>
      <c r="K6" s="4">
        <f ca="1">[1]Summary!K7</f>
        <v>6.7050999999999999E-2</v>
      </c>
    </row>
    <row r="7" spans="1:11">
      <c r="A7" s="41"/>
      <c r="B7" s="1" t="s">
        <v>15</v>
      </c>
      <c r="C7" s="42"/>
      <c r="D7" s="4">
        <f t="shared" ca="1" si="0"/>
        <v>0.448547684</v>
      </c>
      <c r="E7" s="4"/>
      <c r="F7" s="54">
        <v>0.442</v>
      </c>
      <c r="G7" s="54"/>
      <c r="H7" s="54">
        <v>0.48599999999999999</v>
      </c>
      <c r="I7" s="4"/>
      <c r="J7" s="4">
        <f ca="1">[1]Summary!J8</f>
        <v>0.148811</v>
      </c>
      <c r="K7" s="4">
        <f ca="1">[1]Summary!K8</f>
        <v>6.8435399999999993E-2</v>
      </c>
    </row>
    <row r="8" spans="1:11">
      <c r="A8" s="41" t="s">
        <v>16</v>
      </c>
      <c r="B8" s="1" t="s">
        <v>9</v>
      </c>
      <c r="C8" s="42"/>
      <c r="D8" s="4">
        <f t="shared" ca="1" si="0"/>
        <v>0.55210997399999995</v>
      </c>
      <c r="E8" s="4"/>
      <c r="F8" s="54">
        <v>0.55500000000000005</v>
      </c>
      <c r="G8" s="54"/>
      <c r="H8" s="54">
        <v>0.53700000000000003</v>
      </c>
      <c r="I8" s="4"/>
      <c r="J8" s="4">
        <f ca="1">[1]Summary!J9</f>
        <v>0.16055700000000001</v>
      </c>
      <c r="K8" s="4">
        <f ca="1">[1]Summary!K9</f>
        <v>4.7643499999999998E-2</v>
      </c>
    </row>
    <row r="9" spans="1:11">
      <c r="A9" s="41"/>
      <c r="B9" s="1" t="s">
        <v>17</v>
      </c>
      <c r="C9" s="42"/>
      <c r="D9" s="4">
        <f t="shared" ca="1" si="0"/>
        <v>0.40894108400000007</v>
      </c>
      <c r="E9" s="4"/>
      <c r="F9" s="54">
        <v>0.442</v>
      </c>
      <c r="G9" s="54"/>
      <c r="H9" s="54">
        <v>0.24</v>
      </c>
      <c r="I9" s="4"/>
      <c r="J9" s="4">
        <f ca="1">[1]Summary!J10</f>
        <v>0.163658</v>
      </c>
      <c r="K9" s="4">
        <f ca="1">[1]Summary!K10</f>
        <v>3.5430400000000001E-2</v>
      </c>
    </row>
    <row r="10" spans="1:11">
      <c r="A10" s="41" t="s">
        <v>8</v>
      </c>
      <c r="B10" s="41" t="s">
        <v>9</v>
      </c>
      <c r="C10" s="8" t="s">
        <v>18</v>
      </c>
      <c r="D10" s="4">
        <f t="shared" ca="1" si="0"/>
        <v>0.41980329299999997</v>
      </c>
      <c r="E10" s="4"/>
      <c r="F10" s="54">
        <f>F$2</f>
        <v>0.40699999999999997</v>
      </c>
      <c r="G10" s="54"/>
      <c r="H10" s="54">
        <f>H$2</f>
        <v>0.45</v>
      </c>
      <c r="I10" s="4"/>
      <c r="J10" s="4">
        <f ca="1">[1]Summary!J11</f>
        <v>0.29775099999999999</v>
      </c>
      <c r="K10" s="4">
        <f ca="1">[1]Summary!K11</f>
        <v>6.4536999999999997E-2</v>
      </c>
    </row>
    <row r="11" spans="1:11">
      <c r="A11" s="41"/>
      <c r="B11" s="41"/>
      <c r="C11" s="8" t="s">
        <v>19</v>
      </c>
      <c r="D11" s="4">
        <f t="shared" ca="1" si="0"/>
        <v>0.41940064099999996</v>
      </c>
      <c r="E11" s="4"/>
      <c r="F11" s="54">
        <f t="shared" ref="F11:H17" si="1">F$2</f>
        <v>0.40699999999999997</v>
      </c>
      <c r="G11" s="54"/>
      <c r="H11" s="54">
        <f t="shared" si="1"/>
        <v>0.45</v>
      </c>
      <c r="I11" s="4"/>
      <c r="J11" s="4">
        <f ca="1">[1]Summary!J12</f>
        <v>0.288387</v>
      </c>
      <c r="K11" s="4">
        <f ca="1">[1]Summary!K12</f>
        <v>7.3523400000000003E-2</v>
      </c>
    </row>
    <row r="12" spans="1:11">
      <c r="A12" s="41"/>
      <c r="B12" s="41"/>
      <c r="C12" s="8" t="s">
        <v>20</v>
      </c>
      <c r="D12" s="4">
        <f t="shared" ca="1" si="0"/>
        <v>0.4100441936</v>
      </c>
      <c r="E12" s="4"/>
      <c r="F12" s="54">
        <f t="shared" si="1"/>
        <v>0.40699999999999997</v>
      </c>
      <c r="G12" s="54"/>
      <c r="H12" s="54">
        <f t="shared" si="1"/>
        <v>0.45</v>
      </c>
      <c r="I12" s="4"/>
      <c r="J12" s="4">
        <f ca="1">[1]Summary!J13</f>
        <v>7.0795200000000003E-2</v>
      </c>
      <c r="K12" s="4">
        <f ca="1">[1]Summary!K13</f>
        <v>4.8721899999999999E-2</v>
      </c>
    </row>
    <row r="13" spans="1:11">
      <c r="A13" s="41"/>
      <c r="B13" s="41"/>
      <c r="C13" s="8" t="s">
        <v>21</v>
      </c>
      <c r="D13" s="4">
        <f t="shared" ca="1" si="0"/>
        <v>0.41480867099999996</v>
      </c>
      <c r="E13" s="4"/>
      <c r="F13" s="54">
        <f t="shared" si="1"/>
        <v>0.40699999999999997</v>
      </c>
      <c r="G13" s="54"/>
      <c r="H13" s="54">
        <f t="shared" si="1"/>
        <v>0.45</v>
      </c>
      <c r="I13" s="4"/>
      <c r="J13" s="4">
        <f ca="1">[1]Summary!J14</f>
        <v>0.18159700000000001</v>
      </c>
      <c r="K13" s="4">
        <f ca="1">[1]Summary!K14</f>
        <v>6.6892300000000002E-2</v>
      </c>
    </row>
    <row r="14" spans="1:11">
      <c r="A14" s="41"/>
      <c r="B14" s="41"/>
      <c r="C14" s="8" t="s">
        <v>22</v>
      </c>
      <c r="D14" s="4">
        <f t="shared" ca="1" si="0"/>
        <v>0.41700489600000001</v>
      </c>
      <c r="E14" s="4"/>
      <c r="F14" s="54">
        <f t="shared" si="1"/>
        <v>0.40699999999999997</v>
      </c>
      <c r="G14" s="54"/>
      <c r="H14" s="54">
        <f t="shared" si="1"/>
        <v>0.45</v>
      </c>
      <c r="I14" s="4"/>
      <c r="J14" s="4">
        <f ca="1">[1]Summary!J15</f>
        <v>0.23267199999999999</v>
      </c>
      <c r="K14" s="4">
        <f ca="1">[1]Summary!K15</f>
        <v>8.8123599999999996E-2</v>
      </c>
    </row>
    <row r="15" spans="1:11">
      <c r="A15" s="41"/>
      <c r="B15" s="41"/>
      <c r="C15" s="8" t="s">
        <v>23</v>
      </c>
      <c r="D15" s="4">
        <f t="shared" ca="1" si="0"/>
        <v>0.41570229699999994</v>
      </c>
      <c r="E15" s="4"/>
      <c r="F15" s="54">
        <f t="shared" si="1"/>
        <v>0.40699999999999997</v>
      </c>
      <c r="G15" s="54"/>
      <c r="H15" s="54">
        <f t="shared" si="1"/>
        <v>0.45</v>
      </c>
      <c r="I15" s="4"/>
      <c r="J15" s="4">
        <f ca="1">[1]Summary!J16</f>
        <v>0.202379</v>
      </c>
      <c r="K15" s="4">
        <f ca="1">[1]Summary!K16</f>
        <v>7.7282900000000002E-2</v>
      </c>
    </row>
    <row r="16" spans="1:11">
      <c r="A16" s="41"/>
      <c r="B16" s="41"/>
      <c r="C16" s="8" t="s">
        <v>24</v>
      </c>
      <c r="D16" s="4">
        <f t="shared" ca="1" si="0"/>
        <v>0.41946492599999996</v>
      </c>
      <c r="E16" s="4"/>
      <c r="F16" s="54">
        <f t="shared" si="1"/>
        <v>0.40699999999999997</v>
      </c>
      <c r="G16" s="54"/>
      <c r="H16" s="54">
        <f t="shared" si="1"/>
        <v>0.45</v>
      </c>
      <c r="I16" s="4"/>
      <c r="J16" s="4">
        <f ca="1">[1]Summary!J17</f>
        <v>0.28988199999999997</v>
      </c>
      <c r="K16" s="4">
        <f ca="1">[1]Summary!K17</f>
        <v>5.1386599999999998E-2</v>
      </c>
    </row>
    <row r="17" spans="1:11">
      <c r="A17" s="41"/>
      <c r="B17" s="41"/>
      <c r="C17" s="8" t="s">
        <v>25</v>
      </c>
      <c r="D17" s="4">
        <f t="shared" ca="1" si="0"/>
        <v>0.413764244</v>
      </c>
      <c r="E17" s="4"/>
      <c r="F17" s="54">
        <f t="shared" si="1"/>
        <v>0.40699999999999997</v>
      </c>
      <c r="G17" s="54"/>
      <c r="H17" s="54">
        <f t="shared" si="1"/>
        <v>0.45</v>
      </c>
      <c r="I17" s="4"/>
      <c r="J17" s="4">
        <f ca="1">[1]Summary!J18</f>
        <v>0.157308</v>
      </c>
      <c r="K17" s="4">
        <f ca="1">[1]Summary!K18</f>
        <v>3.5921799999999997E-2</v>
      </c>
    </row>
  </sheetData>
  <sheetProtection sheet="1" objects="1" scenarios="1"/>
  <mergeCells count="6">
    <mergeCell ref="A2:A4"/>
    <mergeCell ref="C2:C9"/>
    <mergeCell ref="A6:A7"/>
    <mergeCell ref="A8:A9"/>
    <mergeCell ref="A10:A17"/>
    <mergeCell ref="B10:B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Ruler="0" topLeftCell="A6" workbookViewId="0">
      <selection activeCell="D28" sqref="D28"/>
    </sheetView>
  </sheetViews>
  <sheetFormatPr baseColWidth="10" defaultRowHeight="15" x14ac:dyDescent="0"/>
  <sheetData>
    <row r="1" spans="1:12">
      <c r="A1" s="11" t="s">
        <v>0</v>
      </c>
      <c r="B1" s="11" t="s">
        <v>1</v>
      </c>
      <c r="C1" s="11" t="s">
        <v>2</v>
      </c>
      <c r="D1" s="5" t="s">
        <v>106</v>
      </c>
      <c r="E1" s="5" t="s">
        <v>107</v>
      </c>
      <c r="F1" s="5" t="s">
        <v>108</v>
      </c>
      <c r="G1" s="5" t="s">
        <v>109</v>
      </c>
      <c r="H1" s="5" t="s">
        <v>110</v>
      </c>
      <c r="I1" s="5" t="s">
        <v>111</v>
      </c>
      <c r="J1" s="5" t="s">
        <v>112</v>
      </c>
      <c r="K1" s="5" t="s">
        <v>113</v>
      </c>
      <c r="L1" s="5" t="s">
        <v>40</v>
      </c>
    </row>
    <row r="2" spans="1:12">
      <c r="A2" s="41" t="s">
        <v>8</v>
      </c>
      <c r="B2" s="7" t="s">
        <v>9</v>
      </c>
      <c r="C2" s="41" t="s">
        <v>10</v>
      </c>
      <c r="D2" s="2">
        <f>[2]Summary!D3</f>
        <v>1025.5899999999999</v>
      </c>
      <c r="E2" s="2">
        <f>[2]Summary!E3</f>
        <v>35.270299999999999</v>
      </c>
      <c r="F2" s="2">
        <f>[2]Summary!F3</f>
        <v>819.93299999999999</v>
      </c>
      <c r="G2" s="2">
        <f>[2]Summary!G3</f>
        <v>33.9923</v>
      </c>
      <c r="H2" s="2">
        <f>[2]Summary!H3</f>
        <v>205.655</v>
      </c>
      <c r="I2" s="2">
        <f>[2]Summary!I3</f>
        <v>20.257899999999999</v>
      </c>
      <c r="J2" s="4">
        <f>[2]Summary!J3</f>
        <v>0.20052400000000001</v>
      </c>
      <c r="K2" s="4">
        <f>[2]Summary!K3</f>
        <v>1.8509600000000001E-2</v>
      </c>
      <c r="L2" s="4">
        <f>D2-F2-H2</f>
        <v>1.9999999999242846E-3</v>
      </c>
    </row>
    <row r="3" spans="1:12">
      <c r="A3" s="41"/>
      <c r="B3" s="7" t="s">
        <v>11</v>
      </c>
      <c r="C3" s="41"/>
      <c r="D3" s="2">
        <f>[2]Summary!D4</f>
        <v>683.43899999999996</v>
      </c>
      <c r="E3" s="2">
        <f>[2]Summary!E4</f>
        <v>29.790299999999998</v>
      </c>
      <c r="F3" s="2">
        <f>[2]Summary!F4</f>
        <v>566.96699999999998</v>
      </c>
      <c r="G3" s="2">
        <f>[2]Summary!G4</f>
        <v>28.7989</v>
      </c>
      <c r="H3" s="2">
        <f>[2]Summary!H4</f>
        <v>116.47199999999999</v>
      </c>
      <c r="I3" s="2">
        <f>[2]Summary!I4</f>
        <v>15.633100000000001</v>
      </c>
      <c r="J3" s="4">
        <f>[2]Summary!J4</f>
        <v>0.17041999999999999</v>
      </c>
      <c r="K3" s="4">
        <f>[2]Summary!K4</f>
        <v>2.1634400000000002E-2</v>
      </c>
      <c r="L3" s="4">
        <f t="shared" ref="L3:L9" si="0">D3-F3-H3</f>
        <v>0</v>
      </c>
    </row>
    <row r="4" spans="1:12">
      <c r="A4" s="41"/>
      <c r="B4" s="7" t="s">
        <v>12</v>
      </c>
      <c r="C4" s="41"/>
      <c r="D4" s="2">
        <f>[2]Summary!D5</f>
        <v>342.68799999999999</v>
      </c>
      <c r="E4" s="2">
        <f>[2]Summary!E5</f>
        <v>19.511199999999999</v>
      </c>
      <c r="F4" s="2">
        <f>[2]Summary!F5</f>
        <v>255.73699999999999</v>
      </c>
      <c r="G4" s="2">
        <f>[2]Summary!G5</f>
        <v>18.028500000000001</v>
      </c>
      <c r="H4" s="2">
        <f>[2]Summary!H5</f>
        <v>86.950400000000002</v>
      </c>
      <c r="I4" s="2">
        <f>[2]Summary!I5</f>
        <v>11.7271</v>
      </c>
      <c r="J4" s="4">
        <f>[2]Summary!J5</f>
        <v>0.25373099999999998</v>
      </c>
      <c r="K4" s="4">
        <f>[2]Summary!K5</f>
        <v>3.10221E-2</v>
      </c>
      <c r="L4" s="4">
        <f t="shared" si="0"/>
        <v>5.9999999999149622E-4</v>
      </c>
    </row>
    <row r="5" spans="1:12">
      <c r="A5" s="7" t="s">
        <v>13</v>
      </c>
      <c r="B5" s="41" t="s">
        <v>9</v>
      </c>
      <c r="C5" s="41"/>
      <c r="D5" s="2">
        <f>[2]Summary!D6</f>
        <v>447.36599999999999</v>
      </c>
      <c r="E5" s="2">
        <f>[2]Summary!E6</f>
        <v>35.901800000000001</v>
      </c>
      <c r="F5" s="2">
        <f>[2]Summary!F6</f>
        <v>355.33100000000002</v>
      </c>
      <c r="G5" s="2">
        <f>[2]Summary!G6</f>
        <v>30.979199999999999</v>
      </c>
      <c r="H5" s="2">
        <f>[2]Summary!H6</f>
        <v>92.034499999999994</v>
      </c>
      <c r="I5" s="2">
        <f>[2]Summary!I6</f>
        <v>14.1812</v>
      </c>
      <c r="J5" s="4">
        <f>[2]Summary!J6</f>
        <v>0.20572499999999999</v>
      </c>
      <c r="K5" s="4">
        <f>[2]Summary!K6</f>
        <v>2.7060600000000001E-2</v>
      </c>
      <c r="L5" s="4">
        <f t="shared" si="0"/>
        <v>4.9999999997396571E-4</v>
      </c>
    </row>
    <row r="6" spans="1:12">
      <c r="A6" s="41" t="s">
        <v>14</v>
      </c>
      <c r="B6" s="41"/>
      <c r="C6" s="41"/>
      <c r="D6" s="2">
        <f>[2]Summary!D7</f>
        <v>278.488</v>
      </c>
      <c r="E6" s="2">
        <f>[2]Summary!E7</f>
        <v>20.9192</v>
      </c>
      <c r="F6" s="2">
        <f>[2]Summary!F7</f>
        <v>221.95</v>
      </c>
      <c r="G6" s="2">
        <f>[2]Summary!G7</f>
        <v>19.525200000000002</v>
      </c>
      <c r="H6" s="2">
        <f>[2]Summary!H7</f>
        <v>56.538400000000003</v>
      </c>
      <c r="I6" s="2">
        <f>[2]Summary!I7</f>
        <v>11.014099999999999</v>
      </c>
      <c r="J6" s="4">
        <f>[2]Summary!J7</f>
        <v>0.20301900000000001</v>
      </c>
      <c r="K6" s="4">
        <f>[2]Summary!K7</f>
        <v>3.6491099999999999E-2</v>
      </c>
      <c r="L6" s="4">
        <f t="shared" si="0"/>
        <v>-3.9999999999196234E-4</v>
      </c>
    </row>
    <row r="7" spans="1:12">
      <c r="A7" s="41"/>
      <c r="B7" s="7" t="s">
        <v>15</v>
      </c>
      <c r="C7" s="41"/>
      <c r="D7" s="2">
        <f>[2]Summary!D8</f>
        <v>355.84800000000001</v>
      </c>
      <c r="E7" s="2">
        <f>[2]Summary!E8</f>
        <v>21.6935</v>
      </c>
      <c r="F7" s="2">
        <f>[2]Summary!F8</f>
        <v>295.279</v>
      </c>
      <c r="G7" s="2">
        <f>[2]Summary!G8</f>
        <v>21.418600000000001</v>
      </c>
      <c r="H7" s="2">
        <f>[2]Summary!H8</f>
        <v>60.569600000000001</v>
      </c>
      <c r="I7" s="2">
        <f>[2]Summary!I8</f>
        <v>12.18</v>
      </c>
      <c r="J7" s="4">
        <f>[2]Summary!J8</f>
        <v>0.170212</v>
      </c>
      <c r="K7" s="4">
        <f>[2]Summary!K8</f>
        <v>3.2617300000000002E-2</v>
      </c>
      <c r="L7" s="4">
        <f t="shared" si="0"/>
        <v>-5.999999999843908E-4</v>
      </c>
    </row>
    <row r="8" spans="1:12">
      <c r="A8" s="41" t="s">
        <v>16</v>
      </c>
      <c r="B8" s="7" t="s">
        <v>9</v>
      </c>
      <c r="C8" s="41"/>
      <c r="D8" s="2">
        <f>[2]Summary!D9</f>
        <v>328.52800000000002</v>
      </c>
      <c r="E8" s="2">
        <f>[2]Summary!E9</f>
        <v>8.9943100000000005</v>
      </c>
      <c r="F8" s="2">
        <f>[2]Summary!F9</f>
        <v>259.512</v>
      </c>
      <c r="G8" s="2">
        <f>[2]Summary!G9</f>
        <v>13.145899999999999</v>
      </c>
      <c r="H8" s="2">
        <f>[2]Summary!H9</f>
        <v>69.016000000000005</v>
      </c>
      <c r="I8" s="2">
        <f>[2]Summary!I9</f>
        <v>11.220800000000001</v>
      </c>
      <c r="J8" s="4">
        <f>[2]Summary!J9</f>
        <v>0.21007600000000001</v>
      </c>
      <c r="K8" s="4">
        <f>[2]Summary!K9</f>
        <v>3.3667000000000002E-2</v>
      </c>
      <c r="L8" s="4">
        <f t="shared" si="0"/>
        <v>0</v>
      </c>
    </row>
    <row r="9" spans="1:12">
      <c r="A9" s="41"/>
      <c r="B9" s="7" t="s">
        <v>17</v>
      </c>
      <c r="C9" s="41"/>
      <c r="D9" s="2">
        <f>[2]Summary!D10</f>
        <v>1006.61</v>
      </c>
      <c r="E9" s="2">
        <f>[2]Summary!E10</f>
        <v>33.9497</v>
      </c>
      <c r="F9" s="2">
        <f>[2]Summary!F10</f>
        <v>871.45899999999995</v>
      </c>
      <c r="G9" s="2">
        <f>[2]Summary!G10</f>
        <v>34.686900000000001</v>
      </c>
      <c r="H9" s="2">
        <f>[2]Summary!H10</f>
        <v>135.15600000000001</v>
      </c>
      <c r="I9" s="2">
        <f>[2]Summary!I10</f>
        <v>18.976600000000001</v>
      </c>
      <c r="J9" s="4">
        <f>[2]Summary!J10</f>
        <v>0.134268</v>
      </c>
      <c r="K9" s="4">
        <f>[2]Summary!K10</f>
        <v>1.8299900000000001E-2</v>
      </c>
      <c r="L9" s="4">
        <f t="shared" si="0"/>
        <v>-4.9999999999386091E-3</v>
      </c>
    </row>
    <row r="10" spans="1:12">
      <c r="A10" s="41" t="s">
        <v>8</v>
      </c>
      <c r="B10" s="41" t="s">
        <v>9</v>
      </c>
      <c r="C10" s="8" t="s">
        <v>18</v>
      </c>
      <c r="D10" s="2">
        <f>D$2</f>
        <v>1025.5899999999999</v>
      </c>
      <c r="E10" s="2">
        <f t="shared" ref="E10:L17" si="1">E$2</f>
        <v>35.270299999999999</v>
      </c>
      <c r="F10" s="2">
        <f t="shared" si="1"/>
        <v>819.93299999999999</v>
      </c>
      <c r="G10" s="2">
        <f t="shared" si="1"/>
        <v>33.9923</v>
      </c>
      <c r="H10" s="2">
        <f t="shared" si="1"/>
        <v>205.655</v>
      </c>
      <c r="I10" s="2">
        <f t="shared" si="1"/>
        <v>20.257899999999999</v>
      </c>
      <c r="J10" s="2">
        <f t="shared" si="1"/>
        <v>0.20052400000000001</v>
      </c>
      <c r="K10" s="2">
        <f t="shared" si="1"/>
        <v>1.8509600000000001E-2</v>
      </c>
      <c r="L10" s="2">
        <f t="shared" si="1"/>
        <v>1.9999999999242846E-3</v>
      </c>
    </row>
    <row r="11" spans="1:12">
      <c r="A11" s="41"/>
      <c r="B11" s="41"/>
      <c r="C11" s="8" t="s">
        <v>19</v>
      </c>
      <c r="D11" s="2">
        <f t="shared" ref="D11:D17" si="2">D$2</f>
        <v>1025.5899999999999</v>
      </c>
      <c r="E11" s="2">
        <f t="shared" si="1"/>
        <v>35.270299999999999</v>
      </c>
      <c r="F11" s="2">
        <f t="shared" si="1"/>
        <v>819.93299999999999</v>
      </c>
      <c r="G11" s="2">
        <f t="shared" si="1"/>
        <v>33.9923</v>
      </c>
      <c r="H11" s="2">
        <f t="shared" si="1"/>
        <v>205.655</v>
      </c>
      <c r="I11" s="2">
        <f t="shared" si="1"/>
        <v>20.257899999999999</v>
      </c>
      <c r="J11" s="2">
        <f t="shared" si="1"/>
        <v>0.20052400000000001</v>
      </c>
      <c r="K11" s="2">
        <f t="shared" si="1"/>
        <v>1.8509600000000001E-2</v>
      </c>
      <c r="L11" s="2">
        <f t="shared" si="1"/>
        <v>1.9999999999242846E-3</v>
      </c>
    </row>
    <row r="12" spans="1:12">
      <c r="A12" s="41"/>
      <c r="B12" s="41"/>
      <c r="C12" s="8" t="s">
        <v>20</v>
      </c>
      <c r="D12" s="2">
        <f t="shared" si="2"/>
        <v>1025.5899999999999</v>
      </c>
      <c r="E12" s="2">
        <f t="shared" si="1"/>
        <v>35.270299999999999</v>
      </c>
      <c r="F12" s="2">
        <f t="shared" si="1"/>
        <v>819.93299999999999</v>
      </c>
      <c r="G12" s="2">
        <f t="shared" si="1"/>
        <v>33.9923</v>
      </c>
      <c r="H12" s="2">
        <f t="shared" si="1"/>
        <v>205.655</v>
      </c>
      <c r="I12" s="2">
        <f t="shared" si="1"/>
        <v>20.257899999999999</v>
      </c>
      <c r="J12" s="2">
        <f t="shared" si="1"/>
        <v>0.20052400000000001</v>
      </c>
      <c r="K12" s="2">
        <f t="shared" si="1"/>
        <v>1.8509600000000001E-2</v>
      </c>
      <c r="L12" s="2">
        <f t="shared" si="1"/>
        <v>1.9999999999242846E-3</v>
      </c>
    </row>
    <row r="13" spans="1:12">
      <c r="A13" s="41"/>
      <c r="B13" s="41"/>
      <c r="C13" s="8" t="s">
        <v>21</v>
      </c>
      <c r="D13" s="2">
        <f t="shared" si="2"/>
        <v>1025.5899999999999</v>
      </c>
      <c r="E13" s="2">
        <f t="shared" si="1"/>
        <v>35.270299999999999</v>
      </c>
      <c r="F13" s="2">
        <f t="shared" si="1"/>
        <v>819.93299999999999</v>
      </c>
      <c r="G13" s="2">
        <f t="shared" si="1"/>
        <v>33.9923</v>
      </c>
      <c r="H13" s="2">
        <f t="shared" si="1"/>
        <v>205.655</v>
      </c>
      <c r="I13" s="2">
        <f t="shared" si="1"/>
        <v>20.257899999999999</v>
      </c>
      <c r="J13" s="2">
        <f t="shared" si="1"/>
        <v>0.20052400000000001</v>
      </c>
      <c r="K13" s="2">
        <f t="shared" si="1"/>
        <v>1.8509600000000001E-2</v>
      </c>
      <c r="L13" s="2">
        <f t="shared" si="1"/>
        <v>1.9999999999242846E-3</v>
      </c>
    </row>
    <row r="14" spans="1:12">
      <c r="A14" s="41"/>
      <c r="B14" s="41"/>
      <c r="C14" s="8" t="s">
        <v>22</v>
      </c>
      <c r="D14" s="2">
        <f t="shared" si="2"/>
        <v>1025.5899999999999</v>
      </c>
      <c r="E14" s="2">
        <f t="shared" si="1"/>
        <v>35.270299999999999</v>
      </c>
      <c r="F14" s="2">
        <f t="shared" si="1"/>
        <v>819.93299999999999</v>
      </c>
      <c r="G14" s="2">
        <f t="shared" si="1"/>
        <v>33.9923</v>
      </c>
      <c r="H14" s="2">
        <f t="shared" si="1"/>
        <v>205.655</v>
      </c>
      <c r="I14" s="2">
        <f t="shared" si="1"/>
        <v>20.257899999999999</v>
      </c>
      <c r="J14" s="2">
        <f t="shared" si="1"/>
        <v>0.20052400000000001</v>
      </c>
      <c r="K14" s="2">
        <f t="shared" si="1"/>
        <v>1.8509600000000001E-2</v>
      </c>
      <c r="L14" s="2">
        <f t="shared" si="1"/>
        <v>1.9999999999242846E-3</v>
      </c>
    </row>
    <row r="15" spans="1:12">
      <c r="A15" s="41"/>
      <c r="B15" s="41"/>
      <c r="C15" s="8" t="s">
        <v>23</v>
      </c>
      <c r="D15" s="2">
        <f t="shared" si="2"/>
        <v>1025.5899999999999</v>
      </c>
      <c r="E15" s="2">
        <f t="shared" si="1"/>
        <v>35.270299999999999</v>
      </c>
      <c r="F15" s="2">
        <f t="shared" si="1"/>
        <v>819.93299999999999</v>
      </c>
      <c r="G15" s="2">
        <f t="shared" si="1"/>
        <v>33.9923</v>
      </c>
      <c r="H15" s="2">
        <f t="shared" si="1"/>
        <v>205.655</v>
      </c>
      <c r="I15" s="2">
        <f t="shared" si="1"/>
        <v>20.257899999999999</v>
      </c>
      <c r="J15" s="2">
        <f t="shared" si="1"/>
        <v>0.20052400000000001</v>
      </c>
      <c r="K15" s="2">
        <f t="shared" si="1"/>
        <v>1.8509600000000001E-2</v>
      </c>
      <c r="L15" s="2">
        <f t="shared" si="1"/>
        <v>1.9999999999242846E-3</v>
      </c>
    </row>
    <row r="16" spans="1:12">
      <c r="A16" s="41"/>
      <c r="B16" s="41"/>
      <c r="C16" s="8" t="s">
        <v>24</v>
      </c>
      <c r="D16" s="2">
        <f t="shared" si="2"/>
        <v>1025.5899999999999</v>
      </c>
      <c r="E16" s="2">
        <f t="shared" si="1"/>
        <v>35.270299999999999</v>
      </c>
      <c r="F16" s="2">
        <f t="shared" si="1"/>
        <v>819.93299999999999</v>
      </c>
      <c r="G16" s="2">
        <f t="shared" si="1"/>
        <v>33.9923</v>
      </c>
      <c r="H16" s="2">
        <f t="shared" si="1"/>
        <v>205.655</v>
      </c>
      <c r="I16" s="2">
        <f t="shared" si="1"/>
        <v>20.257899999999999</v>
      </c>
      <c r="J16" s="2">
        <f t="shared" si="1"/>
        <v>0.20052400000000001</v>
      </c>
      <c r="K16" s="2">
        <f t="shared" si="1"/>
        <v>1.8509600000000001E-2</v>
      </c>
      <c r="L16" s="2">
        <f t="shared" si="1"/>
        <v>1.9999999999242846E-3</v>
      </c>
    </row>
    <row r="17" spans="1:12">
      <c r="A17" s="41"/>
      <c r="B17" s="41"/>
      <c r="C17" s="8" t="s">
        <v>25</v>
      </c>
      <c r="D17" s="2">
        <f t="shared" si="2"/>
        <v>1025.5899999999999</v>
      </c>
      <c r="E17" s="2">
        <f t="shared" si="1"/>
        <v>35.270299999999999</v>
      </c>
      <c r="F17" s="2">
        <f t="shared" si="1"/>
        <v>819.93299999999999</v>
      </c>
      <c r="G17" s="2">
        <f t="shared" si="1"/>
        <v>33.9923</v>
      </c>
      <c r="H17" s="2">
        <f t="shared" si="1"/>
        <v>205.655</v>
      </c>
      <c r="I17" s="2">
        <f t="shared" si="1"/>
        <v>20.257899999999999</v>
      </c>
      <c r="J17" s="2">
        <f t="shared" si="1"/>
        <v>0.20052400000000001</v>
      </c>
      <c r="K17" s="2">
        <f t="shared" si="1"/>
        <v>1.8509600000000001E-2</v>
      </c>
      <c r="L17" s="2">
        <f t="shared" si="1"/>
        <v>1.9999999999242846E-3</v>
      </c>
    </row>
    <row r="25" spans="1:12">
      <c r="A25" s="1" t="s">
        <v>29</v>
      </c>
      <c r="B25" s="1" t="s">
        <v>1</v>
      </c>
      <c r="C25" s="1" t="s">
        <v>30</v>
      </c>
      <c r="D25" s="1" t="s">
        <v>102</v>
      </c>
      <c r="E25" s="1" t="s">
        <v>101</v>
      </c>
    </row>
    <row r="26" spans="1:12">
      <c r="A26" s="49" t="s">
        <v>126</v>
      </c>
      <c r="B26" s="1" t="s">
        <v>128</v>
      </c>
      <c r="C26" s="41" t="s">
        <v>10</v>
      </c>
      <c r="D26" s="2">
        <v>75.159000000000006</v>
      </c>
      <c r="E26" s="2">
        <v>10.2028</v>
      </c>
    </row>
    <row r="27" spans="1:12">
      <c r="A27" s="49"/>
      <c r="B27" s="1" t="s">
        <v>129</v>
      </c>
      <c r="C27" s="41"/>
      <c r="D27" s="2">
        <v>15.0837</v>
      </c>
      <c r="E27" s="2">
        <v>4.5450299999999997</v>
      </c>
    </row>
    <row r="28" spans="1:12">
      <c r="A28" s="49"/>
      <c r="B28" s="11" t="s">
        <v>136</v>
      </c>
      <c r="C28" s="41"/>
      <c r="D28" s="2">
        <v>10.0388</v>
      </c>
      <c r="E28" s="2">
        <v>3.6018599999999998</v>
      </c>
    </row>
    <row r="29" spans="1:12">
      <c r="A29" s="49"/>
      <c r="B29" s="11" t="s">
        <v>137</v>
      </c>
      <c r="C29" s="41"/>
      <c r="D29" s="2">
        <v>101.004</v>
      </c>
      <c r="E29" s="2">
        <v>11.7376</v>
      </c>
    </row>
    <row r="30" spans="1:12">
      <c r="A30" s="7" t="s">
        <v>130</v>
      </c>
      <c r="B30" s="45" t="s">
        <v>137</v>
      </c>
      <c r="C30" s="41" t="s">
        <v>10</v>
      </c>
      <c r="D30" s="2">
        <v>66.472800000000007</v>
      </c>
      <c r="E30" s="2">
        <v>9.2431900000000002</v>
      </c>
    </row>
    <row r="31" spans="1:12">
      <c r="A31" s="40" t="s">
        <v>138</v>
      </c>
      <c r="B31" s="45"/>
      <c r="C31" s="41"/>
      <c r="D31" s="2">
        <v>34.215200000000003</v>
      </c>
      <c r="E31" s="2">
        <v>7.2685399999999998</v>
      </c>
    </row>
    <row r="32" spans="1:12">
      <c r="A32" s="44" t="s">
        <v>126</v>
      </c>
      <c r="B32" s="45" t="s">
        <v>137</v>
      </c>
      <c r="C32" s="8" t="s">
        <v>18</v>
      </c>
      <c r="D32" s="2">
        <f>D$29</f>
        <v>101.004</v>
      </c>
      <c r="E32" s="2">
        <f>E$29</f>
        <v>11.7376</v>
      </c>
    </row>
    <row r="33" spans="1:5">
      <c r="A33" s="44"/>
      <c r="B33" s="45"/>
      <c r="C33" s="8" t="s">
        <v>19</v>
      </c>
      <c r="D33" s="2">
        <f>D$29</f>
        <v>101.004</v>
      </c>
      <c r="E33" s="2">
        <f>E$29</f>
        <v>11.7376</v>
      </c>
    </row>
    <row r="34" spans="1:5">
      <c r="A34" s="44"/>
      <c r="B34" s="45"/>
      <c r="C34" s="8" t="s">
        <v>25</v>
      </c>
      <c r="D34" s="2">
        <f>D$29</f>
        <v>101.004</v>
      </c>
      <c r="E34" s="2">
        <f>E$29</f>
        <v>11.7376</v>
      </c>
    </row>
    <row r="35" spans="1:5">
      <c r="A35" s="44"/>
      <c r="B35" s="45"/>
      <c r="C35" s="8" t="s">
        <v>24</v>
      </c>
      <c r="D35" s="2">
        <f>D$29</f>
        <v>101.004</v>
      </c>
      <c r="E35" s="2">
        <f>E$29</f>
        <v>11.7376</v>
      </c>
    </row>
  </sheetData>
  <mergeCells count="13">
    <mergeCell ref="A32:A35"/>
    <mergeCell ref="B32:B35"/>
    <mergeCell ref="A26:A29"/>
    <mergeCell ref="C26:C29"/>
    <mergeCell ref="C30:C31"/>
    <mergeCell ref="B30:B31"/>
    <mergeCell ref="A10:A17"/>
    <mergeCell ref="B10:B17"/>
    <mergeCell ref="C2:C9"/>
    <mergeCell ref="B5:B6"/>
    <mergeCell ref="A2:A4"/>
    <mergeCell ref="A6:A7"/>
    <mergeCell ref="A8:A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Ruler="0" workbookViewId="0">
      <selection activeCell="F2" sqref="F2:H17"/>
    </sheetView>
  </sheetViews>
  <sheetFormatPr baseColWidth="10" defaultRowHeight="15" x14ac:dyDescent="0"/>
  <sheetData>
    <row r="1" spans="1:11">
      <c r="A1" s="1" t="s">
        <v>0</v>
      </c>
      <c r="B1" s="1" t="s">
        <v>1</v>
      </c>
      <c r="C1" s="1" t="s">
        <v>2</v>
      </c>
      <c r="D1" s="1" t="s">
        <v>26</v>
      </c>
      <c r="E1" s="1" t="s">
        <v>4</v>
      </c>
      <c r="F1" s="1" t="s">
        <v>27</v>
      </c>
      <c r="G1" s="1" t="s">
        <v>4</v>
      </c>
      <c r="H1" s="1" t="s">
        <v>28</v>
      </c>
      <c r="I1" s="1" t="s">
        <v>4</v>
      </c>
      <c r="J1" s="1" t="s">
        <v>7</v>
      </c>
      <c r="K1" s="1" t="s">
        <v>4</v>
      </c>
    </row>
    <row r="2" spans="1:11">
      <c r="A2" s="41" t="s">
        <v>8</v>
      </c>
      <c r="B2" s="1" t="s">
        <v>9</v>
      </c>
      <c r="C2" s="42" t="s">
        <v>10</v>
      </c>
      <c r="D2" s="4">
        <f ca="1">(1-J2)*F2+J2*H2</f>
        <v>0.24914661999999999</v>
      </c>
      <c r="E2" s="4"/>
      <c r="F2" s="54">
        <v>0.24099999999999999</v>
      </c>
      <c r="G2" s="54"/>
      <c r="H2" s="54">
        <v>0.27700000000000002</v>
      </c>
      <c r="I2" s="4"/>
      <c r="J2" s="4">
        <f ca="1">[1]Summary!J3</f>
        <v>0.226295</v>
      </c>
      <c r="K2" s="4">
        <f ca="1">[1]Summary!K3</f>
        <v>3.1122199999999999E-2</v>
      </c>
    </row>
    <row r="3" spans="1:11">
      <c r="A3" s="41"/>
      <c r="B3" s="1" t="s">
        <v>11</v>
      </c>
      <c r="C3" s="42"/>
      <c r="D3" s="4">
        <f t="shared" ref="D3:D17" ca="1" si="0">(1-J3)*F3+J3*H3</f>
        <v>0.20700682500000001</v>
      </c>
      <c r="E3" s="4"/>
      <c r="F3" s="54">
        <v>0.20399999999999999</v>
      </c>
      <c r="G3" s="54"/>
      <c r="H3" s="54">
        <v>0.219</v>
      </c>
      <c r="I3" s="4"/>
      <c r="J3" s="4">
        <f ca="1">[1]Summary!J4</f>
        <v>0.20045499999999999</v>
      </c>
      <c r="K3" s="4">
        <f ca="1">[1]Summary!K4</f>
        <v>3.72783E-2</v>
      </c>
    </row>
    <row r="4" spans="1:11">
      <c r="A4" s="41"/>
      <c r="B4" s="1" t="s">
        <v>12</v>
      </c>
      <c r="C4" s="42"/>
      <c r="D4" s="4">
        <f t="shared" ca="1" si="0"/>
        <v>0.43683470000000002</v>
      </c>
      <c r="E4" s="4"/>
      <c r="F4" s="54">
        <v>0.42799999999999999</v>
      </c>
      <c r="G4" s="54"/>
      <c r="H4" s="54">
        <v>0.46300000000000002</v>
      </c>
      <c r="I4" s="4"/>
      <c r="J4" s="4">
        <f ca="1">[1]Summary!J5</f>
        <v>0.25241999999999998</v>
      </c>
      <c r="K4" s="4">
        <f ca="1">[1]Summary!K5</f>
        <v>4.9706199999999999E-2</v>
      </c>
    </row>
    <row r="5" spans="1:11">
      <c r="A5" s="7" t="s">
        <v>13</v>
      </c>
      <c r="B5" s="1" t="s">
        <v>9</v>
      </c>
      <c r="C5" s="42"/>
      <c r="D5" s="4">
        <f t="shared" ca="1" si="0"/>
        <v>0.18593516399999999</v>
      </c>
      <c r="E5" s="4"/>
      <c r="F5" s="54">
        <v>0.17699999999999999</v>
      </c>
      <c r="G5" s="54"/>
      <c r="H5" s="54">
        <v>0.219</v>
      </c>
      <c r="I5" s="4"/>
      <c r="J5" s="4">
        <f ca="1">[1]Summary!J6</f>
        <v>0.21274199999999999</v>
      </c>
      <c r="K5" s="4">
        <f ca="1">[1]Summary!K6</f>
        <v>4.4714999999999998E-2</v>
      </c>
    </row>
    <row r="6" spans="1:11">
      <c r="A6" s="41" t="s">
        <v>14</v>
      </c>
      <c r="B6" s="1" t="s">
        <v>9</v>
      </c>
      <c r="C6" s="42"/>
      <c r="D6" s="4">
        <f t="shared" ca="1" si="0"/>
        <v>0.32944595200000004</v>
      </c>
      <c r="E6" s="4"/>
      <c r="F6" s="54">
        <v>0.32200000000000001</v>
      </c>
      <c r="G6" s="54"/>
      <c r="H6" s="54">
        <v>0.35799999999999998</v>
      </c>
      <c r="I6" s="4"/>
      <c r="J6" s="4">
        <f ca="1">[1]Summary!J7</f>
        <v>0.20683199999999999</v>
      </c>
      <c r="K6" s="4">
        <f ca="1">[1]Summary!K7</f>
        <v>6.7050999999999999E-2</v>
      </c>
    </row>
    <row r="7" spans="1:11">
      <c r="A7" s="41"/>
      <c r="B7" s="1" t="s">
        <v>15</v>
      </c>
      <c r="C7" s="42"/>
      <c r="D7" s="4">
        <f t="shared" ca="1" si="0"/>
        <v>0.25465481800000001</v>
      </c>
      <c r="E7" s="4"/>
      <c r="F7" s="54">
        <v>0.249</v>
      </c>
      <c r="G7" s="54"/>
      <c r="H7" s="54">
        <v>0.28699999999999998</v>
      </c>
      <c r="I7" s="4"/>
      <c r="J7" s="4">
        <f ca="1">[1]Summary!J8</f>
        <v>0.148811</v>
      </c>
      <c r="K7" s="4">
        <f ca="1">[1]Summary!K8</f>
        <v>6.8435399999999993E-2</v>
      </c>
    </row>
    <row r="8" spans="1:11">
      <c r="A8" s="41" t="s">
        <v>16</v>
      </c>
      <c r="B8" s="1" t="s">
        <v>9</v>
      </c>
      <c r="C8" s="42"/>
      <c r="D8" s="4">
        <f t="shared" ca="1" si="0"/>
        <v>0.32622506499999998</v>
      </c>
      <c r="E8" s="4"/>
      <c r="F8" s="54">
        <v>0.31900000000000001</v>
      </c>
      <c r="G8" s="54"/>
      <c r="H8" s="54">
        <v>0.36399999999999999</v>
      </c>
      <c r="I8" s="4"/>
      <c r="J8" s="4">
        <f ca="1">[1]Summary!J9</f>
        <v>0.16055700000000001</v>
      </c>
      <c r="K8" s="4">
        <f ca="1">[1]Summary!K9</f>
        <v>4.7643499999999998E-2</v>
      </c>
    </row>
    <row r="9" spans="1:11">
      <c r="A9" s="41"/>
      <c r="B9" s="1" t="s">
        <v>17</v>
      </c>
      <c r="C9" s="42"/>
      <c r="D9" s="4">
        <f t="shared" ca="1" si="0"/>
        <v>0.120073398</v>
      </c>
      <c r="E9" s="4"/>
      <c r="F9" s="54">
        <v>0.115</v>
      </c>
      <c r="G9" s="54"/>
      <c r="H9" s="54">
        <v>0.14599999999999999</v>
      </c>
      <c r="I9" s="4"/>
      <c r="J9" s="4">
        <f ca="1">[1]Summary!J10</f>
        <v>0.163658</v>
      </c>
      <c r="K9" s="4">
        <f ca="1">[1]Summary!K10</f>
        <v>3.5430400000000001E-2</v>
      </c>
    </row>
    <row r="10" spans="1:11">
      <c r="A10" s="41" t="s">
        <v>8</v>
      </c>
      <c r="B10" s="41" t="s">
        <v>9</v>
      </c>
      <c r="C10" s="8" t="s">
        <v>18</v>
      </c>
      <c r="D10" s="4">
        <f t="shared" ca="1" si="0"/>
        <v>0.25171903600000001</v>
      </c>
      <c r="E10" s="4"/>
      <c r="F10" s="54">
        <f>F$2</f>
        <v>0.24099999999999999</v>
      </c>
      <c r="G10" s="54"/>
      <c r="H10" s="54">
        <f>H$2</f>
        <v>0.27700000000000002</v>
      </c>
      <c r="I10" s="4"/>
      <c r="J10" s="4">
        <f ca="1">[1]Summary!J11</f>
        <v>0.29775099999999999</v>
      </c>
      <c r="K10" s="4">
        <f ca="1">[1]Summary!K11</f>
        <v>6.4536999999999997E-2</v>
      </c>
    </row>
    <row r="11" spans="1:11">
      <c r="A11" s="41"/>
      <c r="B11" s="41"/>
      <c r="C11" s="8" t="s">
        <v>19</v>
      </c>
      <c r="D11" s="4">
        <f t="shared" ca="1" si="0"/>
        <v>0.25138193200000003</v>
      </c>
      <c r="E11" s="4"/>
      <c r="F11" s="54">
        <f t="shared" ref="F11:H17" si="1">F$2</f>
        <v>0.24099999999999999</v>
      </c>
      <c r="G11" s="54"/>
      <c r="H11" s="54">
        <f t="shared" si="1"/>
        <v>0.27700000000000002</v>
      </c>
      <c r="I11" s="4"/>
      <c r="J11" s="4">
        <f ca="1">[1]Summary!J12</f>
        <v>0.288387</v>
      </c>
      <c r="K11" s="4">
        <f ca="1">[1]Summary!K12</f>
        <v>7.3523400000000003E-2</v>
      </c>
    </row>
    <row r="12" spans="1:11">
      <c r="A12" s="41"/>
      <c r="B12" s="41"/>
      <c r="C12" s="8" t="s">
        <v>20</v>
      </c>
      <c r="D12" s="4">
        <f t="shared" ca="1" si="0"/>
        <v>0.24354862719999998</v>
      </c>
      <c r="E12" s="4"/>
      <c r="F12" s="54">
        <f t="shared" si="1"/>
        <v>0.24099999999999999</v>
      </c>
      <c r="G12" s="54"/>
      <c r="H12" s="54">
        <f t="shared" si="1"/>
        <v>0.27700000000000002</v>
      </c>
      <c r="I12" s="4"/>
      <c r="J12" s="4">
        <f ca="1">[1]Summary!J13</f>
        <v>7.0795200000000003E-2</v>
      </c>
      <c r="K12" s="4">
        <f ca="1">[1]Summary!K13</f>
        <v>4.8721899999999999E-2</v>
      </c>
    </row>
    <row r="13" spans="1:11">
      <c r="A13" s="41"/>
      <c r="B13" s="41"/>
      <c r="C13" s="8" t="s">
        <v>21</v>
      </c>
      <c r="D13" s="4">
        <f t="shared" ca="1" si="0"/>
        <v>0.247537492</v>
      </c>
      <c r="E13" s="4"/>
      <c r="F13" s="54">
        <f t="shared" si="1"/>
        <v>0.24099999999999999</v>
      </c>
      <c r="G13" s="54"/>
      <c r="H13" s="54">
        <f t="shared" si="1"/>
        <v>0.27700000000000002</v>
      </c>
      <c r="I13" s="4"/>
      <c r="J13" s="4">
        <f ca="1">[1]Summary!J14</f>
        <v>0.18159700000000001</v>
      </c>
      <c r="K13" s="4">
        <f ca="1">[1]Summary!K14</f>
        <v>6.6892300000000002E-2</v>
      </c>
    </row>
    <row r="14" spans="1:11">
      <c r="A14" s="41"/>
      <c r="B14" s="41"/>
      <c r="C14" s="8" t="s">
        <v>22</v>
      </c>
      <c r="D14" s="4">
        <f t="shared" ca="1" si="0"/>
        <v>0.249376192</v>
      </c>
      <c r="E14" s="4"/>
      <c r="F14" s="54">
        <f t="shared" si="1"/>
        <v>0.24099999999999999</v>
      </c>
      <c r="G14" s="54"/>
      <c r="H14" s="54">
        <f t="shared" si="1"/>
        <v>0.27700000000000002</v>
      </c>
      <c r="I14" s="4"/>
      <c r="J14" s="4">
        <f ca="1">[1]Summary!J15</f>
        <v>0.23267199999999999</v>
      </c>
      <c r="K14" s="4">
        <f ca="1">[1]Summary!K15</f>
        <v>8.8123599999999996E-2</v>
      </c>
    </row>
    <row r="15" spans="1:11">
      <c r="A15" s="41"/>
      <c r="B15" s="41"/>
      <c r="C15" s="8" t="s">
        <v>23</v>
      </c>
      <c r="D15" s="4">
        <f t="shared" ca="1" si="0"/>
        <v>0.248285644</v>
      </c>
      <c r="E15" s="4"/>
      <c r="F15" s="54">
        <f t="shared" si="1"/>
        <v>0.24099999999999999</v>
      </c>
      <c r="G15" s="54"/>
      <c r="H15" s="54">
        <f t="shared" si="1"/>
        <v>0.27700000000000002</v>
      </c>
      <c r="I15" s="4"/>
      <c r="J15" s="4">
        <f ca="1">[1]Summary!J16</f>
        <v>0.202379</v>
      </c>
      <c r="K15" s="4">
        <f ca="1">[1]Summary!K16</f>
        <v>7.7282900000000002E-2</v>
      </c>
    </row>
    <row r="16" spans="1:11">
      <c r="A16" s="41"/>
      <c r="B16" s="41"/>
      <c r="C16" s="8" t="s">
        <v>24</v>
      </c>
      <c r="D16" s="4">
        <f t="shared" ca="1" si="0"/>
        <v>0.25143575200000001</v>
      </c>
      <c r="E16" s="4"/>
      <c r="F16" s="54">
        <f t="shared" si="1"/>
        <v>0.24099999999999999</v>
      </c>
      <c r="G16" s="54"/>
      <c r="H16" s="54">
        <f t="shared" si="1"/>
        <v>0.27700000000000002</v>
      </c>
      <c r="I16" s="4"/>
      <c r="J16" s="4">
        <f ca="1">[1]Summary!J17</f>
        <v>0.28988199999999997</v>
      </c>
      <c r="K16" s="4">
        <f ca="1">[1]Summary!K17</f>
        <v>5.1386599999999998E-2</v>
      </c>
    </row>
    <row r="17" spans="1:11">
      <c r="A17" s="41"/>
      <c r="B17" s="41"/>
      <c r="C17" s="8" t="s">
        <v>25</v>
      </c>
      <c r="D17" s="4">
        <f t="shared" ca="1" si="0"/>
        <v>0.246663088</v>
      </c>
      <c r="E17" s="4"/>
      <c r="F17" s="54">
        <f t="shared" si="1"/>
        <v>0.24099999999999999</v>
      </c>
      <c r="G17" s="54"/>
      <c r="H17" s="54">
        <f t="shared" si="1"/>
        <v>0.27700000000000002</v>
      </c>
      <c r="I17" s="4"/>
      <c r="J17" s="4">
        <f ca="1">[1]Summary!J18</f>
        <v>0.157308</v>
      </c>
      <c r="K17" s="4">
        <f ca="1">[1]Summary!K18</f>
        <v>3.5921799999999997E-2</v>
      </c>
    </row>
  </sheetData>
  <sheetProtection sheet="1" objects="1" scenarios="1"/>
  <mergeCells count="6">
    <mergeCell ref="A2:A4"/>
    <mergeCell ref="C2:C9"/>
    <mergeCell ref="A6:A7"/>
    <mergeCell ref="A8:A9"/>
    <mergeCell ref="A10:A17"/>
    <mergeCell ref="B10:B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Ruler="0" workbookViewId="0">
      <selection activeCell="F2" sqref="F2:H17"/>
    </sheetView>
  </sheetViews>
  <sheetFormatPr baseColWidth="10" defaultRowHeight="15" x14ac:dyDescent="0"/>
  <sheetData>
    <row r="1" spans="1:11">
      <c r="A1" s="1" t="s">
        <v>0</v>
      </c>
      <c r="B1" s="1" t="s">
        <v>1</v>
      </c>
      <c r="C1" s="1" t="s">
        <v>2</v>
      </c>
      <c r="D1" s="1" t="s">
        <v>26</v>
      </c>
      <c r="E1" s="1" t="s">
        <v>4</v>
      </c>
      <c r="F1" s="1" t="s">
        <v>27</v>
      </c>
      <c r="G1" s="1" t="s">
        <v>4</v>
      </c>
      <c r="H1" s="1" t="s">
        <v>28</v>
      </c>
      <c r="I1" s="1" t="s">
        <v>4</v>
      </c>
      <c r="J1" s="1" t="s">
        <v>7</v>
      </c>
      <c r="K1" s="1" t="s">
        <v>4</v>
      </c>
    </row>
    <row r="2" spans="1:11">
      <c r="A2" s="41" t="s">
        <v>8</v>
      </c>
      <c r="B2" s="1" t="s">
        <v>9</v>
      </c>
      <c r="C2" s="42" t="s">
        <v>10</v>
      </c>
      <c r="D2" s="4">
        <f ca="1">(1-J2)*F2+J2*H2</f>
        <v>0.26969402999999997</v>
      </c>
      <c r="E2" s="4"/>
      <c r="F2" s="55">
        <v>0.26200000000000001</v>
      </c>
      <c r="G2" s="55"/>
      <c r="H2" s="55">
        <v>0.29599999999999999</v>
      </c>
      <c r="I2" s="4"/>
      <c r="J2" s="4">
        <f ca="1">[1]Summary!J3</f>
        <v>0.226295</v>
      </c>
      <c r="K2" s="4">
        <f ca="1">[1]Summary!K3</f>
        <v>3.1122199999999999E-2</v>
      </c>
    </row>
    <row r="3" spans="1:11">
      <c r="A3" s="41"/>
      <c r="B3" s="1" t="s">
        <v>11</v>
      </c>
      <c r="C3" s="42"/>
      <c r="D3" s="4">
        <f t="shared" ref="D3:D17" ca="1" si="0">(1-J3)*F3+J3*H3</f>
        <v>0.22980637000000001</v>
      </c>
      <c r="E3" s="4"/>
      <c r="F3" s="55">
        <v>0.22700000000000001</v>
      </c>
      <c r="G3" s="55"/>
      <c r="H3" s="55">
        <v>0.24099999999999999</v>
      </c>
      <c r="I3" s="4"/>
      <c r="J3" s="4">
        <f ca="1">[1]Summary!J4</f>
        <v>0.20045499999999999</v>
      </c>
      <c r="K3" s="4">
        <f ca="1">[1]Summary!K4</f>
        <v>3.72783E-2</v>
      </c>
    </row>
    <row r="4" spans="1:11">
      <c r="A4" s="41"/>
      <c r="B4" s="1" t="s">
        <v>12</v>
      </c>
      <c r="C4" s="42"/>
      <c r="D4" s="4">
        <f t="shared" ca="1" si="0"/>
        <v>0.44832986000000002</v>
      </c>
      <c r="E4" s="4"/>
      <c r="F4" s="55">
        <v>0.44</v>
      </c>
      <c r="G4" s="55"/>
      <c r="H4" s="55">
        <v>0.47299999999999998</v>
      </c>
      <c r="I4" s="4"/>
      <c r="J4" s="4">
        <f ca="1">[1]Summary!J5</f>
        <v>0.25241999999999998</v>
      </c>
      <c r="K4" s="4">
        <f ca="1">[1]Summary!K5</f>
        <v>4.9706199999999999E-2</v>
      </c>
    </row>
    <row r="5" spans="1:11">
      <c r="A5" s="7" t="s">
        <v>13</v>
      </c>
      <c r="B5" s="1" t="s">
        <v>9</v>
      </c>
      <c r="C5" s="42"/>
      <c r="D5" s="4">
        <f t="shared" ca="1" si="0"/>
        <v>0.19136064799999999</v>
      </c>
      <c r="E5" s="4"/>
      <c r="F5" s="55">
        <v>0.182</v>
      </c>
      <c r="G5" s="55"/>
      <c r="H5" s="55">
        <v>0.22600000000000001</v>
      </c>
      <c r="I5" s="4"/>
      <c r="J5" s="4">
        <f ca="1">[1]Summary!J6</f>
        <v>0.21274199999999999</v>
      </c>
      <c r="K5" s="4">
        <f ca="1">[1]Summary!K6</f>
        <v>4.4714999999999998E-2</v>
      </c>
    </row>
    <row r="6" spans="1:11">
      <c r="A6" s="41" t="s">
        <v>14</v>
      </c>
      <c r="B6" s="1" t="s">
        <v>9</v>
      </c>
      <c r="C6" s="42"/>
      <c r="D6" s="4">
        <f t="shared" ca="1" si="0"/>
        <v>0.35403228799999997</v>
      </c>
      <c r="E6" s="4"/>
      <c r="F6" s="55">
        <v>0.34699999999999998</v>
      </c>
      <c r="G6" s="55"/>
      <c r="H6" s="55">
        <v>0.38100000000000001</v>
      </c>
      <c r="I6" s="4"/>
      <c r="J6" s="4">
        <f ca="1">[1]Summary!J7</f>
        <v>0.20683199999999999</v>
      </c>
      <c r="K6" s="4">
        <f ca="1">[1]Summary!K7</f>
        <v>6.7050999999999999E-2</v>
      </c>
    </row>
    <row r="7" spans="1:11">
      <c r="A7" s="41"/>
      <c r="B7" s="1" t="s">
        <v>15</v>
      </c>
      <c r="C7" s="42"/>
      <c r="D7" s="4">
        <f t="shared" ca="1" si="0"/>
        <v>0.28165481800000003</v>
      </c>
      <c r="E7" s="4"/>
      <c r="F7" s="55">
        <v>0.27600000000000002</v>
      </c>
      <c r="G7" s="55"/>
      <c r="H7" s="55">
        <v>0.314</v>
      </c>
      <c r="I7" s="4"/>
      <c r="J7" s="4">
        <f ca="1">[1]Summary!J8</f>
        <v>0.148811</v>
      </c>
      <c r="K7" s="4">
        <f ca="1">[1]Summary!K8</f>
        <v>6.8435399999999993E-2</v>
      </c>
    </row>
    <row r="8" spans="1:11">
      <c r="A8" s="41" t="s">
        <v>16</v>
      </c>
      <c r="B8" s="1" t="s">
        <v>9</v>
      </c>
      <c r="C8" s="42"/>
      <c r="D8" s="4">
        <f t="shared" ca="1" si="0"/>
        <v>0.37590395099999996</v>
      </c>
      <c r="E8" s="4"/>
      <c r="F8" s="55">
        <v>0.36899999999999999</v>
      </c>
      <c r="G8" s="55"/>
      <c r="H8" s="55">
        <v>0.41199999999999998</v>
      </c>
      <c r="I8" s="4"/>
      <c r="J8" s="4">
        <f ca="1">[1]Summary!J9</f>
        <v>0.16055700000000001</v>
      </c>
      <c r="K8" s="4">
        <f ca="1">[1]Summary!K9</f>
        <v>4.7643499999999998E-2</v>
      </c>
    </row>
    <row r="9" spans="1:11">
      <c r="A9" s="41"/>
      <c r="B9" s="1" t="s">
        <v>17</v>
      </c>
      <c r="C9" s="42"/>
      <c r="D9" s="4">
        <f t="shared" ca="1" si="0"/>
        <v>0.17140071400000001</v>
      </c>
      <c r="E9" s="4"/>
      <c r="F9" s="55">
        <v>0.16600000000000001</v>
      </c>
      <c r="G9" s="55"/>
      <c r="H9" s="55">
        <v>0.19900000000000001</v>
      </c>
      <c r="I9" s="4"/>
      <c r="J9" s="4">
        <f ca="1">[1]Summary!J10</f>
        <v>0.163658</v>
      </c>
      <c r="K9" s="4">
        <f ca="1">[1]Summary!K10</f>
        <v>3.5430400000000001E-2</v>
      </c>
    </row>
    <row r="10" spans="1:11">
      <c r="A10" s="41" t="s">
        <v>8</v>
      </c>
      <c r="B10" s="41" t="s">
        <v>9</v>
      </c>
      <c r="C10" s="8" t="s">
        <v>18</v>
      </c>
      <c r="D10" s="4">
        <f t="shared" ca="1" si="0"/>
        <v>0.272123534</v>
      </c>
      <c r="E10" s="4"/>
      <c r="F10" s="55">
        <f>F$2</f>
        <v>0.26200000000000001</v>
      </c>
      <c r="G10" s="55"/>
      <c r="H10" s="55">
        <f>H$2</f>
        <v>0.29599999999999999</v>
      </c>
      <c r="I10" s="4"/>
      <c r="J10" s="4">
        <f ca="1">[1]Summary!J11</f>
        <v>0.29775099999999999</v>
      </c>
      <c r="K10" s="4">
        <f ca="1">[1]Summary!K11</f>
        <v>6.4536999999999997E-2</v>
      </c>
    </row>
    <row r="11" spans="1:11">
      <c r="A11" s="41"/>
      <c r="B11" s="41"/>
      <c r="C11" s="8" t="s">
        <v>19</v>
      </c>
      <c r="D11" s="4">
        <f t="shared" ca="1" si="0"/>
        <v>0.27180515799999999</v>
      </c>
      <c r="E11" s="4"/>
      <c r="F11" s="55">
        <f t="shared" ref="F11:H17" si="1">F$2</f>
        <v>0.26200000000000001</v>
      </c>
      <c r="G11" s="55"/>
      <c r="H11" s="55">
        <f t="shared" si="1"/>
        <v>0.29599999999999999</v>
      </c>
      <c r="I11" s="4"/>
      <c r="J11" s="4">
        <f ca="1">[1]Summary!J12</f>
        <v>0.288387</v>
      </c>
      <c r="K11" s="4">
        <f ca="1">[1]Summary!K12</f>
        <v>7.3523400000000003E-2</v>
      </c>
    </row>
    <row r="12" spans="1:11">
      <c r="A12" s="41"/>
      <c r="B12" s="41"/>
      <c r="C12" s="8" t="s">
        <v>20</v>
      </c>
      <c r="D12" s="4">
        <f t="shared" ca="1" si="0"/>
        <v>0.26440703679999999</v>
      </c>
      <c r="E12" s="4"/>
      <c r="F12" s="55">
        <f t="shared" si="1"/>
        <v>0.26200000000000001</v>
      </c>
      <c r="G12" s="55"/>
      <c r="H12" s="55">
        <f t="shared" si="1"/>
        <v>0.29599999999999999</v>
      </c>
      <c r="I12" s="4"/>
      <c r="J12" s="4">
        <f ca="1">[1]Summary!J13</f>
        <v>7.0795200000000003E-2</v>
      </c>
      <c r="K12" s="4">
        <f ca="1">[1]Summary!K13</f>
        <v>4.8721899999999999E-2</v>
      </c>
    </row>
    <row r="13" spans="1:11">
      <c r="A13" s="41"/>
      <c r="B13" s="41"/>
      <c r="C13" s="8" t="s">
        <v>21</v>
      </c>
      <c r="D13" s="4">
        <f t="shared" ca="1" si="0"/>
        <v>0.26817429799999998</v>
      </c>
      <c r="E13" s="4"/>
      <c r="F13" s="55">
        <f t="shared" si="1"/>
        <v>0.26200000000000001</v>
      </c>
      <c r="G13" s="55"/>
      <c r="H13" s="55">
        <f t="shared" si="1"/>
        <v>0.29599999999999999</v>
      </c>
      <c r="I13" s="4"/>
      <c r="J13" s="4">
        <f ca="1">[1]Summary!J14</f>
        <v>0.18159700000000001</v>
      </c>
      <c r="K13" s="4">
        <f ca="1">[1]Summary!K14</f>
        <v>6.6892300000000002E-2</v>
      </c>
    </row>
    <row r="14" spans="1:11">
      <c r="A14" s="41"/>
      <c r="B14" s="41"/>
      <c r="C14" s="8" t="s">
        <v>22</v>
      </c>
      <c r="D14" s="4">
        <f t="shared" ca="1" si="0"/>
        <v>0.26991084799999998</v>
      </c>
      <c r="E14" s="4"/>
      <c r="F14" s="55">
        <f t="shared" si="1"/>
        <v>0.26200000000000001</v>
      </c>
      <c r="G14" s="55"/>
      <c r="H14" s="55">
        <f t="shared" si="1"/>
        <v>0.29599999999999999</v>
      </c>
      <c r="I14" s="4"/>
      <c r="J14" s="4">
        <f ca="1">[1]Summary!J15</f>
        <v>0.23267199999999999</v>
      </c>
      <c r="K14" s="4">
        <f ca="1">[1]Summary!K15</f>
        <v>8.8123599999999996E-2</v>
      </c>
    </row>
    <row r="15" spans="1:11">
      <c r="A15" s="41"/>
      <c r="B15" s="41"/>
      <c r="C15" s="8" t="s">
        <v>23</v>
      </c>
      <c r="D15" s="4">
        <f t="shared" ca="1" si="0"/>
        <v>0.26888088600000004</v>
      </c>
      <c r="E15" s="4"/>
      <c r="F15" s="55">
        <f t="shared" si="1"/>
        <v>0.26200000000000001</v>
      </c>
      <c r="G15" s="55"/>
      <c r="H15" s="55">
        <f t="shared" si="1"/>
        <v>0.29599999999999999</v>
      </c>
      <c r="I15" s="4"/>
      <c r="J15" s="4">
        <f ca="1">[1]Summary!J16</f>
        <v>0.202379</v>
      </c>
      <c r="K15" s="4">
        <f ca="1">[1]Summary!K16</f>
        <v>7.7282900000000002E-2</v>
      </c>
    </row>
    <row r="16" spans="1:11">
      <c r="A16" s="41"/>
      <c r="B16" s="41"/>
      <c r="C16" s="8" t="s">
        <v>24</v>
      </c>
      <c r="D16" s="4">
        <f t="shared" ca="1" si="0"/>
        <v>0.27185598799999999</v>
      </c>
      <c r="E16" s="4"/>
      <c r="F16" s="55">
        <f t="shared" si="1"/>
        <v>0.26200000000000001</v>
      </c>
      <c r="G16" s="55"/>
      <c r="H16" s="55">
        <f t="shared" si="1"/>
        <v>0.29599999999999999</v>
      </c>
      <c r="I16" s="4"/>
      <c r="J16" s="4">
        <f ca="1">[1]Summary!J17</f>
        <v>0.28988199999999997</v>
      </c>
      <c r="K16" s="4">
        <f ca="1">[1]Summary!K17</f>
        <v>5.1386599999999998E-2</v>
      </c>
    </row>
    <row r="17" spans="1:11">
      <c r="A17" s="41"/>
      <c r="B17" s="41"/>
      <c r="C17" s="8" t="s">
        <v>25</v>
      </c>
      <c r="D17" s="4">
        <f t="shared" ca="1" si="0"/>
        <v>0.267348472</v>
      </c>
      <c r="E17" s="4"/>
      <c r="F17" s="55">
        <f t="shared" si="1"/>
        <v>0.26200000000000001</v>
      </c>
      <c r="G17" s="55"/>
      <c r="H17" s="55">
        <f t="shared" si="1"/>
        <v>0.29599999999999999</v>
      </c>
      <c r="I17" s="4"/>
      <c r="J17" s="4">
        <f ca="1">[1]Summary!J18</f>
        <v>0.157308</v>
      </c>
      <c r="K17" s="4">
        <f ca="1">[1]Summary!K18</f>
        <v>3.5921799999999997E-2</v>
      </c>
    </row>
  </sheetData>
  <sheetProtection sheet="1" objects="1" scenarios="1"/>
  <mergeCells count="6">
    <mergeCell ref="A2:A4"/>
    <mergeCell ref="C2:C9"/>
    <mergeCell ref="A6:A7"/>
    <mergeCell ref="A8:A9"/>
    <mergeCell ref="A10:A17"/>
    <mergeCell ref="B10:B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Ruler="0" workbookViewId="0">
      <selection activeCell="F2" sqref="F2:H17"/>
    </sheetView>
  </sheetViews>
  <sheetFormatPr baseColWidth="10" defaultRowHeight="15" x14ac:dyDescent="0"/>
  <sheetData>
    <row r="1" spans="1:11">
      <c r="A1" s="1" t="s">
        <v>0</v>
      </c>
      <c r="B1" s="1" t="s">
        <v>1</v>
      </c>
      <c r="C1" s="1" t="s">
        <v>2</v>
      </c>
      <c r="D1" s="1" t="s">
        <v>26</v>
      </c>
      <c r="E1" s="1" t="s">
        <v>4</v>
      </c>
      <c r="F1" s="1" t="s">
        <v>27</v>
      </c>
      <c r="G1" s="1" t="s">
        <v>4</v>
      </c>
      <c r="H1" s="1" t="s">
        <v>28</v>
      </c>
      <c r="I1" s="1" t="s">
        <v>4</v>
      </c>
      <c r="J1" s="1" t="s">
        <v>7</v>
      </c>
      <c r="K1" s="1" t="s">
        <v>4</v>
      </c>
    </row>
    <row r="2" spans="1:11">
      <c r="A2" s="41" t="s">
        <v>8</v>
      </c>
      <c r="B2" s="1" t="s">
        <v>9</v>
      </c>
      <c r="C2" s="42" t="s">
        <v>10</v>
      </c>
      <c r="D2" s="4">
        <f ca="1">(1-J2)*F2+J2*H2</f>
        <v>0.32350438999999998</v>
      </c>
      <c r="E2" s="4"/>
      <c r="F2" s="55">
        <v>0.314</v>
      </c>
      <c r="G2" s="55"/>
      <c r="H2" s="55">
        <v>0.35599999999999998</v>
      </c>
      <c r="I2" s="4"/>
      <c r="J2" s="4">
        <f ca="1">[1]Summary!J3</f>
        <v>0.226295</v>
      </c>
      <c r="K2" s="4">
        <f ca="1">[1]Summary!K3</f>
        <v>3.1122199999999999E-2</v>
      </c>
    </row>
    <row r="3" spans="1:11">
      <c r="A3" s="41"/>
      <c r="B3" s="1" t="s">
        <v>11</v>
      </c>
      <c r="C3" s="42"/>
      <c r="D3" s="4">
        <f t="shared" ref="D3:D17" ca="1" si="0">(1-J3)*F3+J3*H3</f>
        <v>0.27160818999999997</v>
      </c>
      <c r="E3" s="4"/>
      <c r="F3" s="55">
        <v>0.26800000000000002</v>
      </c>
      <c r="G3" s="55"/>
      <c r="H3" s="55">
        <v>0.28599999999999998</v>
      </c>
      <c r="I3" s="4"/>
      <c r="J3" s="4">
        <f ca="1">[1]Summary!J4</f>
        <v>0.20045499999999999</v>
      </c>
      <c r="K3" s="4">
        <f ca="1">[1]Summary!K4</f>
        <v>3.72783E-2</v>
      </c>
    </row>
    <row r="4" spans="1:11">
      <c r="A4" s="41"/>
      <c r="B4" s="1" t="s">
        <v>12</v>
      </c>
      <c r="C4" s="42"/>
      <c r="D4" s="4">
        <f t="shared" ca="1" si="0"/>
        <v>0.55458227999999998</v>
      </c>
      <c r="E4" s="4"/>
      <c r="F4" s="55">
        <v>0.54600000000000004</v>
      </c>
      <c r="G4" s="55"/>
      <c r="H4" s="55">
        <v>0.57999999999999996</v>
      </c>
      <c r="I4" s="4"/>
      <c r="J4" s="4">
        <f ca="1">[1]Summary!J5</f>
        <v>0.25241999999999998</v>
      </c>
      <c r="K4" s="4">
        <f ca="1">[1]Summary!K5</f>
        <v>4.9706199999999999E-2</v>
      </c>
    </row>
    <row r="5" spans="1:11">
      <c r="A5" s="7" t="s">
        <v>13</v>
      </c>
      <c r="B5" s="1" t="s">
        <v>9</v>
      </c>
      <c r="C5" s="42"/>
      <c r="D5" s="4">
        <f t="shared" ca="1" si="0"/>
        <v>0.25663710000000001</v>
      </c>
      <c r="E5" s="4"/>
      <c r="F5" s="55">
        <v>0.246</v>
      </c>
      <c r="G5" s="55"/>
      <c r="H5" s="55">
        <v>0.29599999999999999</v>
      </c>
      <c r="I5" s="4"/>
      <c r="J5" s="4">
        <f ca="1">[1]Summary!J6</f>
        <v>0.21274199999999999</v>
      </c>
      <c r="K5" s="4">
        <f ca="1">[1]Summary!K6</f>
        <v>4.4714999999999998E-2</v>
      </c>
    </row>
    <row r="6" spans="1:11">
      <c r="A6" s="41" t="s">
        <v>14</v>
      </c>
      <c r="B6" s="1" t="s">
        <v>9</v>
      </c>
      <c r="C6" s="42"/>
      <c r="D6" s="4">
        <f t="shared" ca="1" si="0"/>
        <v>0.434859616</v>
      </c>
      <c r="E6" s="4"/>
      <c r="F6" s="55">
        <v>0.42699999999999999</v>
      </c>
      <c r="G6" s="55"/>
      <c r="H6" s="55">
        <v>0.46500000000000002</v>
      </c>
      <c r="I6" s="4"/>
      <c r="J6" s="4">
        <f ca="1">[1]Summary!J7</f>
        <v>0.20683199999999999</v>
      </c>
      <c r="K6" s="4">
        <f ca="1">[1]Summary!K7</f>
        <v>6.7050999999999999E-2</v>
      </c>
    </row>
    <row r="7" spans="1:11">
      <c r="A7" s="41"/>
      <c r="B7" s="1" t="s">
        <v>15</v>
      </c>
      <c r="C7" s="42"/>
      <c r="D7" s="4">
        <f t="shared" ca="1" si="0"/>
        <v>0.33739887300000004</v>
      </c>
      <c r="E7" s="4"/>
      <c r="F7" s="55">
        <v>0.33100000000000002</v>
      </c>
      <c r="G7" s="55"/>
      <c r="H7" s="55">
        <v>0.374</v>
      </c>
      <c r="I7" s="4"/>
      <c r="J7" s="4">
        <f ca="1">[1]Summary!J8</f>
        <v>0.148811</v>
      </c>
      <c r="K7" s="4">
        <f ca="1">[1]Summary!K8</f>
        <v>6.8435399999999993E-2</v>
      </c>
    </row>
    <row r="8" spans="1:11">
      <c r="A8" s="41" t="s">
        <v>16</v>
      </c>
      <c r="B8" s="1" t="s">
        <v>9</v>
      </c>
      <c r="C8" s="42"/>
      <c r="D8" s="4">
        <f t="shared" ca="1" si="0"/>
        <v>0.387867293</v>
      </c>
      <c r="E8" s="4"/>
      <c r="F8" s="55">
        <v>0.38</v>
      </c>
      <c r="G8" s="55"/>
      <c r="H8" s="55">
        <v>0.42899999999999999</v>
      </c>
      <c r="I8" s="4"/>
      <c r="J8" s="4">
        <f ca="1">[1]Summary!J9</f>
        <v>0.16055700000000001</v>
      </c>
      <c r="K8" s="4">
        <f ca="1">[1]Summary!K9</f>
        <v>4.7643499999999998E-2</v>
      </c>
    </row>
    <row r="9" spans="1:11">
      <c r="A9" s="41"/>
      <c r="B9" s="1" t="s">
        <v>17</v>
      </c>
      <c r="C9" s="42"/>
      <c r="D9" s="4">
        <f t="shared" ca="1" si="0"/>
        <v>0.13605534600000002</v>
      </c>
      <c r="E9" s="4"/>
      <c r="F9" s="55">
        <v>0.13</v>
      </c>
      <c r="G9" s="55"/>
      <c r="H9" s="55">
        <v>0.16700000000000001</v>
      </c>
      <c r="I9" s="4"/>
      <c r="J9" s="4">
        <f ca="1">[1]Summary!J10</f>
        <v>0.163658</v>
      </c>
      <c r="K9" s="4">
        <f ca="1">[1]Summary!K10</f>
        <v>3.5430400000000001E-2</v>
      </c>
    </row>
    <row r="10" spans="1:11">
      <c r="A10" s="41" t="s">
        <v>8</v>
      </c>
      <c r="B10" s="41" t="s">
        <v>9</v>
      </c>
      <c r="C10" s="8" t="s">
        <v>18</v>
      </c>
      <c r="D10" s="4">
        <f t="shared" ca="1" si="0"/>
        <v>0.32650554199999998</v>
      </c>
      <c r="E10" s="4"/>
      <c r="F10" s="55">
        <f>F$2</f>
        <v>0.314</v>
      </c>
      <c r="G10" s="55"/>
      <c r="H10" s="55">
        <f>H$2</f>
        <v>0.35599999999999998</v>
      </c>
      <c r="I10" s="4"/>
      <c r="J10" s="4">
        <f ca="1">[1]Summary!J11</f>
        <v>0.29775099999999999</v>
      </c>
      <c r="K10" s="4">
        <f ca="1">[1]Summary!K11</f>
        <v>6.4536999999999997E-2</v>
      </c>
    </row>
    <row r="11" spans="1:11">
      <c r="A11" s="41"/>
      <c r="B11" s="41"/>
      <c r="C11" s="8" t="s">
        <v>19</v>
      </c>
      <c r="D11" s="4">
        <f t="shared" ca="1" si="0"/>
        <v>0.32611225400000005</v>
      </c>
      <c r="E11" s="4"/>
      <c r="F11" s="55">
        <f t="shared" ref="F11:H17" si="1">F$2</f>
        <v>0.314</v>
      </c>
      <c r="G11" s="55"/>
      <c r="H11" s="55">
        <f t="shared" si="1"/>
        <v>0.35599999999999998</v>
      </c>
      <c r="I11" s="4"/>
      <c r="J11" s="4">
        <f ca="1">[1]Summary!J12</f>
        <v>0.288387</v>
      </c>
      <c r="K11" s="4">
        <f ca="1">[1]Summary!K12</f>
        <v>7.3523400000000003E-2</v>
      </c>
    </row>
    <row r="12" spans="1:11">
      <c r="A12" s="41"/>
      <c r="B12" s="41"/>
      <c r="C12" s="8" t="s">
        <v>20</v>
      </c>
      <c r="D12" s="4">
        <f t="shared" ca="1" si="0"/>
        <v>0.31697339839999994</v>
      </c>
      <c r="E12" s="4"/>
      <c r="F12" s="55">
        <f t="shared" si="1"/>
        <v>0.314</v>
      </c>
      <c r="G12" s="55"/>
      <c r="H12" s="55">
        <f t="shared" si="1"/>
        <v>0.35599999999999998</v>
      </c>
      <c r="I12" s="4"/>
      <c r="J12" s="4">
        <f ca="1">[1]Summary!J13</f>
        <v>7.0795200000000003E-2</v>
      </c>
      <c r="K12" s="4">
        <f ca="1">[1]Summary!K13</f>
        <v>4.8721899999999999E-2</v>
      </c>
    </row>
    <row r="13" spans="1:11">
      <c r="A13" s="41"/>
      <c r="B13" s="41"/>
      <c r="C13" s="8" t="s">
        <v>21</v>
      </c>
      <c r="D13" s="4">
        <f t="shared" ca="1" si="0"/>
        <v>0.32162707399999996</v>
      </c>
      <c r="E13" s="4"/>
      <c r="F13" s="55">
        <f t="shared" si="1"/>
        <v>0.314</v>
      </c>
      <c r="G13" s="55"/>
      <c r="H13" s="55">
        <f t="shared" si="1"/>
        <v>0.35599999999999998</v>
      </c>
      <c r="I13" s="4"/>
      <c r="J13" s="4">
        <f ca="1">[1]Summary!J14</f>
        <v>0.18159700000000001</v>
      </c>
      <c r="K13" s="4">
        <f ca="1">[1]Summary!K14</f>
        <v>6.6892300000000002E-2</v>
      </c>
    </row>
    <row r="14" spans="1:11">
      <c r="A14" s="41"/>
      <c r="B14" s="41"/>
      <c r="C14" s="8" t="s">
        <v>22</v>
      </c>
      <c r="D14" s="4">
        <f t="shared" ca="1" si="0"/>
        <v>0.323772224</v>
      </c>
      <c r="E14" s="4"/>
      <c r="F14" s="55">
        <f t="shared" si="1"/>
        <v>0.314</v>
      </c>
      <c r="G14" s="55"/>
      <c r="H14" s="55">
        <f t="shared" si="1"/>
        <v>0.35599999999999998</v>
      </c>
      <c r="I14" s="4"/>
      <c r="J14" s="4">
        <f ca="1">[1]Summary!J15</f>
        <v>0.23267199999999999</v>
      </c>
      <c r="K14" s="4">
        <f ca="1">[1]Summary!K15</f>
        <v>8.8123599999999996E-2</v>
      </c>
    </row>
    <row r="15" spans="1:11">
      <c r="A15" s="41"/>
      <c r="B15" s="41"/>
      <c r="C15" s="8" t="s">
        <v>23</v>
      </c>
      <c r="D15" s="4">
        <f t="shared" ca="1" si="0"/>
        <v>0.322499918</v>
      </c>
      <c r="E15" s="4"/>
      <c r="F15" s="55">
        <f t="shared" si="1"/>
        <v>0.314</v>
      </c>
      <c r="G15" s="55"/>
      <c r="H15" s="55">
        <f t="shared" si="1"/>
        <v>0.35599999999999998</v>
      </c>
      <c r="I15" s="4"/>
      <c r="J15" s="4">
        <f ca="1">[1]Summary!J16</f>
        <v>0.202379</v>
      </c>
      <c r="K15" s="4">
        <f ca="1">[1]Summary!K16</f>
        <v>7.7282900000000002E-2</v>
      </c>
    </row>
    <row r="16" spans="1:11">
      <c r="A16" s="41"/>
      <c r="B16" s="41"/>
      <c r="C16" s="8" t="s">
        <v>24</v>
      </c>
      <c r="D16" s="4">
        <f t="shared" ca="1" si="0"/>
        <v>0.32617504399999997</v>
      </c>
      <c r="E16" s="4"/>
      <c r="F16" s="55">
        <f t="shared" si="1"/>
        <v>0.314</v>
      </c>
      <c r="G16" s="55"/>
      <c r="H16" s="55">
        <f t="shared" si="1"/>
        <v>0.35599999999999998</v>
      </c>
      <c r="I16" s="4"/>
      <c r="J16" s="4">
        <f ca="1">[1]Summary!J17</f>
        <v>0.28988199999999997</v>
      </c>
      <c r="K16" s="4">
        <f ca="1">[1]Summary!K17</f>
        <v>5.1386599999999998E-2</v>
      </c>
    </row>
    <row r="17" spans="1:11">
      <c r="A17" s="41"/>
      <c r="B17" s="41"/>
      <c r="C17" s="8" t="s">
        <v>25</v>
      </c>
      <c r="D17" s="4">
        <f t="shared" ca="1" si="0"/>
        <v>0.32060693600000001</v>
      </c>
      <c r="E17" s="4"/>
      <c r="F17" s="55">
        <f t="shared" si="1"/>
        <v>0.314</v>
      </c>
      <c r="G17" s="55"/>
      <c r="H17" s="55">
        <f t="shared" si="1"/>
        <v>0.35599999999999998</v>
      </c>
      <c r="I17" s="4"/>
      <c r="J17" s="4">
        <f ca="1">[1]Summary!J18</f>
        <v>0.157308</v>
      </c>
      <c r="K17" s="4">
        <f ca="1">[1]Summary!K18</f>
        <v>3.5921799999999997E-2</v>
      </c>
    </row>
  </sheetData>
  <sheetProtection sheet="1" objects="1" scenarios="1"/>
  <mergeCells count="6">
    <mergeCell ref="A2:A4"/>
    <mergeCell ref="C2:C9"/>
    <mergeCell ref="A6:A7"/>
    <mergeCell ref="A8:A9"/>
    <mergeCell ref="A10:A17"/>
    <mergeCell ref="B10:B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0"/>
  <sheetViews>
    <sheetView showRuler="0" workbookViewId="0">
      <pane xSplit="3" ySplit="3" topLeftCell="D13" activePane="bottomRight" state="frozen"/>
      <selection pane="topRight" activeCell="D1" sqref="D1"/>
      <selection pane="bottomLeft" activeCell="A3" sqref="A3"/>
      <selection pane="bottomRight" activeCell="E30" sqref="E30"/>
    </sheetView>
  </sheetViews>
  <sheetFormatPr baseColWidth="10" defaultRowHeight="15" x14ac:dyDescent="0"/>
  <cols>
    <col min="1" max="1" width="15.5" customWidth="1"/>
    <col min="2" max="2" width="14.33203125" customWidth="1"/>
  </cols>
  <sheetData>
    <row r="2" spans="1:15">
      <c r="A2" s="43" t="s">
        <v>119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5">
      <c r="A3" s="5" t="s">
        <v>29</v>
      </c>
      <c r="B3" s="5" t="s">
        <v>1</v>
      </c>
      <c r="C3" s="5" t="s">
        <v>30</v>
      </c>
      <c r="D3" s="5" t="s">
        <v>120</v>
      </c>
      <c r="E3" s="5" t="s">
        <v>121</v>
      </c>
      <c r="F3" s="5" t="s">
        <v>122</v>
      </c>
      <c r="G3" s="5" t="s">
        <v>123</v>
      </c>
      <c r="H3" s="5" t="s">
        <v>140</v>
      </c>
      <c r="I3" s="5" t="s">
        <v>141</v>
      </c>
      <c r="J3" s="5" t="s">
        <v>124</v>
      </c>
      <c r="K3" s="5" t="s">
        <v>125</v>
      </c>
    </row>
    <row r="4" spans="1:15">
      <c r="A4" s="45" t="s">
        <v>8</v>
      </c>
      <c r="B4" s="21" t="s">
        <v>9</v>
      </c>
      <c r="C4" s="46" t="s">
        <v>10</v>
      </c>
      <c r="D4" s="24">
        <f>'[3]final systematics'!D4</f>
        <v>7.8333553835581975E-3</v>
      </c>
      <c r="E4" s="24">
        <f>'[3]final systematics'!E4</f>
        <v>1.766024707371891E-2</v>
      </c>
      <c r="F4" s="24">
        <f>'[3]final systematics'!F4</f>
        <v>3.5027772556296861E-2</v>
      </c>
      <c r="G4" s="24">
        <f>'[3]final systematics'!G4</f>
        <v>0.13700000000000001</v>
      </c>
      <c r="H4" s="24">
        <f>'[3]final systematics'!H4</f>
        <v>0</v>
      </c>
      <c r="I4" s="24">
        <f>'[3]final systematics'!I4</f>
        <v>0.01</v>
      </c>
      <c r="J4" s="24">
        <f>'[3]final systematics'!J4</f>
        <v>5.7000000000000002E-2</v>
      </c>
      <c r="K4" s="24">
        <f>'[3]final systematics'!K4</f>
        <v>0.15400711228227607</v>
      </c>
      <c r="M4" s="16"/>
      <c r="N4" s="1"/>
      <c r="O4" s="16"/>
    </row>
    <row r="5" spans="1:15">
      <c r="A5" s="45"/>
      <c r="B5" s="21" t="s">
        <v>11</v>
      </c>
      <c r="C5" s="46"/>
      <c r="D5" s="24">
        <f>'[3]final systematics'!D5</f>
        <v>4.7583200344962027E-3</v>
      </c>
      <c r="E5" s="24">
        <f>'[3]final systematics'!E5</f>
        <v>2.4325566305668782E-2</v>
      </c>
      <c r="F5" s="24">
        <f>'[3]final systematics'!F5</f>
        <v>4.1989624030908584E-2</v>
      </c>
      <c r="G5" s="24">
        <f>'[3]final systematics'!G5</f>
        <v>0.13700000000000001</v>
      </c>
      <c r="H5" s="24">
        <f>'[3]final systematics'!H5</f>
        <v>0</v>
      </c>
      <c r="I5" s="24">
        <f>'[3]final systematics'!I5</f>
        <v>0.01</v>
      </c>
      <c r="J5" s="24">
        <f>'[3]final systematics'!J5</f>
        <v>5.7000000000000002E-2</v>
      </c>
      <c r="K5" s="24">
        <f>'[3]final systematics'!K5</f>
        <v>0.15651039362259375</v>
      </c>
      <c r="M5" s="16"/>
      <c r="N5" s="1"/>
      <c r="O5" s="16"/>
    </row>
    <row r="6" spans="1:15">
      <c r="A6" s="45"/>
      <c r="B6" s="21" t="s">
        <v>12</v>
      </c>
      <c r="C6" s="46"/>
      <c r="D6" s="24">
        <f>'[3]final systematics'!D6</f>
        <v>1.4625516456959959E-2</v>
      </c>
      <c r="E6" s="24">
        <f>'[3]final systematics'!E6</f>
        <v>2.0644313808763703E-2</v>
      </c>
      <c r="F6" s="24">
        <f>'[3]final systematics'!F6</f>
        <v>1.1368835654229218E-2</v>
      </c>
      <c r="G6" s="24">
        <f>'[3]final systematics'!G6</f>
        <v>0.13700000000000001</v>
      </c>
      <c r="H6" s="24">
        <f>'[3]final systematics'!H6</f>
        <v>0</v>
      </c>
      <c r="I6" s="24">
        <f>'[3]final systematics'!I6</f>
        <v>0.01</v>
      </c>
      <c r="J6" s="24">
        <f>'[3]final systematics'!J6</f>
        <v>5.7000000000000002E-2</v>
      </c>
      <c r="K6" s="24">
        <f>'[3]final systematics'!K6</f>
        <v>0.15128563662291405</v>
      </c>
      <c r="M6" s="16"/>
      <c r="N6" s="1"/>
      <c r="O6" s="16"/>
    </row>
    <row r="7" spans="1:15">
      <c r="A7" s="22" t="s">
        <v>13</v>
      </c>
      <c r="B7" s="21" t="s">
        <v>9</v>
      </c>
      <c r="C7" s="46"/>
      <c r="D7" s="24">
        <f>'[3]final systematics'!D7</f>
        <v>4.9032636371806479E-2</v>
      </c>
      <c r="E7" s="24">
        <f>'[3]final systematics'!E7</f>
        <v>2.7652634521923205E-2</v>
      </c>
      <c r="F7" s="24">
        <f>'[3]final systematics'!F7</f>
        <v>2.4944382578492963E-2</v>
      </c>
      <c r="G7" s="24">
        <f>'[3]final systematics'!G7</f>
        <v>0.13700000000000001</v>
      </c>
      <c r="H7" s="24">
        <f>'[3]final systematics'!H7</f>
        <v>0</v>
      </c>
      <c r="I7" s="24">
        <f>'[3]final systematics'!I7</f>
        <v>0.01</v>
      </c>
      <c r="J7" s="24">
        <f>'[3]final systematics'!J7</f>
        <v>5.7000000000000002E-2</v>
      </c>
      <c r="K7" s="24">
        <f>'[3]final systematics'!K7</f>
        <v>0.16096300769989075</v>
      </c>
      <c r="M7" s="16"/>
      <c r="N7" s="1"/>
      <c r="O7" s="16"/>
    </row>
    <row r="8" spans="1:15">
      <c r="A8" s="45" t="s">
        <v>14</v>
      </c>
      <c r="B8" s="21" t="s">
        <v>9</v>
      </c>
      <c r="C8" s="46"/>
      <c r="D8" s="24">
        <f>'[3]final systematics'!D8</f>
        <v>2.1166970833768693E-2</v>
      </c>
      <c r="E8" s="24">
        <f>'[3]final systematics'!E8</f>
        <v>3.1686120977077084E-2</v>
      </c>
      <c r="F8" s="24">
        <f>'[3]final systematics'!F8</f>
        <v>9.1855865354369265E-3</v>
      </c>
      <c r="G8" s="24">
        <f>'[3]final systematics'!G8</f>
        <v>0.13700000000000001</v>
      </c>
      <c r="H8" s="24">
        <f>'[3]final systematics'!H8</f>
        <v>0</v>
      </c>
      <c r="I8" s="24">
        <f>'[3]final systematics'!I8</f>
        <v>0.01</v>
      </c>
      <c r="J8" s="24">
        <f>'[3]final systematics'!J8</f>
        <v>5.7000000000000002E-2</v>
      </c>
      <c r="K8" s="24">
        <f>'[3]final systematics'!K8</f>
        <v>0.15379995421602563</v>
      </c>
      <c r="M8" s="17"/>
      <c r="N8" s="1"/>
      <c r="O8" s="16"/>
    </row>
    <row r="9" spans="1:15">
      <c r="A9" s="45"/>
      <c r="B9" s="21" t="s">
        <v>15</v>
      </c>
      <c r="C9" s="46"/>
      <c r="D9" s="24">
        <f>'[3]final systematics'!D9</f>
        <v>5.1368960879948238E-2</v>
      </c>
      <c r="E9" s="24">
        <f>'[3]final systematics'!E9</f>
        <v>3.2756204337476051E-2</v>
      </c>
      <c r="F9" s="24">
        <f>'[3]final systematics'!F9</f>
        <v>1.2060438395001209E-2</v>
      </c>
      <c r="G9" s="24">
        <f>'[3]final systematics'!G9</f>
        <v>0.13700000000000001</v>
      </c>
      <c r="H9" s="24">
        <f>'[3]final systematics'!H9</f>
        <v>0</v>
      </c>
      <c r="I9" s="24">
        <f>'[3]final systematics'!I9</f>
        <v>0.01</v>
      </c>
      <c r="J9" s="24">
        <f>'[3]final systematics'!J9</f>
        <v>5.7000000000000002E-2</v>
      </c>
      <c r="K9" s="24">
        <f>'[3]final systematics'!K9</f>
        <v>0.16116821410800505</v>
      </c>
      <c r="M9" s="17"/>
      <c r="N9" s="1"/>
      <c r="O9" s="16"/>
    </row>
    <row r="10" spans="1:15">
      <c r="A10" s="47" t="s">
        <v>16</v>
      </c>
      <c r="B10" s="21" t="s">
        <v>9</v>
      </c>
      <c r="C10" s="46"/>
      <c r="D10" s="24">
        <f>'[3]final systematics'!D10</f>
        <v>9.3540596283972106E-3</v>
      </c>
      <c r="E10" s="24">
        <f>'[3]final systematics'!E10</f>
        <v>3.3229581492602807E-2</v>
      </c>
      <c r="F10" s="24">
        <f>'[3]final systematics'!F10</f>
        <v>2.1400900185413688E-2</v>
      </c>
      <c r="G10" s="24">
        <f>'[3]final systematics'!G10</f>
        <v>0.13700000000000001</v>
      </c>
      <c r="H10" s="24">
        <f>'[3]final systematics'!H10</f>
        <v>0</v>
      </c>
      <c r="I10" s="24">
        <f>'[3]final systematics'!I10</f>
        <v>0.01</v>
      </c>
      <c r="J10" s="24">
        <f>'[3]final systematics'!J10</f>
        <v>5.7000000000000002E-2</v>
      </c>
      <c r="K10" s="24">
        <f>'[3]final systematics'!K10</f>
        <v>0.15416777239893942</v>
      </c>
      <c r="M10" s="18"/>
      <c r="N10" s="1"/>
      <c r="O10" s="16"/>
    </row>
    <row r="11" spans="1:15">
      <c r="A11" s="47"/>
      <c r="B11" s="21" t="s">
        <v>17</v>
      </c>
      <c r="C11" s="46"/>
      <c r="D11" s="24">
        <f>'[3]final systematics'!D11</f>
        <v>2.999909138272212E-2</v>
      </c>
      <c r="E11" s="24">
        <f>'[3]final systematics'!E11</f>
        <v>3.13733384144202E-2</v>
      </c>
      <c r="F11" s="24">
        <f>'[3]final systematics'!F11</f>
        <v>2.5874891649118034E-2</v>
      </c>
      <c r="G11" s="24">
        <f>'[3]final systematics'!G11</f>
        <v>0.13700000000000001</v>
      </c>
      <c r="H11" s="24">
        <f>'[3]final systematics'!H11</f>
        <v>0</v>
      </c>
      <c r="I11" s="24">
        <f>'[3]final systematics'!I11</f>
        <v>0.01</v>
      </c>
      <c r="J11" s="24">
        <f>'[3]final systematics'!J11</f>
        <v>5.7000000000000002E-2</v>
      </c>
      <c r="K11" s="24">
        <f>'[3]final systematics'!K11</f>
        <v>0.15707240962342256</v>
      </c>
      <c r="M11" s="10"/>
      <c r="N11" s="1"/>
      <c r="O11" s="9"/>
    </row>
    <row r="12" spans="1:15">
      <c r="A12" s="45" t="s">
        <v>8</v>
      </c>
      <c r="B12" s="45" t="s">
        <v>9</v>
      </c>
      <c r="C12" s="21" t="s">
        <v>18</v>
      </c>
      <c r="D12" s="24">
        <f>'[3]final systematics'!D12</f>
        <v>2.9146975513635272E-2</v>
      </c>
      <c r="E12" s="24">
        <f>'[3]final systematics'!E12</f>
        <v>3.4301326097394287E-2</v>
      </c>
      <c r="F12" s="24">
        <f>'[3]final systematics'!F12</f>
        <v>3.5027772556296861E-2</v>
      </c>
      <c r="G12" s="24">
        <f>'[3]final systematics'!G12</f>
        <v>0.13700000000000001</v>
      </c>
      <c r="H12" s="24">
        <f>'[3]final systematics'!H12</f>
        <v>0</v>
      </c>
      <c r="I12" s="24">
        <f>'[3]final systematics'!I12</f>
        <v>0.01</v>
      </c>
      <c r="J12" s="24">
        <f>'[3]final systematics'!J12</f>
        <v>4.2999999999999997E-2</v>
      </c>
      <c r="K12" s="24">
        <f>'[3]final systematics'!K12</f>
        <v>0.15482594099144983</v>
      </c>
      <c r="M12" s="10"/>
      <c r="N12" s="1"/>
      <c r="O12" s="9"/>
    </row>
    <row r="13" spans="1:15">
      <c r="A13" s="45"/>
      <c r="B13" s="45"/>
      <c r="C13" s="21" t="s">
        <v>19</v>
      </c>
      <c r="D13" s="24">
        <f>'[3]final systematics'!D13</f>
        <v>2.0365052672686262E-2</v>
      </c>
      <c r="E13" s="24">
        <f>'[3]final systematics'!E13</f>
        <v>3.3665266209471613E-2</v>
      </c>
      <c r="F13" s="24">
        <f>'[3]final systematics'!F13</f>
        <v>4.1989624030908584E-2</v>
      </c>
      <c r="G13" s="24">
        <f>'[3]final systematics'!G13</f>
        <v>0.13700000000000001</v>
      </c>
      <c r="H13" s="24">
        <f>'[3]final systematics'!H13</f>
        <v>0</v>
      </c>
      <c r="I13" s="24">
        <f>'[3]final systematics'!I13</f>
        <v>0.01</v>
      </c>
      <c r="J13" s="24">
        <f>'[3]final systematics'!J13</f>
        <v>5.1999999999999998E-2</v>
      </c>
      <c r="K13" s="24">
        <f>'[3]final systematics'!K13</f>
        <v>0.15774731073959053</v>
      </c>
      <c r="M13" s="10"/>
      <c r="N13" s="1"/>
      <c r="O13" s="10"/>
    </row>
    <row r="14" spans="1:15">
      <c r="A14" s="45"/>
      <c r="B14" s="45"/>
      <c r="C14" s="21" t="s">
        <v>20</v>
      </c>
      <c r="D14" s="24">
        <f>'[3]final systematics'!D14</f>
        <v>6.1424620049249081E-3</v>
      </c>
      <c r="E14" s="24">
        <f>'[3]final systematics'!E14</f>
        <v>3.325641211485552E-2</v>
      </c>
      <c r="F14" s="24">
        <f>'[3]final systematics'!F14</f>
        <v>1.1368835654229218E-2</v>
      </c>
      <c r="G14" s="24">
        <f>'[3]final systematics'!G14</f>
        <v>0.13700000000000001</v>
      </c>
      <c r="H14" s="24">
        <f>'[3]final systematics'!H14</f>
        <v>0</v>
      </c>
      <c r="I14" s="24">
        <f>'[3]final systematics'!I14</f>
        <v>0.01</v>
      </c>
      <c r="J14" s="24">
        <f>'[3]final systematics'!J14</f>
        <v>6.6000000000000003E-2</v>
      </c>
      <c r="K14" s="24">
        <f>'[3]final systematics'!K14</f>
        <v>0.15651827117102954</v>
      </c>
      <c r="M14" s="10"/>
      <c r="N14" s="1"/>
      <c r="O14" s="10"/>
    </row>
    <row r="15" spans="1:15">
      <c r="A15" s="45"/>
      <c r="B15" s="45"/>
      <c r="C15" s="21" t="s">
        <v>21</v>
      </c>
      <c r="D15" s="24">
        <f>'[3]final systematics'!D15</f>
        <v>6.851792923227927E-3</v>
      </c>
      <c r="E15" s="24">
        <f>'[3]final systematics'!E15</f>
        <v>3.1955018447178157E-2</v>
      </c>
      <c r="F15" s="24">
        <f>'[3]final systematics'!F15</f>
        <v>2.4944382578492963E-2</v>
      </c>
      <c r="G15" s="24">
        <f>'[3]final systematics'!G15</f>
        <v>0.13700000000000001</v>
      </c>
      <c r="H15" s="24">
        <f>'[3]final systematics'!H15</f>
        <v>0</v>
      </c>
      <c r="I15" s="24">
        <f>'[3]final systematics'!I15</f>
        <v>0.01</v>
      </c>
      <c r="J15" s="24">
        <f>'[3]final systematics'!J15</f>
        <v>8.5000000000000006E-2</v>
      </c>
      <c r="K15" s="24">
        <f>'[3]final systematics'!K15</f>
        <v>0.16668620966488057</v>
      </c>
      <c r="M15" s="10"/>
      <c r="N15" s="1"/>
      <c r="O15" s="9"/>
    </row>
    <row r="16" spans="1:15">
      <c r="A16" s="45"/>
      <c r="B16" s="45"/>
      <c r="C16" s="21" t="s">
        <v>22</v>
      </c>
      <c r="D16" s="24">
        <f>'[3]final systematics'!D16</f>
        <v>5.732570033065377E-3</v>
      </c>
      <c r="E16" s="24">
        <f>'[3]final systematics'!E16</f>
        <v>3.0535037464747273E-2</v>
      </c>
      <c r="F16" s="24">
        <f>'[3]final systematics'!F16</f>
        <v>9.1855865354369265E-3</v>
      </c>
      <c r="G16" s="24">
        <f>'[3]final systematics'!G16</f>
        <v>0.13700000000000001</v>
      </c>
      <c r="H16" s="24">
        <f>'[3]final systematics'!H16</f>
        <v>0</v>
      </c>
      <c r="I16" s="24">
        <f>'[3]final systematics'!I16</f>
        <v>0.01</v>
      </c>
      <c r="J16" s="24">
        <f>'[3]final systematics'!J16</f>
        <v>0.109</v>
      </c>
      <c r="K16" s="24">
        <f>'[3]final systematics'!K16</f>
        <v>0.17832449599580402</v>
      </c>
    </row>
    <row r="17" spans="1:16">
      <c r="A17" s="45"/>
      <c r="B17" s="45"/>
      <c r="C17" s="21" t="s">
        <v>23</v>
      </c>
      <c r="D17" s="24">
        <f>'[3]final systematics'!D17</f>
        <v>3.0466919364934463E-2</v>
      </c>
      <c r="E17" s="24">
        <f>'[3]final systematics'!E17</f>
        <v>1.9274376417233566E-2</v>
      </c>
      <c r="F17" s="24">
        <f>'[3]final systematics'!F17</f>
        <v>1.2060438395001209E-2</v>
      </c>
      <c r="G17" s="24">
        <f>'[3]final systematics'!G17</f>
        <v>0.13700000000000001</v>
      </c>
      <c r="H17" s="24">
        <f>'[3]final systematics'!H17</f>
        <v>0</v>
      </c>
      <c r="I17" s="24">
        <f>'[3]final systematics'!I17</f>
        <v>0.01</v>
      </c>
      <c r="J17" s="24">
        <f>'[3]final systematics'!J17</f>
        <v>0.15</v>
      </c>
      <c r="K17" s="24">
        <f>'[3]final systematics'!K17</f>
        <v>0.20691589821988607</v>
      </c>
    </row>
    <row r="18" spans="1:16">
      <c r="A18" s="45"/>
      <c r="B18" s="45"/>
      <c r="C18" s="21" t="s">
        <v>24</v>
      </c>
      <c r="D18" s="24">
        <f>'[3]final systematics'!D18</f>
        <v>1.6412144218442247E-2</v>
      </c>
      <c r="E18" s="24">
        <f>'[3]final systematics'!E18</f>
        <v>2.5958333419620758E-2</v>
      </c>
      <c r="F18" s="24">
        <f>'[3]final systematics'!F18</f>
        <v>2.1400900185413688E-2</v>
      </c>
      <c r="G18" s="24">
        <f>'[3]final systematics'!G18</f>
        <v>0.13700000000000001</v>
      </c>
      <c r="H18" s="24">
        <f>'[3]final systematics'!H18</f>
        <v>0</v>
      </c>
      <c r="I18" s="24">
        <f>'[3]final systematics'!I18</f>
        <v>0.01</v>
      </c>
      <c r="J18" s="24">
        <f>'[3]final systematics'!J18</f>
        <v>4.5999999999999999E-2</v>
      </c>
      <c r="K18" s="24">
        <f>'[3]final systematics'!K18</f>
        <v>0.14962015933863054</v>
      </c>
    </row>
    <row r="19" spans="1:16">
      <c r="A19" s="45"/>
      <c r="B19" s="45"/>
      <c r="C19" s="21" t="s">
        <v>25</v>
      </c>
      <c r="D19" s="24">
        <f>'[3]final systematics'!D19</f>
        <v>5.0365724234178351E-3</v>
      </c>
      <c r="E19" s="24">
        <f>'[3]final systematics'!E19</f>
        <v>1.8440178744741735E-2</v>
      </c>
      <c r="F19" s="24">
        <f>'[3]final systematics'!F19</f>
        <v>2.5874891649118034E-2</v>
      </c>
      <c r="G19" s="24">
        <f>'[3]final systematics'!G19</f>
        <v>0.13700000000000001</v>
      </c>
      <c r="H19" s="24">
        <f>'[3]final systematics'!H19</f>
        <v>0</v>
      </c>
      <c r="I19" s="24">
        <f>'[3]final systematics'!I19</f>
        <v>0.01</v>
      </c>
      <c r="J19" s="24">
        <f>'[3]final systematics'!J19</f>
        <v>8.5999999999999993E-2</v>
      </c>
      <c r="K19" s="24">
        <f>'[3]final systematics'!K19</f>
        <v>0.1652268660713746</v>
      </c>
      <c r="L19" s="5"/>
      <c r="M19" s="5"/>
      <c r="N19" s="5"/>
      <c r="O19" s="5"/>
      <c r="P19" s="5"/>
    </row>
    <row r="21" spans="1:16">
      <c r="A21" s="43" t="s">
        <v>133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</row>
    <row r="22" spans="1:16">
      <c r="A22" s="22" t="s">
        <v>8</v>
      </c>
      <c r="B22" s="21" t="s">
        <v>9</v>
      </c>
      <c r="C22" s="48" t="s">
        <v>10</v>
      </c>
      <c r="D22" s="25">
        <f>'[3]final systematics'!D22</f>
        <v>1.3855709335341557E-2</v>
      </c>
      <c r="E22" s="25">
        <f>'[3]final systematics'!E22</f>
        <v>2.206181288822796E-2</v>
      </c>
      <c r="F22" s="25">
        <f>'[3]final systematics'!F22</f>
        <v>3.2192422102356989E-2</v>
      </c>
      <c r="G22" s="25">
        <f>'[3]final systematics'!G22</f>
        <v>0.13700000000000001</v>
      </c>
      <c r="H22" s="24">
        <f>'[3]final systematics'!H22</f>
        <v>0</v>
      </c>
      <c r="I22" s="24">
        <f>'[3]final systematics'!I22</f>
        <v>0.01</v>
      </c>
      <c r="J22" s="25">
        <f>'[3]final systematics'!J22</f>
        <v>5.7000000000000002E-2</v>
      </c>
      <c r="K22" s="25">
        <f>'[3]final systematics'!K22</f>
        <v>0.15437958514621347</v>
      </c>
    </row>
    <row r="23" spans="1:16">
      <c r="A23" s="45" t="s">
        <v>16</v>
      </c>
      <c r="B23" s="21" t="s">
        <v>9</v>
      </c>
      <c r="C23" s="48"/>
      <c r="D23" s="25">
        <f>'[3]final systematics'!D23</f>
        <v>2.6983230189745806E-2</v>
      </c>
      <c r="E23" s="25">
        <f>'[3]final systematics'!E23</f>
        <v>4.152176593487035E-2</v>
      </c>
      <c r="F23" s="25">
        <f>'[3]final systematics'!F23</f>
        <v>2.0198590414462265E-2</v>
      </c>
      <c r="G23" s="25">
        <f>'[3]final systematics'!G23</f>
        <v>0.13700000000000001</v>
      </c>
      <c r="H23" s="24">
        <f>'[3]final systematics'!H23</f>
        <v>0</v>
      </c>
      <c r="I23" s="24">
        <f>'[3]final systematics'!I23</f>
        <v>0.01</v>
      </c>
      <c r="J23" s="25">
        <f>'[3]final systematics'!J23</f>
        <v>5.7000000000000002E-2</v>
      </c>
      <c r="K23" s="25">
        <f>'[3]final systematics'!K23</f>
        <v>0.15804472408958858</v>
      </c>
    </row>
    <row r="24" spans="1:16">
      <c r="A24" s="45"/>
      <c r="B24" s="21" t="s">
        <v>17</v>
      </c>
      <c r="C24" s="48"/>
      <c r="D24" s="25">
        <f>'[3]final systematics'!D24</f>
        <v>0.13966284891743244</v>
      </c>
      <c r="E24" s="25">
        <f>'[3]final systematics'!E24</f>
        <v>3.3446784700118026E-2</v>
      </c>
      <c r="F24" s="25">
        <f>'[3]final systematics'!F24</f>
        <v>2.919186754329571E-2</v>
      </c>
      <c r="G24" s="25">
        <f>'[3]final systematics'!G24</f>
        <v>0.13700000000000001</v>
      </c>
      <c r="H24" s="24">
        <f>'[3]final systematics'!H24</f>
        <v>0</v>
      </c>
      <c r="I24" s="24">
        <f>'[3]final systematics'!I24</f>
        <v>0.01</v>
      </c>
      <c r="J24" s="25">
        <f>'[3]final systematics'!J24</f>
        <v>5.7000000000000002E-2</v>
      </c>
      <c r="K24" s="25">
        <f>'[3]final systematics'!K24</f>
        <v>0.20879311268615863</v>
      </c>
    </row>
    <row r="25" spans="1:16">
      <c r="A25" s="45" t="s">
        <v>8</v>
      </c>
      <c r="B25" s="46" t="s">
        <v>9</v>
      </c>
      <c r="C25" s="26" t="s">
        <v>24</v>
      </c>
      <c r="D25" s="25">
        <f>'[3]final systematics'!D25</f>
        <v>5.6628149041255078E-2</v>
      </c>
      <c r="E25" s="25">
        <f>'[3]final systematics'!E25</f>
        <v>3.3335260282685047E-2</v>
      </c>
      <c r="F25" s="25">
        <f>'[3]final systematics'!F25</f>
        <v>3.2192422102356989E-2</v>
      </c>
      <c r="G25" s="25">
        <f>'[3]final systematics'!G25</f>
        <v>0.13700000000000001</v>
      </c>
      <c r="H25" s="24">
        <f>'[3]final systematics'!H25</f>
        <v>0</v>
      </c>
      <c r="I25" s="24">
        <f>'[3]final systematics'!I25</f>
        <v>0.01</v>
      </c>
      <c r="J25" s="25">
        <f>'[3]final systematics'!J25</f>
        <v>4.5999999999999999E-2</v>
      </c>
      <c r="K25" s="25">
        <f>'[3]final systematics'!K25</f>
        <v>0.16229398905310474</v>
      </c>
    </row>
    <row r="26" spans="1:16">
      <c r="A26" s="45"/>
      <c r="B26" s="46"/>
      <c r="C26" s="26" t="s">
        <v>25</v>
      </c>
      <c r="D26" s="25">
        <f>'[3]final systematics'!D26</f>
        <v>4.0363728203015863E-2</v>
      </c>
      <c r="E26" s="25">
        <f>'[3]final systematics'!E26</f>
        <v>2.3456878762191463E-2</v>
      </c>
      <c r="F26" s="25">
        <f>'[3]final systematics'!F26</f>
        <v>3.2192422102356989E-2</v>
      </c>
      <c r="G26" s="25">
        <f>'[3]final systematics'!G26</f>
        <v>0.13700000000000001</v>
      </c>
      <c r="H26" s="24">
        <f>'[3]final systematics'!H26</f>
        <v>0</v>
      </c>
      <c r="I26" s="24">
        <f>'[3]final systematics'!I26</f>
        <v>0.01</v>
      </c>
      <c r="J26" s="25">
        <f>'[3]final systematics'!J26</f>
        <v>8.5999999999999993E-2</v>
      </c>
      <c r="K26" s="25">
        <f>'[3]final systematics'!K26</f>
        <v>0.17169976050224245</v>
      </c>
    </row>
    <row r="29" spans="1:16">
      <c r="A29" s="43" t="s">
        <v>135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</row>
    <row r="30" spans="1:16">
      <c r="A30" s="49" t="s">
        <v>126</v>
      </c>
      <c r="B30" s="1" t="s">
        <v>128</v>
      </c>
      <c r="C30" s="44" t="s">
        <v>127</v>
      </c>
      <c r="D30" s="25">
        <f>'[3]final systematics'!D38</f>
        <v>0.1024159402241594</v>
      </c>
      <c r="E30" s="25">
        <f>'[3]final systematics'!E38</f>
        <v>1.4063953868583388E-2</v>
      </c>
      <c r="F30" s="25">
        <f>'[3]final systematics'!F38</f>
        <v>2.1859536481363372E-2</v>
      </c>
      <c r="G30" s="25">
        <f>'[3]final systematics'!G38</f>
        <v>0.13700000000000001</v>
      </c>
      <c r="H30" s="24">
        <f>'[3]final systematics'!H38</f>
        <v>0</v>
      </c>
      <c r="I30" s="24">
        <f>'[3]final systematics'!I38</f>
        <v>0.01</v>
      </c>
      <c r="J30" s="25">
        <f>'[3]final systematics'!J38</f>
        <v>5.7000000000000002E-2</v>
      </c>
      <c r="K30" s="25">
        <f>'[3]final systematics'!K38</f>
        <v>0.18243535552517307</v>
      </c>
    </row>
    <row r="31" spans="1:16">
      <c r="A31" s="49"/>
      <c r="B31" s="1" t="s">
        <v>129</v>
      </c>
      <c r="C31" s="44"/>
      <c r="D31" s="25">
        <f>'[3]final systematics'!D39</f>
        <v>0.10764635603345281</v>
      </c>
      <c r="E31" s="25">
        <f>'[3]final systematics'!E39</f>
        <v>2.3239940633616493E-2</v>
      </c>
      <c r="F31" s="25">
        <f>'[3]final systematics'!F39</f>
        <v>2.5251648413508621E-2</v>
      </c>
      <c r="G31" s="25">
        <f>'[3]final systematics'!G39</f>
        <v>0.13700000000000001</v>
      </c>
      <c r="H31" s="24">
        <f>'[3]final systematics'!H39</f>
        <v>0</v>
      </c>
      <c r="I31" s="24">
        <f>'[3]final systematics'!I39</f>
        <v>0.01</v>
      </c>
      <c r="J31" s="25">
        <f>'[3]final systematics'!J39</f>
        <v>5.7000000000000002E-2</v>
      </c>
      <c r="K31" s="25">
        <f>'[3]final systematics'!K39</f>
        <v>0.18677119305592702</v>
      </c>
    </row>
    <row r="32" spans="1:16">
      <c r="A32" s="49"/>
      <c r="B32" s="11" t="s">
        <v>136</v>
      </c>
      <c r="C32" s="44"/>
      <c r="D32" s="25">
        <f>'[3]final systematics'!D40</f>
        <v>8.6657917760279965E-2</v>
      </c>
      <c r="E32" s="25">
        <f>'[3]final systematics'!E40</f>
        <v>2.5537520110328685E-2</v>
      </c>
      <c r="F32" s="25">
        <f>'[3]final systematics'!F40</f>
        <v>2.7247337180565295E-2</v>
      </c>
      <c r="G32" s="25">
        <f>'[3]final systematics'!G40</f>
        <v>0.13700000000000001</v>
      </c>
      <c r="H32" s="24">
        <f>'[3]final systematics'!H40</f>
        <v>0</v>
      </c>
      <c r="I32" s="24">
        <f>'[3]final systematics'!I40</f>
        <v>0.01</v>
      </c>
      <c r="J32" s="25">
        <f>'[3]final systematics'!J40</f>
        <v>5.7000000000000002E-2</v>
      </c>
      <c r="K32" s="25">
        <f>'[3]final systematics'!K40</f>
        <v>0.176131135882797</v>
      </c>
    </row>
    <row r="33" spans="1:11">
      <c r="A33" s="49"/>
      <c r="B33" s="11" t="s">
        <v>137</v>
      </c>
      <c r="C33" s="44"/>
      <c r="D33" s="25">
        <f>'[3]final systematics'!D41</f>
        <v>0.10321037391413823</v>
      </c>
      <c r="E33" s="25">
        <f>'[3]final systematics'!E41</f>
        <v>2.1135532056508352E-2</v>
      </c>
      <c r="F33" s="25">
        <f>'[3]final systematics'!F41</f>
        <v>2.795084971874735E-2</v>
      </c>
      <c r="G33" s="25">
        <f>'[3]final systematics'!G41</f>
        <v>0.13700000000000001</v>
      </c>
      <c r="H33" s="24">
        <f>'[3]final systematics'!H41</f>
        <v>0</v>
      </c>
      <c r="I33" s="24">
        <f>'[3]final systematics'!I41</f>
        <v>0.01</v>
      </c>
      <c r="J33" s="25">
        <f>'[3]final systematics'!J41</f>
        <v>5.7000000000000002E-2</v>
      </c>
      <c r="K33" s="25">
        <f>'[3]final systematics'!K41</f>
        <v>0.18438639320407543</v>
      </c>
    </row>
    <row r="34" spans="1:11">
      <c r="A34" s="7" t="s">
        <v>130</v>
      </c>
      <c r="B34" s="45" t="s">
        <v>137</v>
      </c>
      <c r="C34" s="44" t="s">
        <v>127</v>
      </c>
      <c r="D34" s="25">
        <f>'[3]final systematics'!D42</f>
        <v>0.10353784146887596</v>
      </c>
      <c r="E34" s="25">
        <f>'[3]final systematics'!E42</f>
        <v>1.7910041025764753E-2</v>
      </c>
      <c r="F34" s="25">
        <f>'[3]final systematics'!F42</f>
        <v>1.5149375106991533E-2</v>
      </c>
      <c r="G34" s="25">
        <f>'[3]final systematics'!G42</f>
        <v>0.13700000000000001</v>
      </c>
      <c r="H34" s="24">
        <f>'[3]final systematics'!H42</f>
        <v>0</v>
      </c>
      <c r="I34" s="24">
        <f>'[3]final systematics'!I42</f>
        <v>0.01</v>
      </c>
      <c r="J34" s="25">
        <f>'[3]final systematics'!J42</f>
        <v>5.7000000000000002E-2</v>
      </c>
      <c r="K34" s="25">
        <f>'[3]final systematics'!K42</f>
        <v>0.18272481427466553</v>
      </c>
    </row>
    <row r="35" spans="1:11">
      <c r="A35" s="19" t="s">
        <v>138</v>
      </c>
      <c r="B35" s="45"/>
      <c r="C35" s="44"/>
      <c r="D35" s="25">
        <f>'[3]final systematics'!D43</f>
        <v>0.10389830508474576</v>
      </c>
      <c r="E35" s="25">
        <f>'[3]final systematics'!E43</f>
        <v>2.4977347427896694E-2</v>
      </c>
      <c r="F35" s="25">
        <f>'[3]final systematics'!F43</f>
        <v>2.5648007343066392E-2</v>
      </c>
      <c r="G35" s="25">
        <f>'[3]final systematics'!G43</f>
        <v>0.13700000000000001</v>
      </c>
      <c r="H35" s="24">
        <f>'[3]final systematics'!H43</f>
        <v>0</v>
      </c>
      <c r="I35" s="24">
        <f>'[3]final systematics'!I43</f>
        <v>0.01</v>
      </c>
      <c r="J35" s="25">
        <f>'[3]final systematics'!J43</f>
        <v>5.7000000000000002E-2</v>
      </c>
      <c r="K35" s="25">
        <f>'[3]final systematics'!K43</f>
        <v>0.18491767347846111</v>
      </c>
    </row>
    <row r="36" spans="1:11">
      <c r="A36" s="44" t="s">
        <v>126</v>
      </c>
      <c r="B36" s="45" t="s">
        <v>137</v>
      </c>
      <c r="C36" t="s">
        <v>131</v>
      </c>
      <c r="D36" s="25">
        <f>'[3]final systematics'!D44</f>
        <v>0.13346593734460468</v>
      </c>
      <c r="E36" s="25">
        <f>'[3]final systematics'!E44</f>
        <v>2.743957632323232E-2</v>
      </c>
      <c r="F36" s="25">
        <f>'[3]final systematics'!F44</f>
        <v>2.795084971874735E-2</v>
      </c>
      <c r="G36" s="25">
        <f>'[3]final systematics'!G44</f>
        <v>0.13700000000000001</v>
      </c>
      <c r="H36" s="24">
        <f>'[3]final systematics'!H44</f>
        <v>0</v>
      </c>
      <c r="I36" s="24">
        <f>'[3]final systematics'!I44</f>
        <v>0.01</v>
      </c>
      <c r="J36" s="25">
        <f>'[3]final systematics'!J44</f>
        <v>4.2999999999999997E-2</v>
      </c>
      <c r="K36" s="25">
        <f>'[3]final systematics'!K44</f>
        <v>0.20016327530311956</v>
      </c>
    </row>
    <row r="37" spans="1:11">
      <c r="A37" s="44"/>
      <c r="B37" s="45"/>
      <c r="C37" t="s">
        <v>132</v>
      </c>
      <c r="D37" s="25">
        <f>'[3]final systematics'!D45</f>
        <v>0.10274522932708402</v>
      </c>
      <c r="E37" s="25">
        <f>'[3]final systematics'!E45</f>
        <v>2.742872377242643E-2</v>
      </c>
      <c r="F37" s="25">
        <f>'[3]final systematics'!F45</f>
        <v>2.795084971874735E-2</v>
      </c>
      <c r="G37" s="25">
        <f>'[3]final systematics'!G45</f>
        <v>0.13700000000000001</v>
      </c>
      <c r="H37" s="24">
        <f>'[3]final systematics'!H45</f>
        <v>0</v>
      </c>
      <c r="I37" s="24">
        <f>'[3]final systematics'!I45</f>
        <v>0.01</v>
      </c>
      <c r="J37" s="25">
        <f>'[3]final systematics'!J45</f>
        <v>5.1999999999999998E-2</v>
      </c>
      <c r="K37" s="25">
        <f>'[3]final systematics'!K45</f>
        <v>0.1834752491134953</v>
      </c>
    </row>
    <row r="38" spans="1:11">
      <c r="A38" s="44"/>
      <c r="B38" s="45"/>
      <c r="C38" t="s">
        <v>134</v>
      </c>
      <c r="D38" s="25">
        <f>'[3]final systematics'!D46</f>
        <v>0.10390000000000001</v>
      </c>
      <c r="E38" s="25">
        <f>'[3]final systematics'!E46</f>
        <v>1.5225354454942703E-2</v>
      </c>
      <c r="F38" s="25">
        <f>'[3]final systematics'!F46</f>
        <v>2.795084971874735E-2</v>
      </c>
      <c r="G38" s="25">
        <f>'[3]final systematics'!G46</f>
        <v>0.13700000000000001</v>
      </c>
      <c r="H38" s="24">
        <f>'[3]final systematics'!H46</f>
        <v>0</v>
      </c>
      <c r="I38" s="24">
        <f>'[3]final systematics'!I46</f>
        <v>0.01</v>
      </c>
      <c r="J38" s="25">
        <f>'[3]final systematics'!J46</f>
        <v>8.5999999999999993E-2</v>
      </c>
      <c r="K38" s="25">
        <f>'[3]final systematics'!K46</f>
        <v>0.19512373361095428</v>
      </c>
    </row>
    <row r="39" spans="1:11">
      <c r="C39" t="s">
        <v>24</v>
      </c>
      <c r="D39" s="25">
        <f>'[3]final systematics'!D47</f>
        <v>0.13346593734460468</v>
      </c>
      <c r="E39" s="25">
        <f>'[3]final systematics'!E47</f>
        <v>2.044511699596939E-2</v>
      </c>
      <c r="F39" s="25">
        <f>'[3]final systematics'!F47</f>
        <v>2.795084971874735E-2</v>
      </c>
      <c r="G39" s="25">
        <f>'[3]final systematics'!G47</f>
        <v>0.13700000000000001</v>
      </c>
      <c r="H39" s="24">
        <f>'[3]final systematics'!H47</f>
        <v>0</v>
      </c>
      <c r="I39" s="24">
        <f>'[3]final systematics'!I47</f>
        <v>0.01</v>
      </c>
      <c r="J39" s="25">
        <f>'[3]final systematics'!J47</f>
        <v>4.5999999999999999E-2</v>
      </c>
      <c r="K39" s="25">
        <f>'[3]final systematics'!K47</f>
        <v>0.1999935229957531</v>
      </c>
    </row>
    <row r="42" spans="1:11">
      <c r="E42" s="16"/>
      <c r="F42" s="11"/>
      <c r="G42" s="16"/>
      <c r="H42" s="16"/>
      <c r="I42" s="16"/>
    </row>
    <row r="43" spans="1:11">
      <c r="E43" s="16"/>
      <c r="F43" s="1"/>
      <c r="G43" s="16"/>
      <c r="H43" s="16"/>
      <c r="I43" s="16"/>
    </row>
    <row r="44" spans="1:11">
      <c r="E44" s="16"/>
      <c r="F44" s="1"/>
      <c r="G44" s="16"/>
      <c r="H44" s="16"/>
      <c r="I44" s="16"/>
    </row>
    <row r="45" spans="1:11">
      <c r="E45" s="16"/>
      <c r="F45" s="11"/>
      <c r="G45" s="16"/>
      <c r="H45" s="16"/>
      <c r="I45" s="16"/>
    </row>
    <row r="46" spans="1:11">
      <c r="E46" s="7"/>
      <c r="F46" s="20"/>
      <c r="G46" s="16"/>
      <c r="H46" s="16"/>
      <c r="I46" s="16"/>
    </row>
    <row r="47" spans="1:11">
      <c r="E47" s="19"/>
      <c r="F47" s="20"/>
      <c r="G47" s="16"/>
      <c r="H47" s="16"/>
      <c r="I47" s="16"/>
    </row>
    <row r="48" spans="1:11">
      <c r="E48" s="16"/>
      <c r="F48" s="20"/>
    </row>
    <row r="49" spans="5:6">
      <c r="E49" s="16"/>
      <c r="F49" s="20"/>
    </row>
    <row r="50" spans="5:6">
      <c r="E50" s="16"/>
      <c r="F50" s="20"/>
    </row>
  </sheetData>
  <sheetProtection sheet="1" objects="1" scenarios="1"/>
  <mergeCells count="19">
    <mergeCell ref="A21:K21"/>
    <mergeCell ref="A25:A26"/>
    <mergeCell ref="B25:B26"/>
    <mergeCell ref="A2:K2"/>
    <mergeCell ref="A36:A38"/>
    <mergeCell ref="B36:B38"/>
    <mergeCell ref="A4:A6"/>
    <mergeCell ref="C4:C11"/>
    <mergeCell ref="A8:A9"/>
    <mergeCell ref="A10:A11"/>
    <mergeCell ref="A12:A19"/>
    <mergeCell ref="B12:B19"/>
    <mergeCell ref="C22:C24"/>
    <mergeCell ref="A23:A24"/>
    <mergeCell ref="A29:K29"/>
    <mergeCell ref="A30:A33"/>
    <mergeCell ref="C30:C33"/>
    <mergeCell ref="B34:B35"/>
    <mergeCell ref="C34:C3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showRuler="0" topLeftCell="A10" workbookViewId="0">
      <selection activeCell="H36" sqref="H36"/>
    </sheetView>
  </sheetViews>
  <sheetFormatPr baseColWidth="10" defaultRowHeight="15" x14ac:dyDescent="0"/>
  <cols>
    <col min="7" max="7" width="20.33203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6</v>
      </c>
      <c r="I1" s="1" t="s">
        <v>4</v>
      </c>
      <c r="J1" s="1" t="s">
        <v>7</v>
      </c>
      <c r="K1" s="1" t="s">
        <v>4</v>
      </c>
    </row>
    <row r="2" spans="1:11">
      <c r="A2" s="1" t="s">
        <v>8</v>
      </c>
      <c r="B2" s="1" t="s">
        <v>9</v>
      </c>
      <c r="C2" s="1" t="s">
        <v>10</v>
      </c>
      <c r="D2" s="34">
        <f ca="1">1/((1-J2)/F2+J2/H2)</f>
        <v>0.35776890542712197</v>
      </c>
      <c r="E2" s="34">
        <f>G2</f>
        <v>6.0000000000000001E-3</v>
      </c>
      <c r="F2" s="34">
        <v>0.38300000000000001</v>
      </c>
      <c r="G2" s="34">
        <v>6.0000000000000001E-3</v>
      </c>
      <c r="H2" s="34">
        <v>0.29199999999999998</v>
      </c>
      <c r="I2" s="34">
        <v>6.0000000000000001E-3</v>
      </c>
      <c r="J2" s="4">
        <f ca="1">[1]Summary!J3</f>
        <v>0.226295</v>
      </c>
      <c r="K2" s="4">
        <f ca="1">[1]Summary!K3</f>
        <v>3.1122199999999999E-2</v>
      </c>
    </row>
    <row r="3" spans="1:11">
      <c r="A3" s="1" t="s">
        <v>8</v>
      </c>
      <c r="B3" s="1" t="s">
        <v>11</v>
      </c>
      <c r="C3" s="1" t="s">
        <v>10</v>
      </c>
      <c r="D3" s="34">
        <f t="shared" ref="D3:D17" ca="1" si="0">1/((1-J3)/F3+J3/H3)</f>
        <v>0.32703737433582158</v>
      </c>
      <c r="E3" s="34">
        <f t="shared" ref="E3:E17" si="1">G3</f>
        <v>8.0000000000000002E-3</v>
      </c>
      <c r="F3" s="34">
        <v>0.34699999999999998</v>
      </c>
      <c r="G3" s="34">
        <v>8.0000000000000002E-3</v>
      </c>
      <c r="H3" s="34">
        <v>0.26600000000000001</v>
      </c>
      <c r="I3" s="34">
        <v>8.9999999999999993E-3</v>
      </c>
      <c r="J3" s="4">
        <f ca="1">[1]Summary!J4</f>
        <v>0.20045499999999999</v>
      </c>
      <c r="K3" s="4">
        <f ca="1">[1]Summary!K4</f>
        <v>3.72783E-2</v>
      </c>
    </row>
    <row r="4" spans="1:11">
      <c r="A4" s="1" t="s">
        <v>8</v>
      </c>
      <c r="B4" s="1" t="s">
        <v>12</v>
      </c>
      <c r="C4" s="1" t="s">
        <v>10</v>
      </c>
      <c r="D4" s="34">
        <f t="shared" ca="1" si="0"/>
        <v>0.43744458609544812</v>
      </c>
      <c r="E4" s="34">
        <f t="shared" si="1"/>
        <v>8.0000000000000002E-3</v>
      </c>
      <c r="F4" s="34">
        <v>0.48499999999999999</v>
      </c>
      <c r="G4" s="34">
        <v>8.0000000000000002E-3</v>
      </c>
      <c r="H4" s="34">
        <v>0.33900000000000002</v>
      </c>
      <c r="I4" s="34">
        <v>0.01</v>
      </c>
      <c r="J4" s="4">
        <f ca="1">[1]Summary!J5</f>
        <v>0.25241999999999998</v>
      </c>
      <c r="K4" s="4">
        <f ca="1">[1]Summary!K5</f>
        <v>4.9706199999999999E-2</v>
      </c>
    </row>
    <row r="5" spans="1:11">
      <c r="A5" s="1" t="s">
        <v>13</v>
      </c>
      <c r="B5" s="1" t="s">
        <v>9</v>
      </c>
      <c r="C5" s="1" t="s">
        <v>10</v>
      </c>
      <c r="D5" s="34">
        <f t="shared" ca="1" si="0"/>
        <v>0.35650859483388864</v>
      </c>
      <c r="E5" s="34">
        <f t="shared" si="1"/>
        <v>8.9999999999999993E-3</v>
      </c>
      <c r="F5" s="34">
        <v>0.38100000000000001</v>
      </c>
      <c r="G5" s="34">
        <v>8.9999999999999993E-3</v>
      </c>
      <c r="H5" s="34">
        <v>0.28799999999999998</v>
      </c>
      <c r="I5" s="34">
        <v>8.9999999999999993E-3</v>
      </c>
      <c r="J5" s="4">
        <f ca="1">[1]Summary!J6</f>
        <v>0.21274199999999999</v>
      </c>
      <c r="K5" s="4">
        <f ca="1">[1]Summary!K6</f>
        <v>4.4714999999999998E-2</v>
      </c>
    </row>
    <row r="6" spans="1:11">
      <c r="A6" s="1" t="s">
        <v>14</v>
      </c>
      <c r="B6" s="1" t="s">
        <v>9</v>
      </c>
      <c r="C6" s="1" t="s">
        <v>10</v>
      </c>
      <c r="D6" s="34">
        <f t="shared" ca="1" si="0"/>
        <v>0.38450876325644578</v>
      </c>
      <c r="E6" s="34">
        <f t="shared" si="1"/>
        <v>1.2999999999999999E-2</v>
      </c>
      <c r="F6" s="34">
        <v>0.41599999999999998</v>
      </c>
      <c r="G6" s="34">
        <v>1.2999999999999999E-2</v>
      </c>
      <c r="H6" s="34">
        <v>0.29799999999999999</v>
      </c>
      <c r="I6" s="34">
        <v>1.2999999999999999E-2</v>
      </c>
      <c r="J6" s="4">
        <f ca="1">[1]Summary!J7</f>
        <v>0.20683199999999999</v>
      </c>
      <c r="K6" s="4">
        <f ca="1">[1]Summary!K7</f>
        <v>6.7050999999999999E-2</v>
      </c>
    </row>
    <row r="7" spans="1:11">
      <c r="A7" s="1" t="s">
        <v>14</v>
      </c>
      <c r="B7" s="1" t="s">
        <v>15</v>
      </c>
      <c r="C7" s="1" t="s">
        <v>10</v>
      </c>
      <c r="D7" s="34">
        <f t="shared" ca="1" si="0"/>
        <v>0.35948229727802017</v>
      </c>
      <c r="E7" s="34">
        <f t="shared" si="1"/>
        <v>1.2E-2</v>
      </c>
      <c r="F7" s="34">
        <v>0.377</v>
      </c>
      <c r="G7" s="34">
        <v>1.2E-2</v>
      </c>
      <c r="H7" s="34">
        <v>0.28399999999999997</v>
      </c>
      <c r="I7" s="34">
        <v>1.2E-2</v>
      </c>
      <c r="J7" s="4">
        <f ca="1">[1]Summary!J8</f>
        <v>0.148811</v>
      </c>
      <c r="K7" s="4">
        <f ca="1">[1]Summary!K8</f>
        <v>6.8435399999999993E-2</v>
      </c>
    </row>
    <row r="8" spans="1:11">
      <c r="A8" s="1" t="s">
        <v>16</v>
      </c>
      <c r="B8" s="1" t="s">
        <v>9</v>
      </c>
      <c r="C8" s="1" t="s">
        <v>10</v>
      </c>
      <c r="D8" s="34">
        <f t="shared" ca="1" si="0"/>
        <v>0.34936110171581763</v>
      </c>
      <c r="E8" s="34">
        <f t="shared" si="1"/>
        <v>1.2E-2</v>
      </c>
      <c r="F8" s="34">
        <v>0.36299999999999999</v>
      </c>
      <c r="G8" s="34">
        <v>1.2E-2</v>
      </c>
      <c r="H8" s="34">
        <v>0.29199999999999998</v>
      </c>
      <c r="I8" s="34">
        <v>1.0999999999999999E-2</v>
      </c>
      <c r="J8" s="4">
        <f ca="1">[1]Summary!J9</f>
        <v>0.16055700000000001</v>
      </c>
      <c r="K8" s="4">
        <f ca="1">[1]Summary!K9</f>
        <v>4.7643499999999998E-2</v>
      </c>
    </row>
    <row r="9" spans="1:11">
      <c r="A9" s="1" t="s">
        <v>16</v>
      </c>
      <c r="B9" s="1" t="s">
        <v>17</v>
      </c>
      <c r="C9" s="1" t="s">
        <v>10</v>
      </c>
      <c r="D9" s="34">
        <f t="shared" ca="1" si="0"/>
        <v>0.28433384067187378</v>
      </c>
      <c r="E9" s="34">
        <f t="shared" si="1"/>
        <v>8.9999999999999993E-3</v>
      </c>
      <c r="F9" s="34">
        <v>0.29299999999999998</v>
      </c>
      <c r="G9" s="34">
        <v>8.9999999999999993E-3</v>
      </c>
      <c r="H9" s="34">
        <v>0.247</v>
      </c>
      <c r="I9" s="34">
        <v>7.0000000000000001E-3</v>
      </c>
      <c r="J9" s="4">
        <f ca="1">[1]Summary!J10</f>
        <v>0.163658</v>
      </c>
      <c r="K9" s="4">
        <f ca="1">[1]Summary!K10</f>
        <v>3.5430400000000001E-2</v>
      </c>
    </row>
    <row r="10" spans="1:11">
      <c r="A10" s="1" t="s">
        <v>8</v>
      </c>
      <c r="B10" s="1" t="s">
        <v>9</v>
      </c>
      <c r="C10" s="1" t="s">
        <v>18</v>
      </c>
      <c r="D10" s="34">
        <f t="shared" ca="1" si="0"/>
        <v>0.33345746616362354</v>
      </c>
      <c r="E10" s="34">
        <f t="shared" si="1"/>
        <v>1.2E-2</v>
      </c>
      <c r="F10" s="34">
        <v>0.36499999999999999</v>
      </c>
      <c r="G10" s="34">
        <v>1.2E-2</v>
      </c>
      <c r="H10" s="34">
        <v>0.27700000000000002</v>
      </c>
      <c r="I10" s="34">
        <v>1.2E-2</v>
      </c>
      <c r="J10" s="4">
        <f ca="1">[1]Summary!J11</f>
        <v>0.29775099999999999</v>
      </c>
      <c r="K10" s="4">
        <f ca="1">[1]Summary!K11</f>
        <v>6.4536999999999997E-2</v>
      </c>
    </row>
    <row r="11" spans="1:11">
      <c r="A11" s="1" t="s">
        <v>8</v>
      </c>
      <c r="B11" s="1" t="s">
        <v>9</v>
      </c>
      <c r="C11" s="1" t="s">
        <v>19</v>
      </c>
      <c r="D11" s="34">
        <f t="shared" ca="1" si="0"/>
        <v>0.34930469169387435</v>
      </c>
      <c r="E11" s="34">
        <f t="shared" si="1"/>
        <v>1.2E-2</v>
      </c>
      <c r="F11" s="34">
        <v>0.38300000000000001</v>
      </c>
      <c r="G11" s="34">
        <v>1.2E-2</v>
      </c>
      <c r="H11" s="34">
        <v>0.28699999999999998</v>
      </c>
      <c r="I11" s="34">
        <v>1.2E-2</v>
      </c>
      <c r="J11" s="4">
        <f ca="1">[1]Summary!J12</f>
        <v>0.288387</v>
      </c>
      <c r="K11" s="4">
        <f ca="1">[1]Summary!K12</f>
        <v>7.3523400000000003E-2</v>
      </c>
    </row>
    <row r="12" spans="1:11">
      <c r="A12" s="1" t="s">
        <v>8</v>
      </c>
      <c r="B12" s="1" t="s">
        <v>9</v>
      </c>
      <c r="C12" s="1" t="s">
        <v>20</v>
      </c>
      <c r="D12" s="34">
        <f t="shared" ca="1" si="0"/>
        <v>0.38077619476208985</v>
      </c>
      <c r="E12" s="34">
        <f t="shared" si="1"/>
        <v>1.2E-2</v>
      </c>
      <c r="F12" s="34">
        <v>0.38800000000000001</v>
      </c>
      <c r="G12" s="34">
        <v>1.2E-2</v>
      </c>
      <c r="H12" s="34">
        <v>0.30599999999999999</v>
      </c>
      <c r="I12" s="34">
        <v>1.2E-2</v>
      </c>
      <c r="J12" s="4">
        <f ca="1">[1]Summary!J13</f>
        <v>7.0795200000000003E-2</v>
      </c>
      <c r="K12" s="4">
        <f ca="1">[1]Summary!K13</f>
        <v>4.8721899999999999E-2</v>
      </c>
    </row>
    <row r="13" spans="1:11">
      <c r="A13" s="1" t="s">
        <v>8</v>
      </c>
      <c r="B13" s="1" t="s">
        <v>9</v>
      </c>
      <c r="C13" s="1" t="s">
        <v>21</v>
      </c>
      <c r="D13" s="34">
        <f t="shared" ca="1" si="0"/>
        <v>0.37929489069467764</v>
      </c>
      <c r="E13" s="34">
        <f t="shared" si="1"/>
        <v>1.2E-2</v>
      </c>
      <c r="F13" s="34">
        <v>0.39800000000000002</v>
      </c>
      <c r="G13" s="34">
        <v>1.2E-2</v>
      </c>
      <c r="H13" s="34">
        <v>0.313</v>
      </c>
      <c r="I13" s="34">
        <v>1.2E-2</v>
      </c>
      <c r="J13" s="4">
        <f ca="1">[1]Summary!J14</f>
        <v>0.18159700000000001</v>
      </c>
      <c r="K13" s="4">
        <f ca="1">[1]Summary!K14</f>
        <v>6.6892300000000002E-2</v>
      </c>
    </row>
    <row r="14" spans="1:11">
      <c r="A14" s="1" t="s">
        <v>8</v>
      </c>
      <c r="B14" s="1" t="s">
        <v>9</v>
      </c>
      <c r="C14" s="1" t="s">
        <v>22</v>
      </c>
      <c r="D14" s="34">
        <f t="shared" ca="1" si="0"/>
        <v>0.38683199757714959</v>
      </c>
      <c r="E14" s="34">
        <f t="shared" si="1"/>
        <v>1.2E-2</v>
      </c>
      <c r="F14" s="34">
        <v>0.41099999999999998</v>
      </c>
      <c r="G14" s="34">
        <v>1.2E-2</v>
      </c>
      <c r="H14" s="34">
        <v>0.32400000000000001</v>
      </c>
      <c r="I14" s="34">
        <v>1.2E-2</v>
      </c>
      <c r="J14" s="4">
        <f ca="1">[1]Summary!J15</f>
        <v>0.23267199999999999</v>
      </c>
      <c r="K14" s="4">
        <f ca="1">[1]Summary!K15</f>
        <v>8.8123599999999996E-2</v>
      </c>
    </row>
    <row r="15" spans="1:11">
      <c r="A15" s="1" t="s">
        <v>8</v>
      </c>
      <c r="B15" s="1" t="s">
        <v>9</v>
      </c>
      <c r="C15" s="1" t="s">
        <v>23</v>
      </c>
      <c r="D15" s="34">
        <f t="shared" ca="1" si="0"/>
        <v>0.41320925572201161</v>
      </c>
      <c r="E15" s="34">
        <f t="shared" si="1"/>
        <v>7.0000000000000001E-3</v>
      </c>
      <c r="F15" s="34">
        <v>0.441</v>
      </c>
      <c r="G15" s="34">
        <v>7.0000000000000001E-3</v>
      </c>
      <c r="H15" s="34">
        <v>0.33100000000000002</v>
      </c>
      <c r="I15" s="34">
        <v>7.0000000000000001E-3</v>
      </c>
      <c r="J15" s="4">
        <f ca="1">[1]Summary!J16</f>
        <v>0.202379</v>
      </c>
      <c r="K15" s="4">
        <f ca="1">[1]Summary!K16</f>
        <v>7.7282900000000002E-2</v>
      </c>
    </row>
    <row r="16" spans="1:11">
      <c r="A16" s="1" t="s">
        <v>8</v>
      </c>
      <c r="B16" s="1" t="s">
        <v>9</v>
      </c>
      <c r="C16" s="1" t="s">
        <v>24</v>
      </c>
      <c r="D16" s="34">
        <f t="shared" ca="1" si="0"/>
        <v>0.33981182391677295</v>
      </c>
      <c r="E16" s="34">
        <f t="shared" si="1"/>
        <v>8.9999999999999993E-3</v>
      </c>
      <c r="F16" s="34">
        <v>0.373</v>
      </c>
      <c r="G16" s="34">
        <v>8.9999999999999993E-3</v>
      </c>
      <c r="H16" s="35">
        <v>0.27900000000000003</v>
      </c>
      <c r="I16" s="35">
        <v>8.9999999999999993E-3</v>
      </c>
      <c r="J16" s="4">
        <f ca="1">[1]Summary!J17</f>
        <v>0.28988199999999997</v>
      </c>
      <c r="K16" s="4">
        <f ca="1">[1]Summary!K17</f>
        <v>5.1386599999999998E-2</v>
      </c>
    </row>
    <row r="17" spans="1:11">
      <c r="A17" s="1" t="s">
        <v>8</v>
      </c>
      <c r="B17" s="1" t="s">
        <v>9</v>
      </c>
      <c r="C17" s="1" t="s">
        <v>25</v>
      </c>
      <c r="D17" s="34">
        <f t="shared" ca="1" si="0"/>
        <v>0.38657021385936008</v>
      </c>
      <c r="E17" s="34">
        <f t="shared" si="1"/>
        <v>7.0000000000000001E-3</v>
      </c>
      <c r="F17" s="34">
        <v>0.40400000000000003</v>
      </c>
      <c r="G17" s="34">
        <v>7.0000000000000001E-3</v>
      </c>
      <c r="H17" s="35">
        <v>0.314</v>
      </c>
      <c r="I17" s="35">
        <v>7.0000000000000001E-3</v>
      </c>
      <c r="J17" s="4">
        <f ca="1">[1]Summary!J18</f>
        <v>0.157308</v>
      </c>
      <c r="K17" s="4">
        <f ca="1">[1]Summary!K18</f>
        <v>3.5921799999999997E-2</v>
      </c>
    </row>
    <row r="20" spans="1:11">
      <c r="A20" s="1" t="s">
        <v>0</v>
      </c>
      <c r="B20" s="1" t="s">
        <v>1</v>
      </c>
      <c r="C20" s="1" t="s">
        <v>2</v>
      </c>
      <c r="D20" t="s">
        <v>149</v>
      </c>
    </row>
    <row r="21" spans="1:11">
      <c r="A21" s="49" t="s">
        <v>126</v>
      </c>
      <c r="B21" s="1" t="s">
        <v>128</v>
      </c>
      <c r="C21" s="42" t="s">
        <v>10</v>
      </c>
      <c r="D21" s="34">
        <v>0.52700000000000002</v>
      </c>
      <c r="E21" s="34">
        <v>1.0999999999999999E-2</v>
      </c>
      <c r="H21">
        <f>H2/'efficiency (pp)'!H2*'efficiency (pp)'!F2/F2</f>
        <v>0.93919097892307102</v>
      </c>
    </row>
    <row r="22" spans="1:11">
      <c r="A22" s="49"/>
      <c r="B22" s="1" t="s">
        <v>129</v>
      </c>
      <c r="C22" s="42"/>
      <c r="D22" s="34">
        <v>0.56100000000000005</v>
      </c>
      <c r="E22" s="34">
        <v>1.4E-2</v>
      </c>
      <c r="G22" s="56"/>
      <c r="H22">
        <f>H3/'efficiency (pp)'!H3*'efficiency (pp)'!F3/F3</f>
        <v>0.94254436046617007</v>
      </c>
    </row>
    <row r="23" spans="1:11">
      <c r="A23" s="49"/>
      <c r="B23" s="11" t="s">
        <v>136</v>
      </c>
      <c r="C23" s="42"/>
      <c r="D23" s="34">
        <v>0.59</v>
      </c>
      <c r="E23" s="34">
        <v>1.2E-2</v>
      </c>
      <c r="H23">
        <f>H4/'efficiency (pp)'!H4*'efficiency (pp)'!F4/F4</f>
        <v>0.91739690721649481</v>
      </c>
    </row>
    <row r="24" spans="1:11">
      <c r="A24" s="49"/>
      <c r="B24" s="11" t="s">
        <v>137</v>
      </c>
      <c r="C24" s="42"/>
      <c r="D24" s="34">
        <v>0.54500000000000004</v>
      </c>
      <c r="E24" s="34">
        <v>7.0000000000000001E-3</v>
      </c>
      <c r="H24">
        <f>H5/'efficiency (pp)'!H5*'efficiency (pp)'!F5/F5</f>
        <v>0.89792412312097336</v>
      </c>
    </row>
    <row r="25" spans="1:11">
      <c r="A25" s="7" t="s">
        <v>130</v>
      </c>
      <c r="B25" s="45" t="s">
        <v>137</v>
      </c>
      <c r="C25" s="42" t="s">
        <v>10</v>
      </c>
      <c r="D25" s="34">
        <v>0.53700000000000003</v>
      </c>
      <c r="E25" s="34">
        <v>8.9999999999999993E-3</v>
      </c>
      <c r="H25">
        <f>H6/'efficiency (pp)'!H6*'efficiency (pp)'!F6/F6</f>
        <v>0.89836853720050458</v>
      </c>
    </row>
    <row r="26" spans="1:11">
      <c r="A26" s="27" t="s">
        <v>138</v>
      </c>
      <c r="B26" s="45"/>
      <c r="C26" s="42"/>
      <c r="D26" s="34">
        <v>0.55800000000000005</v>
      </c>
      <c r="E26" s="34">
        <v>1.2E-2</v>
      </c>
      <c r="H26">
        <f>H7/'efficiency (pp)'!H7*'efficiency (pp)'!F7/F7</f>
        <v>0.92715772291369092</v>
      </c>
    </row>
    <row r="27" spans="1:11">
      <c r="A27" s="44" t="s">
        <v>126</v>
      </c>
      <c r="B27" s="45" t="s">
        <v>137</v>
      </c>
      <c r="C27" s="8" t="s">
        <v>18</v>
      </c>
      <c r="D27" s="34">
        <v>0.51700000000000002</v>
      </c>
      <c r="E27" s="34">
        <v>1.4E-2</v>
      </c>
      <c r="H27">
        <f>H8/'efficiency (pp)'!H8*'efficiency (pp)'!F8/F8</f>
        <v>1.0003823972404966</v>
      </c>
    </row>
    <row r="28" spans="1:11">
      <c r="A28" s="44"/>
      <c r="B28" s="45"/>
      <c r="C28" s="8" t="s">
        <v>19</v>
      </c>
      <c r="D28" s="34">
        <v>0.55800000000000005</v>
      </c>
      <c r="E28" s="34">
        <v>1.4E-2</v>
      </c>
      <c r="H28">
        <f>H9/'efficiency (pp)'!H9*'efficiency (pp)'!F9/F9</f>
        <v>1.008884729714852</v>
      </c>
    </row>
    <row r="29" spans="1:11">
      <c r="A29" s="44"/>
      <c r="B29" s="45"/>
      <c r="C29" s="8" t="s">
        <v>25</v>
      </c>
      <c r="D29" s="34">
        <v>0.56499999999999995</v>
      </c>
      <c r="E29" s="34">
        <v>8.0000000000000002E-3</v>
      </c>
      <c r="G29" s="1" t="s">
        <v>18</v>
      </c>
      <c r="H29">
        <f>H10/'efficiency (pp)'!H10*'efficiency (pp)'!F10/F10</f>
        <v>0.93488187413142754</v>
      </c>
    </row>
    <row r="30" spans="1:11">
      <c r="C30" s="8" t="s">
        <v>24</v>
      </c>
      <c r="D30" s="34">
        <v>0.53400000000000003</v>
      </c>
      <c r="E30" s="34">
        <v>1.0999999999999999E-2</v>
      </c>
      <c r="G30" s="1" t="s">
        <v>19</v>
      </c>
      <c r="H30">
        <f>H11/'efficiency (pp)'!H11*'efficiency (pp)'!F11/F11</f>
        <v>0.92310894161274459</v>
      </c>
    </row>
    <row r="31" spans="1:11">
      <c r="G31" s="1" t="s">
        <v>20</v>
      </c>
      <c r="H31">
        <f>H12/'efficiency (pp)'!H12*'efficiency (pp)'!F12/F12</f>
        <v>0.97153742716270741</v>
      </c>
    </row>
    <row r="32" spans="1:11">
      <c r="G32" s="1" t="s">
        <v>21</v>
      </c>
      <c r="H32">
        <f>H13/'efficiency (pp)'!H13*'efficiency (pp)'!F13/F13</f>
        <v>0.96879324157016966</v>
      </c>
    </row>
    <row r="33" spans="7:8">
      <c r="G33" s="1" t="s">
        <v>22</v>
      </c>
      <c r="H33">
        <f>H14/'efficiency (pp)'!H14*'efficiency (pp)'!F14/F14</f>
        <v>0.97112027927642031</v>
      </c>
    </row>
    <row r="34" spans="7:8">
      <c r="G34" s="1" t="s">
        <v>23</v>
      </c>
      <c r="H34">
        <f>H15/'efficiency (pp)'!H15*'efficiency (pp)'!F15/F15</f>
        <v>0.92461139044989982</v>
      </c>
    </row>
    <row r="35" spans="7:8">
      <c r="G35" s="1" t="s">
        <v>24</v>
      </c>
      <c r="H35">
        <f>H16/'efficiency (pp)'!H16*'efficiency (pp)'!F16/F16</f>
        <v>0.92143606480941842</v>
      </c>
    </row>
    <row r="36" spans="7:8">
      <c r="G36" s="1" t="s">
        <v>25</v>
      </c>
      <c r="H36">
        <f>H17/'efficiency (pp)'!H17*'efficiency (pp)'!F17/F17</f>
        <v>0.95745444109628353</v>
      </c>
    </row>
  </sheetData>
  <mergeCells count="6">
    <mergeCell ref="A21:A24"/>
    <mergeCell ref="C21:C24"/>
    <mergeCell ref="B25:B26"/>
    <mergeCell ref="C25:C26"/>
    <mergeCell ref="A27:A29"/>
    <mergeCell ref="B27:B2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showRuler="0" workbookViewId="0">
      <selection activeCell="H2" sqref="H2"/>
    </sheetView>
  </sheetViews>
  <sheetFormatPr baseColWidth="10" defaultRowHeight="15" x14ac:dyDescent="0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6</v>
      </c>
      <c r="I1" s="1" t="s">
        <v>4</v>
      </c>
      <c r="J1" s="1" t="s">
        <v>7</v>
      </c>
      <c r="K1" s="1" t="s">
        <v>4</v>
      </c>
    </row>
    <row r="2" spans="1:11">
      <c r="A2" s="1" t="s">
        <v>8</v>
      </c>
      <c r="B2" s="1" t="s">
        <v>9</v>
      </c>
      <c r="C2" s="1" t="s">
        <v>10</v>
      </c>
      <c r="D2" s="4"/>
      <c r="E2" s="4"/>
      <c r="F2" s="34">
        <v>0.42499999999999999</v>
      </c>
      <c r="G2" s="34">
        <v>6.0000000000000001E-3</v>
      </c>
      <c r="H2" s="34">
        <v>0.34499999999999997</v>
      </c>
      <c r="I2" s="34">
        <v>4.0000000000000001E-3</v>
      </c>
      <c r="J2" s="4"/>
      <c r="K2" s="4"/>
    </row>
    <row r="3" spans="1:11">
      <c r="A3" s="1" t="s">
        <v>8</v>
      </c>
      <c r="B3" s="1" t="s">
        <v>11</v>
      </c>
      <c r="C3" s="1" t="s">
        <v>10</v>
      </c>
      <c r="D3" s="4"/>
      <c r="E3" s="4"/>
      <c r="F3" s="34">
        <v>0.39100000000000001</v>
      </c>
      <c r="G3" s="34">
        <v>8.0000000000000002E-3</v>
      </c>
      <c r="H3" s="34">
        <v>0.318</v>
      </c>
      <c r="I3" s="34">
        <v>5.0000000000000001E-3</v>
      </c>
      <c r="J3" s="4"/>
      <c r="K3" s="4"/>
    </row>
    <row r="4" spans="1:11">
      <c r="A4" s="1" t="s">
        <v>8</v>
      </c>
      <c r="B4" s="1" t="s">
        <v>12</v>
      </c>
      <c r="C4" s="1" t="s">
        <v>10</v>
      </c>
      <c r="D4" s="4"/>
      <c r="E4" s="4"/>
      <c r="F4" s="34">
        <v>0.504</v>
      </c>
      <c r="G4" s="34">
        <v>8.0000000000000002E-3</v>
      </c>
      <c r="H4" s="34">
        <v>0.38400000000000001</v>
      </c>
      <c r="I4" s="34">
        <v>6.0000000000000001E-3</v>
      </c>
      <c r="J4" s="4"/>
      <c r="K4" s="4"/>
    </row>
    <row r="5" spans="1:11">
      <c r="A5" s="1" t="s">
        <v>13</v>
      </c>
      <c r="B5" s="1" t="s">
        <v>9</v>
      </c>
      <c r="C5" s="1" t="s">
        <v>10</v>
      </c>
      <c r="D5" s="4"/>
      <c r="E5" s="4"/>
      <c r="F5" s="34">
        <v>0.39200000000000002</v>
      </c>
      <c r="G5" s="34">
        <v>8.9999999999999993E-3</v>
      </c>
      <c r="H5" s="34">
        <v>0.33</v>
      </c>
      <c r="I5" s="34">
        <v>6.0000000000000001E-3</v>
      </c>
      <c r="J5" s="4"/>
      <c r="K5" s="4"/>
    </row>
    <row r="6" spans="1:11">
      <c r="A6" s="1" t="s">
        <v>14</v>
      </c>
      <c r="B6" s="1" t="s">
        <v>9</v>
      </c>
      <c r="C6" s="1" t="s">
        <v>10</v>
      </c>
      <c r="D6" s="4"/>
      <c r="E6" s="4"/>
      <c r="F6" s="34">
        <v>0.45900000000000002</v>
      </c>
      <c r="G6" s="34">
        <v>1.2999999999999999E-2</v>
      </c>
      <c r="H6" s="34">
        <v>0.36599999999999999</v>
      </c>
      <c r="I6" s="34">
        <v>8.0000000000000002E-3</v>
      </c>
      <c r="J6" s="4"/>
      <c r="K6" s="4"/>
    </row>
    <row r="7" spans="1:11">
      <c r="A7" s="1" t="s">
        <v>14</v>
      </c>
      <c r="B7" s="1" t="s">
        <v>15</v>
      </c>
      <c r="C7" s="1" t="s">
        <v>10</v>
      </c>
      <c r="D7" s="4"/>
      <c r="E7" s="4"/>
      <c r="F7" s="34">
        <v>0.41599999999999998</v>
      </c>
      <c r="G7" s="34">
        <v>1.2E-2</v>
      </c>
      <c r="H7" s="34">
        <v>0.33800000000000002</v>
      </c>
      <c r="I7" s="34">
        <v>7.0000000000000001E-3</v>
      </c>
      <c r="J7" s="4"/>
      <c r="K7" s="4"/>
    </row>
    <row r="8" spans="1:11">
      <c r="A8" s="1" t="s">
        <v>16</v>
      </c>
      <c r="B8" s="1" t="s">
        <v>9</v>
      </c>
      <c r="C8" s="1" t="s">
        <v>10</v>
      </c>
      <c r="D8" s="4"/>
      <c r="E8" s="4"/>
      <c r="F8" s="34">
        <v>0.439</v>
      </c>
      <c r="G8" s="34">
        <v>1.2E-2</v>
      </c>
      <c r="H8" s="34">
        <v>0.35299999999999998</v>
      </c>
      <c r="I8" s="34">
        <v>7.0000000000000001E-3</v>
      </c>
      <c r="J8" s="4"/>
      <c r="K8" s="4"/>
    </row>
    <row r="9" spans="1:11">
      <c r="A9" s="1" t="s">
        <v>16</v>
      </c>
      <c r="B9" s="1" t="s">
        <v>17</v>
      </c>
      <c r="C9" s="1" t="s">
        <v>10</v>
      </c>
      <c r="D9" s="4"/>
      <c r="E9" s="4"/>
      <c r="F9" s="34">
        <v>0.371</v>
      </c>
      <c r="G9" s="34">
        <v>8.9999999999999993E-3</v>
      </c>
      <c r="H9" s="34">
        <v>0.31</v>
      </c>
      <c r="I9" s="34">
        <v>5.0000000000000001E-3</v>
      </c>
      <c r="J9" s="4"/>
      <c r="K9" s="4"/>
    </row>
    <row r="10" spans="1:11">
      <c r="A10" s="1" t="s">
        <v>8</v>
      </c>
      <c r="B10" s="1" t="s">
        <v>9</v>
      </c>
      <c r="C10" s="1" t="s">
        <v>18</v>
      </c>
      <c r="D10" s="4"/>
      <c r="E10" s="4"/>
      <c r="F10" s="34">
        <f>F$2</f>
        <v>0.42499999999999999</v>
      </c>
      <c r="G10" s="34">
        <f t="shared" ref="G10:I17" si="0">G$2</f>
        <v>6.0000000000000001E-3</v>
      </c>
      <c r="H10" s="34">
        <f>H$2</f>
        <v>0.34499999999999997</v>
      </c>
      <c r="I10" s="34">
        <f>I$2</f>
        <v>4.0000000000000001E-3</v>
      </c>
      <c r="J10" s="37"/>
      <c r="K10" s="37"/>
    </row>
    <row r="11" spans="1:11">
      <c r="A11" s="1" t="s">
        <v>8</v>
      </c>
      <c r="B11" s="1" t="s">
        <v>9</v>
      </c>
      <c r="C11" s="1" t="s">
        <v>19</v>
      </c>
      <c r="D11" s="4"/>
      <c r="E11" s="4"/>
      <c r="F11" s="34">
        <f t="shared" ref="F11:F17" si="1">F$2</f>
        <v>0.42499999999999999</v>
      </c>
      <c r="G11" s="34">
        <f t="shared" si="0"/>
        <v>6.0000000000000001E-3</v>
      </c>
      <c r="H11" s="34">
        <f t="shared" si="0"/>
        <v>0.34499999999999997</v>
      </c>
      <c r="I11" s="34">
        <f t="shared" si="0"/>
        <v>4.0000000000000001E-3</v>
      </c>
      <c r="J11" s="37"/>
      <c r="K11" s="37"/>
    </row>
    <row r="12" spans="1:11">
      <c r="A12" s="1" t="s">
        <v>8</v>
      </c>
      <c r="B12" s="1" t="s">
        <v>9</v>
      </c>
      <c r="C12" s="1" t="s">
        <v>20</v>
      </c>
      <c r="D12" s="4"/>
      <c r="E12" s="4"/>
      <c r="F12" s="34">
        <f t="shared" si="1"/>
        <v>0.42499999999999999</v>
      </c>
      <c r="G12" s="34">
        <f t="shared" si="0"/>
        <v>6.0000000000000001E-3</v>
      </c>
      <c r="H12" s="34">
        <f t="shared" si="0"/>
        <v>0.34499999999999997</v>
      </c>
      <c r="I12" s="34">
        <f t="shared" si="0"/>
        <v>4.0000000000000001E-3</v>
      </c>
      <c r="J12" s="37"/>
      <c r="K12" s="37"/>
    </row>
    <row r="13" spans="1:11">
      <c r="A13" s="1" t="s">
        <v>8</v>
      </c>
      <c r="B13" s="1" t="s">
        <v>9</v>
      </c>
      <c r="C13" s="1" t="s">
        <v>21</v>
      </c>
      <c r="D13" s="4"/>
      <c r="E13" s="4"/>
      <c r="F13" s="34">
        <f t="shared" si="1"/>
        <v>0.42499999999999999</v>
      </c>
      <c r="G13" s="34">
        <f t="shared" si="0"/>
        <v>6.0000000000000001E-3</v>
      </c>
      <c r="H13" s="34">
        <f t="shared" si="0"/>
        <v>0.34499999999999997</v>
      </c>
      <c r="I13" s="34">
        <f t="shared" si="0"/>
        <v>4.0000000000000001E-3</v>
      </c>
      <c r="J13" s="37"/>
      <c r="K13" s="37"/>
    </row>
    <row r="14" spans="1:11">
      <c r="A14" s="1" t="s">
        <v>8</v>
      </c>
      <c r="B14" s="1" t="s">
        <v>9</v>
      </c>
      <c r="C14" s="1" t="s">
        <v>22</v>
      </c>
      <c r="D14" s="4"/>
      <c r="E14" s="4"/>
      <c r="F14" s="34">
        <f t="shared" si="1"/>
        <v>0.42499999999999999</v>
      </c>
      <c r="G14" s="34">
        <f t="shared" si="0"/>
        <v>6.0000000000000001E-3</v>
      </c>
      <c r="H14" s="34">
        <f t="shared" si="0"/>
        <v>0.34499999999999997</v>
      </c>
      <c r="I14" s="34">
        <f t="shared" si="0"/>
        <v>4.0000000000000001E-3</v>
      </c>
      <c r="J14" s="37"/>
      <c r="K14" s="37"/>
    </row>
    <row r="15" spans="1:11">
      <c r="A15" s="1" t="s">
        <v>8</v>
      </c>
      <c r="B15" s="1" t="s">
        <v>9</v>
      </c>
      <c r="C15" s="1" t="s">
        <v>23</v>
      </c>
      <c r="D15" s="4"/>
      <c r="E15" s="4"/>
      <c r="F15" s="34">
        <f t="shared" si="1"/>
        <v>0.42499999999999999</v>
      </c>
      <c r="G15" s="34">
        <f t="shared" si="0"/>
        <v>6.0000000000000001E-3</v>
      </c>
      <c r="H15" s="34">
        <f t="shared" si="0"/>
        <v>0.34499999999999997</v>
      </c>
      <c r="I15" s="34">
        <f t="shared" si="0"/>
        <v>4.0000000000000001E-3</v>
      </c>
      <c r="J15" s="37"/>
      <c r="K15" s="37"/>
    </row>
    <row r="16" spans="1:11">
      <c r="A16" s="1" t="s">
        <v>8</v>
      </c>
      <c r="B16" s="1" t="s">
        <v>9</v>
      </c>
      <c r="C16" s="1" t="s">
        <v>24</v>
      </c>
      <c r="D16" s="4"/>
      <c r="E16" s="4"/>
      <c r="F16" s="34">
        <f t="shared" si="1"/>
        <v>0.42499999999999999</v>
      </c>
      <c r="G16" s="34">
        <f t="shared" si="0"/>
        <v>6.0000000000000001E-3</v>
      </c>
      <c r="H16" s="34">
        <f t="shared" si="0"/>
        <v>0.34499999999999997</v>
      </c>
      <c r="I16" s="34">
        <f t="shared" si="0"/>
        <v>4.0000000000000001E-3</v>
      </c>
      <c r="J16" s="37"/>
      <c r="K16" s="37"/>
    </row>
    <row r="17" spans="1:11">
      <c r="A17" s="1" t="s">
        <v>8</v>
      </c>
      <c r="B17" s="1" t="s">
        <v>9</v>
      </c>
      <c r="C17" s="1" t="s">
        <v>25</v>
      </c>
      <c r="D17" s="4"/>
      <c r="E17" s="4"/>
      <c r="F17" s="34">
        <f t="shared" si="1"/>
        <v>0.42499999999999999</v>
      </c>
      <c r="G17" s="34">
        <f t="shared" si="0"/>
        <v>6.0000000000000001E-3</v>
      </c>
      <c r="H17" s="34">
        <f t="shared" si="0"/>
        <v>0.34499999999999997</v>
      </c>
      <c r="I17" s="34">
        <f t="shared" si="0"/>
        <v>4.0000000000000001E-3</v>
      </c>
      <c r="J17" s="37"/>
      <c r="K17" s="37"/>
    </row>
    <row r="19" spans="1:11">
      <c r="A19" s="51" t="s">
        <v>147</v>
      </c>
      <c r="B19" s="51"/>
      <c r="C19" s="51"/>
      <c r="D19" s="51"/>
      <c r="E19" s="51"/>
    </row>
    <row r="20" spans="1:11">
      <c r="A20" s="1" t="s">
        <v>0</v>
      </c>
      <c r="B20" s="1" t="s">
        <v>1</v>
      </c>
      <c r="C20" s="1" t="s">
        <v>2</v>
      </c>
      <c r="D20" t="s">
        <v>35</v>
      </c>
      <c r="E20" t="s">
        <v>4</v>
      </c>
    </row>
    <row r="21" spans="1:11">
      <c r="A21" s="49" t="s">
        <v>126</v>
      </c>
      <c r="B21" s="1" t="s">
        <v>128</v>
      </c>
      <c r="C21" s="42" t="s">
        <v>10</v>
      </c>
      <c r="D21" s="34">
        <v>0.53300000000000003</v>
      </c>
      <c r="E21" s="34">
        <v>1E-3</v>
      </c>
    </row>
    <row r="22" spans="1:11">
      <c r="A22" s="49"/>
      <c r="B22" s="1" t="s">
        <v>129</v>
      </c>
      <c r="C22" s="42"/>
      <c r="D22" s="34">
        <v>0.56699999999999995</v>
      </c>
      <c r="E22" s="34">
        <v>3.0000000000000001E-3</v>
      </c>
    </row>
    <row r="23" spans="1:11">
      <c r="A23" s="49"/>
      <c r="B23" s="11" t="s">
        <v>136</v>
      </c>
      <c r="C23" s="42"/>
      <c r="D23" s="34">
        <v>0.60399999999999998</v>
      </c>
      <c r="E23" s="34">
        <v>4.0000000000000001E-3</v>
      </c>
    </row>
    <row r="24" spans="1:11">
      <c r="A24" s="49"/>
      <c r="B24" s="11" t="s">
        <v>137</v>
      </c>
      <c r="C24" s="42"/>
      <c r="D24" s="34">
        <v>0.55100000000000005</v>
      </c>
      <c r="E24" s="34">
        <v>1E-3</v>
      </c>
    </row>
    <row r="25" spans="1:11">
      <c r="A25" s="7" t="s">
        <v>130</v>
      </c>
      <c r="B25" s="45" t="s">
        <v>137</v>
      </c>
      <c r="C25" s="42" t="s">
        <v>10</v>
      </c>
      <c r="D25" s="34">
        <v>0.54600000000000004</v>
      </c>
      <c r="E25" s="34">
        <v>1E-3</v>
      </c>
    </row>
    <row r="26" spans="1:11">
      <c r="A26" s="27" t="s">
        <v>138</v>
      </c>
      <c r="B26" s="45"/>
      <c r="C26" s="42"/>
      <c r="D26" s="34">
        <v>0.55900000000000005</v>
      </c>
      <c r="E26" s="34">
        <v>2E-3</v>
      </c>
    </row>
    <row r="27" spans="1:11">
      <c r="A27" s="44" t="s">
        <v>126</v>
      </c>
      <c r="B27" s="45" t="s">
        <v>137</v>
      </c>
      <c r="C27" s="8" t="s">
        <v>18</v>
      </c>
      <c r="D27" s="34">
        <f>D$24</f>
        <v>0.55100000000000005</v>
      </c>
      <c r="E27" s="34">
        <f>E$24</f>
        <v>1E-3</v>
      </c>
    </row>
    <row r="28" spans="1:11">
      <c r="A28" s="44"/>
      <c r="B28" s="45"/>
      <c r="C28" s="8" t="s">
        <v>19</v>
      </c>
      <c r="D28" s="34">
        <f t="shared" ref="D28:E30" si="2">D$24</f>
        <v>0.55100000000000005</v>
      </c>
      <c r="E28" s="34">
        <f t="shared" si="2"/>
        <v>1E-3</v>
      </c>
    </row>
    <row r="29" spans="1:11">
      <c r="A29" s="44"/>
      <c r="B29" s="45"/>
      <c r="C29" s="8" t="s">
        <v>25</v>
      </c>
      <c r="D29" s="34">
        <f t="shared" si="2"/>
        <v>0.55100000000000005</v>
      </c>
      <c r="E29" s="34">
        <f t="shared" si="2"/>
        <v>1E-3</v>
      </c>
    </row>
    <row r="30" spans="1:11">
      <c r="C30" s="8" t="s">
        <v>24</v>
      </c>
      <c r="D30" s="34">
        <f t="shared" si="2"/>
        <v>0.55100000000000005</v>
      </c>
      <c r="E30" s="34">
        <f t="shared" si="2"/>
        <v>1E-3</v>
      </c>
    </row>
    <row r="31" spans="1:11">
      <c r="A31" s="50" t="s">
        <v>148</v>
      </c>
      <c r="B31" s="50"/>
      <c r="C31" s="50"/>
      <c r="D31" s="50"/>
      <c r="E31" s="50"/>
    </row>
    <row r="32" spans="1:11">
      <c r="A32" s="1" t="s">
        <v>0</v>
      </c>
      <c r="B32" s="1" t="s">
        <v>1</v>
      </c>
      <c r="C32" s="1" t="s">
        <v>2</v>
      </c>
      <c r="D32" s="1" t="s">
        <v>35</v>
      </c>
      <c r="E32" s="1" t="s">
        <v>4</v>
      </c>
    </row>
    <row r="33" spans="1:5">
      <c r="A33" s="49" t="s">
        <v>126</v>
      </c>
      <c r="B33" s="1" t="s">
        <v>128</v>
      </c>
      <c r="C33" s="42" t="s">
        <v>10</v>
      </c>
      <c r="D33" s="34">
        <v>0.54700000000000004</v>
      </c>
      <c r="E33" s="34">
        <v>1E-3</v>
      </c>
    </row>
    <row r="34" spans="1:5">
      <c r="A34" s="49"/>
      <c r="B34" s="1" t="s">
        <v>129</v>
      </c>
      <c r="C34" s="42"/>
      <c r="D34" s="34">
        <v>0.57699999999999996</v>
      </c>
      <c r="E34" s="34">
        <v>3.0000000000000001E-3</v>
      </c>
    </row>
    <row r="35" spans="1:5">
      <c r="A35" s="49"/>
      <c r="B35" s="11" t="s">
        <v>136</v>
      </c>
      <c r="C35" s="42"/>
      <c r="D35" s="34">
        <v>0.59499999999999997</v>
      </c>
      <c r="E35" s="34">
        <v>4.0000000000000001E-3</v>
      </c>
    </row>
    <row r="36" spans="1:5">
      <c r="A36" s="49"/>
      <c r="B36" s="11" t="s">
        <v>137</v>
      </c>
      <c r="C36" s="42"/>
      <c r="D36" s="34">
        <v>0.55400000000000005</v>
      </c>
      <c r="E36" s="34">
        <v>1E-3</v>
      </c>
    </row>
    <row r="37" spans="1:5">
      <c r="A37" s="7" t="s">
        <v>130</v>
      </c>
      <c r="B37" s="45" t="s">
        <v>137</v>
      </c>
      <c r="C37" s="42" t="s">
        <v>10</v>
      </c>
      <c r="D37" s="34">
        <v>0.54400000000000004</v>
      </c>
      <c r="E37" s="34">
        <v>1E-3</v>
      </c>
    </row>
    <row r="38" spans="1:5">
      <c r="A38" s="27" t="s">
        <v>138</v>
      </c>
      <c r="B38" s="45"/>
      <c r="C38" s="42"/>
      <c r="D38" s="34">
        <v>0.56799999999999995</v>
      </c>
      <c r="E38" s="34">
        <v>2E-3</v>
      </c>
    </row>
    <row r="39" spans="1:5">
      <c r="A39" s="44" t="s">
        <v>126</v>
      </c>
      <c r="B39" s="45" t="s">
        <v>137</v>
      </c>
      <c r="C39" s="8" t="s">
        <v>18</v>
      </c>
      <c r="D39" s="34">
        <f>D$36</f>
        <v>0.55400000000000005</v>
      </c>
      <c r="E39" s="34">
        <f>E$33</f>
        <v>1E-3</v>
      </c>
    </row>
    <row r="40" spans="1:5">
      <c r="A40" s="44"/>
      <c r="B40" s="45"/>
      <c r="C40" s="8" t="s">
        <v>19</v>
      </c>
      <c r="D40" s="34">
        <f t="shared" ref="D40:D42" si="3">D$36</f>
        <v>0.55400000000000005</v>
      </c>
      <c r="E40" s="34">
        <f t="shared" ref="E40:E42" si="4">E$33</f>
        <v>1E-3</v>
      </c>
    </row>
    <row r="41" spans="1:5">
      <c r="A41" s="44"/>
      <c r="B41" s="45"/>
      <c r="C41" s="8" t="s">
        <v>25</v>
      </c>
      <c r="D41" s="34">
        <f t="shared" si="3"/>
        <v>0.55400000000000005</v>
      </c>
      <c r="E41" s="34">
        <f t="shared" si="4"/>
        <v>1E-3</v>
      </c>
    </row>
    <row r="42" spans="1:5">
      <c r="C42" s="8" t="s">
        <v>24</v>
      </c>
      <c r="D42" s="34">
        <f t="shared" si="3"/>
        <v>0.55400000000000005</v>
      </c>
      <c r="E42" s="34">
        <f t="shared" si="4"/>
        <v>1E-3</v>
      </c>
    </row>
  </sheetData>
  <mergeCells count="14">
    <mergeCell ref="A31:E31"/>
    <mergeCell ref="A19:E19"/>
    <mergeCell ref="A33:A36"/>
    <mergeCell ref="B37:B38"/>
    <mergeCell ref="A39:A41"/>
    <mergeCell ref="B39:B41"/>
    <mergeCell ref="C33:C36"/>
    <mergeCell ref="C37:C38"/>
    <mergeCell ref="A21:A24"/>
    <mergeCell ref="C21:C24"/>
    <mergeCell ref="B25:B26"/>
    <mergeCell ref="C25:C26"/>
    <mergeCell ref="A27:A29"/>
    <mergeCell ref="B27:B2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Ruler="0" workbookViewId="0">
      <selection activeCell="H10" sqref="H10"/>
    </sheetView>
  </sheetViews>
  <sheetFormatPr baseColWidth="10" defaultRowHeight="15" x14ac:dyDescent="0"/>
  <sheetData>
    <row r="1" spans="1:11">
      <c r="A1" s="1" t="s">
        <v>0</v>
      </c>
      <c r="B1" s="1" t="s">
        <v>1</v>
      </c>
      <c r="C1" s="1" t="s">
        <v>2</v>
      </c>
      <c r="D1" s="1" t="s">
        <v>26</v>
      </c>
      <c r="E1" s="1" t="s">
        <v>4</v>
      </c>
      <c r="F1" s="1" t="s">
        <v>27</v>
      </c>
      <c r="G1" s="1" t="s">
        <v>4</v>
      </c>
      <c r="H1" s="1" t="s">
        <v>28</v>
      </c>
      <c r="I1" s="1" t="s">
        <v>4</v>
      </c>
      <c r="J1" s="1" t="s">
        <v>7</v>
      </c>
      <c r="K1" s="1" t="s">
        <v>4</v>
      </c>
    </row>
    <row r="2" spans="1:11">
      <c r="A2" s="41" t="s">
        <v>8</v>
      </c>
      <c r="B2" s="1" t="s">
        <v>9</v>
      </c>
      <c r="C2" s="42" t="s">
        <v>10</v>
      </c>
      <c r="D2" s="4">
        <f ca="1">1/((1-J2)/F2+J2/H2)</f>
        <v>0.30419497645192722</v>
      </c>
      <c r="E2" s="4"/>
      <c r="F2" s="4">
        <v>0.29599999999999999</v>
      </c>
      <c r="G2" s="4"/>
      <c r="H2" s="4">
        <v>0.33600000000000002</v>
      </c>
      <c r="I2" s="4"/>
      <c r="J2" s="4">
        <f ca="1">[1]Summary!J3</f>
        <v>0.226295</v>
      </c>
      <c r="K2" s="4">
        <f ca="1">[1]Summary!K3</f>
        <v>3.1122199999999999E-2</v>
      </c>
    </row>
    <row r="3" spans="1:11">
      <c r="A3" s="41"/>
      <c r="B3" s="1" t="s">
        <v>11</v>
      </c>
      <c r="C3" s="42"/>
      <c r="D3" s="4">
        <f t="shared" ref="D3:D17" ca="1" si="0">1/((1-J3)/F3+J3/H3)</f>
        <v>0.25723464017168063</v>
      </c>
      <c r="E3" s="4"/>
      <c r="F3" s="6">
        <v>0.254</v>
      </c>
      <c r="G3" s="4"/>
      <c r="H3" s="4">
        <v>0.27100000000000002</v>
      </c>
      <c r="I3" s="4"/>
      <c r="J3" s="4">
        <f ca="1">[1]Summary!J4</f>
        <v>0.20045499999999999</v>
      </c>
      <c r="K3" s="4">
        <f ca="1">[1]Summary!K4</f>
        <v>3.72783E-2</v>
      </c>
    </row>
    <row r="4" spans="1:11">
      <c r="A4" s="41"/>
      <c r="B4" s="1" t="s">
        <v>12</v>
      </c>
      <c r="C4" s="42"/>
      <c r="D4" s="4">
        <f t="shared" ca="1" si="0"/>
        <v>0.51917561560046899</v>
      </c>
      <c r="E4" s="4"/>
      <c r="F4" s="4">
        <v>0.51100000000000001</v>
      </c>
      <c r="G4" s="4"/>
      <c r="H4" s="4">
        <v>0.54500000000000004</v>
      </c>
      <c r="I4" s="4"/>
      <c r="J4" s="4">
        <f ca="1">[1]Summary!J5</f>
        <v>0.25241999999999998</v>
      </c>
      <c r="K4" s="4">
        <f ca="1">[1]Summary!K5</f>
        <v>4.9706199999999999E-2</v>
      </c>
    </row>
    <row r="5" spans="1:11">
      <c r="A5" s="7" t="s">
        <v>13</v>
      </c>
      <c r="B5" s="1" t="s">
        <v>9</v>
      </c>
      <c r="C5" s="42"/>
      <c r="D5" s="4">
        <f t="shared" ca="1" si="0"/>
        <v>0.23374320837560311</v>
      </c>
      <c r="E5" s="4"/>
      <c r="F5" s="4">
        <v>0.22500000000000001</v>
      </c>
      <c r="G5" s="4"/>
      <c r="H5" s="4">
        <v>0.27300000000000002</v>
      </c>
      <c r="I5" s="4"/>
      <c r="J5" s="4">
        <f ca="1">[1]Summary!J6</f>
        <v>0.21274199999999999</v>
      </c>
      <c r="K5" s="4">
        <f ca="1">[1]Summary!K6</f>
        <v>4.4714999999999998E-2</v>
      </c>
    </row>
    <row r="6" spans="1:11">
      <c r="A6" s="41" t="s">
        <v>14</v>
      </c>
      <c r="B6" s="1" t="s">
        <v>9</v>
      </c>
      <c r="C6" s="42"/>
      <c r="D6" s="4">
        <f t="shared" ca="1" si="0"/>
        <v>0.40712969243988301</v>
      </c>
      <c r="E6" s="4"/>
      <c r="F6" s="4">
        <v>0.4</v>
      </c>
      <c r="G6" s="4"/>
      <c r="H6" s="4">
        <v>0.437</v>
      </c>
      <c r="I6" s="4"/>
      <c r="J6" s="4">
        <f ca="1">[1]Summary!J7</f>
        <v>0.20683199999999999</v>
      </c>
      <c r="K6" s="4">
        <f ca="1">[1]Summary!K7</f>
        <v>6.7050999999999999E-2</v>
      </c>
    </row>
    <row r="7" spans="1:11">
      <c r="A7" s="41"/>
      <c r="B7" s="1" t="s">
        <v>15</v>
      </c>
      <c r="C7" s="42"/>
      <c r="D7" s="4">
        <f t="shared" ca="1" si="0"/>
        <v>0.31848921652776629</v>
      </c>
      <c r="E7" s="4"/>
      <c r="F7" s="4">
        <v>0.313</v>
      </c>
      <c r="G7" s="4"/>
      <c r="H7" s="4">
        <v>0.35399999999999998</v>
      </c>
      <c r="I7" s="4"/>
      <c r="J7" s="4">
        <f ca="1">[1]Summary!J8</f>
        <v>0.148811</v>
      </c>
      <c r="K7" s="4">
        <f ca="1">[1]Summary!K8</f>
        <v>6.8435399999999993E-2</v>
      </c>
    </row>
    <row r="8" spans="1:11">
      <c r="A8" s="41" t="s">
        <v>16</v>
      </c>
      <c r="B8" s="1" t="s">
        <v>9</v>
      </c>
      <c r="C8" s="42"/>
      <c r="D8" s="4">
        <f t="shared" ca="1" si="0"/>
        <v>0.38282955159052445</v>
      </c>
      <c r="E8" s="4"/>
      <c r="F8" s="4">
        <v>0.376</v>
      </c>
      <c r="G8" s="4"/>
      <c r="H8" s="4">
        <v>0.42299999999999999</v>
      </c>
      <c r="I8" s="4"/>
      <c r="J8" s="4">
        <f ca="1">[1]Summary!J9</f>
        <v>0.16055700000000001</v>
      </c>
      <c r="K8" s="4">
        <f ca="1">[1]Summary!K9</f>
        <v>4.7643499999999998E-2</v>
      </c>
    </row>
    <row r="9" spans="1:11">
      <c r="A9" s="41"/>
      <c r="B9" s="1" t="s">
        <v>17</v>
      </c>
      <c r="C9" s="42"/>
      <c r="D9" s="4">
        <f t="shared" ca="1" si="0"/>
        <v>0.14686100692219908</v>
      </c>
      <c r="E9" s="4"/>
      <c r="F9" s="4">
        <v>0.14199999999999999</v>
      </c>
      <c r="G9" s="4"/>
      <c r="H9" s="4">
        <v>0.17799999999999999</v>
      </c>
      <c r="I9" s="4"/>
      <c r="J9" s="4">
        <f ca="1">[1]Summary!J10</f>
        <v>0.163658</v>
      </c>
      <c r="K9" s="4">
        <f ca="1">[1]Summary!K10</f>
        <v>3.5430400000000001E-2</v>
      </c>
    </row>
    <row r="10" spans="1:11">
      <c r="A10" s="41" t="s">
        <v>8</v>
      </c>
      <c r="B10" s="41" t="s">
        <v>9</v>
      </c>
      <c r="C10" s="8" t="s">
        <v>18</v>
      </c>
      <c r="D10" s="4">
        <f t="shared" ca="1" si="0"/>
        <v>0.30687775702770925</v>
      </c>
      <c r="E10" s="4"/>
      <c r="F10" s="4">
        <v>0.29599999999999999</v>
      </c>
      <c r="G10" s="4"/>
      <c r="H10" s="4">
        <v>0.33600000000000002</v>
      </c>
      <c r="I10" s="4"/>
      <c r="J10" s="4">
        <f ca="1">[1]Summary!J11</f>
        <v>0.29775099999999999</v>
      </c>
      <c r="K10" s="4">
        <f ca="1">[1]Summary!K11</f>
        <v>6.4536999999999997E-2</v>
      </c>
    </row>
    <row r="11" spans="1:11">
      <c r="A11" s="41"/>
      <c r="B11" s="41"/>
      <c r="C11" s="8" t="s">
        <v>19</v>
      </c>
      <c r="D11" s="4">
        <f t="shared" ca="1" si="0"/>
        <v>0.30652349908704957</v>
      </c>
      <c r="E11" s="4"/>
      <c r="F11" s="4">
        <v>0.29599999999999999</v>
      </c>
      <c r="G11" s="4"/>
      <c r="H11" s="4">
        <v>0.33600000000000002</v>
      </c>
      <c r="I11" s="4"/>
      <c r="J11" s="4">
        <f ca="1">[1]Summary!J12</f>
        <v>0.288387</v>
      </c>
      <c r="K11" s="4">
        <f ca="1">[1]Summary!K12</f>
        <v>7.3523400000000003E-2</v>
      </c>
    </row>
    <row r="12" spans="1:11">
      <c r="A12" s="41"/>
      <c r="B12" s="41"/>
      <c r="C12" s="8" t="s">
        <v>20</v>
      </c>
      <c r="D12" s="4">
        <f t="shared" ca="1" si="0"/>
        <v>0.29851589193724715</v>
      </c>
      <c r="E12" s="4"/>
      <c r="F12" s="4">
        <v>0.29599999999999999</v>
      </c>
      <c r="G12" s="4"/>
      <c r="H12" s="4">
        <v>0.33600000000000002</v>
      </c>
      <c r="I12" s="4"/>
      <c r="J12" s="4">
        <f ca="1">[1]Summary!J13</f>
        <v>7.0795200000000003E-2</v>
      </c>
      <c r="K12" s="4">
        <f ca="1">[1]Summary!K13</f>
        <v>4.8721899999999999E-2</v>
      </c>
    </row>
    <row r="13" spans="1:11">
      <c r="A13" s="41"/>
      <c r="B13" s="41"/>
      <c r="C13" s="8" t="s">
        <v>21</v>
      </c>
      <c r="D13" s="4">
        <f t="shared" ca="1" si="0"/>
        <v>0.30254053007622039</v>
      </c>
      <c r="E13" s="4"/>
      <c r="F13" s="4">
        <v>0.29599999999999999</v>
      </c>
      <c r="G13" s="4"/>
      <c r="H13" s="4">
        <v>0.33600000000000002</v>
      </c>
      <c r="I13" s="4"/>
      <c r="J13" s="4">
        <f ca="1">[1]Summary!J14</f>
        <v>0.18159700000000001</v>
      </c>
      <c r="K13" s="4">
        <f ca="1">[1]Summary!K14</f>
        <v>6.6892300000000002E-2</v>
      </c>
    </row>
    <row r="14" spans="1:11">
      <c r="A14" s="41"/>
      <c r="B14" s="41"/>
      <c r="C14" s="8" t="s">
        <v>22</v>
      </c>
      <c r="D14" s="4">
        <f t="shared" ca="1" si="0"/>
        <v>0.30443249003835771</v>
      </c>
      <c r="E14" s="4"/>
      <c r="F14" s="4">
        <v>0.29599999999999999</v>
      </c>
      <c r="G14" s="4"/>
      <c r="H14" s="4">
        <v>0.33600000000000002</v>
      </c>
      <c r="I14" s="4"/>
      <c r="J14" s="4">
        <f ca="1">[1]Summary!J15</f>
        <v>0.23267199999999999</v>
      </c>
      <c r="K14" s="4">
        <f ca="1">[1]Summary!K15</f>
        <v>8.8123599999999996E-2</v>
      </c>
    </row>
    <row r="15" spans="1:11">
      <c r="A15" s="41"/>
      <c r="B15" s="41"/>
      <c r="C15" s="8" t="s">
        <v>23</v>
      </c>
      <c r="D15" s="4">
        <f t="shared" ca="1" si="0"/>
        <v>0.30330750836126719</v>
      </c>
      <c r="E15" s="4"/>
      <c r="F15" s="4">
        <v>0.29599999999999999</v>
      </c>
      <c r="G15" s="4"/>
      <c r="H15" s="4">
        <v>0.33600000000000002</v>
      </c>
      <c r="I15" s="4"/>
      <c r="J15" s="4">
        <f ca="1">[1]Summary!J16</f>
        <v>0.202379</v>
      </c>
      <c r="K15" s="4">
        <f ca="1">[1]Summary!K16</f>
        <v>7.7282900000000002E-2</v>
      </c>
    </row>
    <row r="16" spans="1:11">
      <c r="A16" s="41"/>
      <c r="B16" s="41"/>
      <c r="C16" s="8" t="s">
        <v>24</v>
      </c>
      <c r="D16" s="4">
        <f t="shared" ca="1" si="0"/>
        <v>0.30658000290501319</v>
      </c>
      <c r="E16" s="4"/>
      <c r="F16" s="4">
        <v>0.29599999999999999</v>
      </c>
      <c r="G16" s="4"/>
      <c r="H16" s="4">
        <v>0.33600000000000002</v>
      </c>
      <c r="I16" s="4"/>
      <c r="J16" s="4">
        <f ca="1">[1]Summary!J17</f>
        <v>0.28988199999999997</v>
      </c>
      <c r="K16" s="4">
        <f ca="1">[1]Summary!K17</f>
        <v>5.1386599999999998E-2</v>
      </c>
    </row>
    <row r="17" spans="1:11">
      <c r="A17" s="41"/>
      <c r="B17" s="41"/>
      <c r="C17" s="8" t="s">
        <v>25</v>
      </c>
      <c r="D17" s="4">
        <f t="shared" ca="1" si="0"/>
        <v>0.3016490243721347</v>
      </c>
      <c r="E17" s="4"/>
      <c r="F17" s="4">
        <v>0.29599999999999999</v>
      </c>
      <c r="G17" s="4"/>
      <c r="H17" s="4">
        <v>0.33600000000000002</v>
      </c>
      <c r="I17" s="4"/>
      <c r="J17" s="4">
        <f ca="1">[1]Summary!J18</f>
        <v>0.157308</v>
      </c>
      <c r="K17" s="4">
        <f ca="1">[1]Summary!K18</f>
        <v>3.5921799999999997E-2</v>
      </c>
    </row>
  </sheetData>
  <sheetProtection sheet="1" objects="1" scenarios="1"/>
  <mergeCells count="6">
    <mergeCell ref="C2:C9"/>
    <mergeCell ref="B10:B17"/>
    <mergeCell ref="A10:A17"/>
    <mergeCell ref="A6:A7"/>
    <mergeCell ref="A8:A9"/>
    <mergeCell ref="A2:A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8"/>
  <sheetViews>
    <sheetView tabSelected="1" showRuler="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26" sqref="K26:L28"/>
    </sheetView>
  </sheetViews>
  <sheetFormatPr baseColWidth="10" defaultRowHeight="15" x14ac:dyDescent="0"/>
  <cols>
    <col min="14" max="14" width="10.83203125" customWidth="1"/>
  </cols>
  <sheetData>
    <row r="1" spans="1:47">
      <c r="A1" s="11" t="s">
        <v>29</v>
      </c>
      <c r="B1" s="11" t="s">
        <v>1</v>
      </c>
      <c r="C1" s="11" t="s">
        <v>30</v>
      </c>
      <c r="D1" s="11" t="s">
        <v>31</v>
      </c>
      <c r="E1" s="11" t="s">
        <v>4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97</v>
      </c>
      <c r="L1" s="11" t="s">
        <v>4</v>
      </c>
      <c r="M1" s="11" t="s">
        <v>37</v>
      </c>
      <c r="N1" s="11" t="s">
        <v>4</v>
      </c>
      <c r="O1" s="11" t="s">
        <v>38</v>
      </c>
      <c r="P1" s="11" t="s">
        <v>35</v>
      </c>
      <c r="Q1" s="11" t="s">
        <v>36</v>
      </c>
      <c r="R1" s="11" t="s">
        <v>98</v>
      </c>
      <c r="S1" s="11"/>
      <c r="T1" s="11" t="s">
        <v>39</v>
      </c>
      <c r="U1" s="11" t="s">
        <v>4</v>
      </c>
      <c r="V1" s="11" t="s">
        <v>38</v>
      </c>
      <c r="W1" s="11" t="s">
        <v>35</v>
      </c>
      <c r="X1" s="11" t="s">
        <v>36</v>
      </c>
      <c r="Y1" s="11" t="s">
        <v>99</v>
      </c>
      <c r="Z1" s="11"/>
      <c r="AA1" s="11" t="s">
        <v>100</v>
      </c>
      <c r="AB1" s="11" t="s">
        <v>4</v>
      </c>
      <c r="AC1" s="11" t="s">
        <v>38</v>
      </c>
      <c r="AD1" s="11" t="s">
        <v>40</v>
      </c>
      <c r="AE1" s="11" t="s">
        <v>145</v>
      </c>
      <c r="AF1" s="11" t="s">
        <v>146</v>
      </c>
      <c r="AG1" s="11" t="s">
        <v>143</v>
      </c>
      <c r="AH1" s="11" t="s">
        <v>4</v>
      </c>
      <c r="AI1" s="11" t="s">
        <v>144</v>
      </c>
      <c r="AJ1" s="11" t="s">
        <v>4</v>
      </c>
      <c r="AK1" s="11" t="s">
        <v>38</v>
      </c>
      <c r="AL1" s="11"/>
      <c r="AM1" s="11" t="s">
        <v>150</v>
      </c>
      <c r="AN1" s="11" t="s">
        <v>151</v>
      </c>
      <c r="AO1" s="11" t="s">
        <v>152</v>
      </c>
      <c r="AP1" s="11" t="s">
        <v>153</v>
      </c>
      <c r="AQ1" s="11" t="s">
        <v>154</v>
      </c>
      <c r="AR1" s="11" t="s">
        <v>155</v>
      </c>
      <c r="AS1" s="11" t="s">
        <v>163</v>
      </c>
    </row>
    <row r="2" spans="1:47">
      <c r="A2" s="41" t="s">
        <v>8</v>
      </c>
      <c r="B2" s="1" t="s">
        <v>9</v>
      </c>
      <c r="C2" s="42" t="s">
        <v>10</v>
      </c>
      <c r="D2" s="3">
        <f>ReReco!U$42</f>
        <v>5.6625111171875</v>
      </c>
      <c r="E2" s="3">
        <f>ReReco!V$42</f>
        <v>0.18008369263408391</v>
      </c>
      <c r="F2" s="14">
        <v>1</v>
      </c>
      <c r="G2" s="2">
        <v>4.8</v>
      </c>
      <c r="H2" s="2">
        <v>23.5</v>
      </c>
      <c r="I2" s="3">
        <f ca="1">efficiency!D2</f>
        <v>0.35776890542712197</v>
      </c>
      <c r="J2" s="3">
        <f ca="1">acceptance!D2</f>
        <v>0.30419497645192722</v>
      </c>
      <c r="K2" s="2">
        <f ca="1">'raw yield'!D2</f>
        <v>396.46899999999999</v>
      </c>
      <c r="L2" s="2">
        <f ca="1">'raw yield'!E2</f>
        <v>23.965599999999998</v>
      </c>
      <c r="M2" s="15">
        <f ca="1">K2/($D2*$F2*$G2*I2*J2*$B$21)</f>
        <v>2.4064824348580292</v>
      </c>
      <c r="N2" s="2">
        <f ca="1">L2/K2*M2</f>
        <v>0.14546609051611495</v>
      </c>
      <c r="O2" s="2">
        <f ca="1">'final systematics'!$K4*M2</f>
        <v>0.37061541055050562</v>
      </c>
      <c r="P2" s="3">
        <f>efficiency!F2</f>
        <v>0.38300000000000001</v>
      </c>
      <c r="Q2" s="3">
        <f>acceptance!F2</f>
        <v>0.29599999999999999</v>
      </c>
      <c r="R2" s="2">
        <f ca="1">'raw yield'!F2</f>
        <v>306.75</v>
      </c>
      <c r="S2" s="2">
        <f ca="1">'raw yield'!G2</f>
        <v>22.272500000000001</v>
      </c>
      <c r="T2" s="15">
        <f ca="1">R2/($D2*$F2*$G2*P2*Q2*$B$21)</f>
        <v>1.7874017427702928</v>
      </c>
      <c r="U2" s="2">
        <f ca="1">S2/R2*T2</f>
        <v>0.12977964243146325</v>
      </c>
      <c r="V2" s="2">
        <f ca="1">'final systematics'!$K4*T2</f>
        <v>0.2752725808923604</v>
      </c>
      <c r="W2" s="3">
        <f>efficiency!H2</f>
        <v>0.29199999999999998</v>
      </c>
      <c r="X2" s="3">
        <f>acceptance!H2</f>
        <v>0.33600000000000002</v>
      </c>
      <c r="Y2" s="2">
        <f ca="1">'raw yield'!H2</f>
        <v>89.719099999999997</v>
      </c>
      <c r="Z2" s="2">
        <f ca="1">'raw yield'!I2</f>
        <v>13.478199999999999</v>
      </c>
      <c r="AA2" s="30">
        <f ca="1">Y2/($D2*$F2*$G2*W2*X2*$B$21)</f>
        <v>0.6040750106570455</v>
      </c>
      <c r="AB2" s="2">
        <f ca="1">Z2/Y2*AA2</f>
        <v>9.074816631729242E-2</v>
      </c>
      <c r="AC2" s="2">
        <f ca="1">'final systematics'!$K$22*AA2</f>
        <v>9.325684954242916E-2</v>
      </c>
      <c r="AD2" s="4">
        <f ca="1">K2-R2-Y2</f>
        <v>-1.0000000000331966E-4</v>
      </c>
      <c r="AE2" s="3">
        <f ca="1">W2/I2</f>
        <v>0.81616930809399479</v>
      </c>
      <c r="AF2" s="3">
        <f ca="1">X2/J2</f>
        <v>1.1045547297297298</v>
      </c>
      <c r="AG2" s="4">
        <f ca="1">'raw yield'!J2</f>
        <v>0.226295</v>
      </c>
      <c r="AH2" s="4">
        <f ca="1">'raw yield'!K2</f>
        <v>3.1122199999999999E-2</v>
      </c>
      <c r="AI2" s="31">
        <f ca="1">AG2/(AE2*AF2)</f>
        <v>0.25101949958964476</v>
      </c>
      <c r="AJ2" s="4">
        <f ca="1">AH2/AG2*AI2</f>
        <v>3.4522543892391976E-2</v>
      </c>
      <c r="AK2" s="4">
        <f ca="1">SQRT(POWER(AP2*AM2,2)+POWER(AQ2*AN2,2)+POWER(AR2*AO2,2))</f>
        <v>8.4375528661366078E-3</v>
      </c>
      <c r="AL2" s="33">
        <f ca="1">AK2/AI2</f>
        <v>3.3613137146436572E-2</v>
      </c>
      <c r="AM2" s="4">
        <f>'[3]syst efficiency'!$X4</f>
        <v>6.763874629234343E-3</v>
      </c>
      <c r="AN2" s="4">
        <f>'[3]syst efficiency'!$X22</f>
        <v>6.442049363362564E-3</v>
      </c>
      <c r="AO2" s="4">
        <f ca="1">[1]Summary!$J165</f>
        <v>1.6883993688021285E-3</v>
      </c>
      <c r="AP2">
        <f ca="1">-1/W2*(1-1/AG2)*POWER(AI2,2)</f>
        <v>0.73778957213462748</v>
      </c>
      <c r="AQ2">
        <f ca="1">-(1-1/AG2)*P2/POWER(W2,2)*POWER(AI2,2)</f>
        <v>0.96771714427247368</v>
      </c>
      <c r="AR2">
        <f ca="1">P2/W2*1/POWER(AG2,2)*POWER(AI2,2)</f>
        <v>1.6139159916271923</v>
      </c>
      <c r="AS2" s="30">
        <f ca="1">1/AI2-1</f>
        <v>2.9837542566802755</v>
      </c>
      <c r="AT2" s="3">
        <f ca="1">AJ2/AI2*AS2</f>
        <v>0.41035372733491626</v>
      </c>
      <c r="AU2" s="3">
        <f ca="1">AK2/AI2*AS2</f>
        <v>0.10029334104105801</v>
      </c>
    </row>
    <row r="3" spans="1:47">
      <c r="A3" s="41"/>
      <c r="B3" s="1" t="s">
        <v>11</v>
      </c>
      <c r="C3" s="42"/>
      <c r="D3" s="3">
        <f>ReReco!U$42</f>
        <v>5.6625111171875</v>
      </c>
      <c r="E3" s="3">
        <f>ReReco!V$42</f>
        <v>0.18008369263408391</v>
      </c>
      <c r="F3" s="14">
        <v>1</v>
      </c>
      <c r="G3" s="2">
        <v>4.8</v>
      </c>
      <c r="H3" s="2">
        <v>3.5</v>
      </c>
      <c r="I3" s="3">
        <f ca="1">efficiency!D3</f>
        <v>0.32703737433582158</v>
      </c>
      <c r="J3" s="3">
        <f ca="1">acceptance!D3</f>
        <v>0.25723464017168063</v>
      </c>
      <c r="K3" s="2">
        <f ca="1">'raw yield'!D3</f>
        <v>260.846</v>
      </c>
      <c r="L3" s="2">
        <f ca="1">'raw yield'!E3</f>
        <v>19.561399999999999</v>
      </c>
      <c r="M3" s="38">
        <f ca="1">K3/($D3*$F3*$G3*I3*J3*$B$21)</f>
        <v>2.048261645607758</v>
      </c>
      <c r="N3" s="2">
        <f t="shared" ref="N3:N17" ca="1" si="0">L3/K3*M3</f>
        <v>0.15360352604368704</v>
      </c>
      <c r="O3" s="2">
        <f ca="1">'final systematics'!$K5*M3</f>
        <v>0.32057423639613186</v>
      </c>
      <c r="P3" s="3">
        <f>efficiency!F3</f>
        <v>0.34699999999999998</v>
      </c>
      <c r="Q3" s="3">
        <f>acceptance!F3</f>
        <v>0.254</v>
      </c>
      <c r="R3" s="2">
        <f ca="1">'raw yield'!F3</f>
        <v>208.55799999999999</v>
      </c>
      <c r="S3" s="2">
        <f ca="1">'raw yield'!G3</f>
        <v>18.416599999999999</v>
      </c>
      <c r="T3" s="38">
        <f t="shared" ref="T3:T17" ca="1" si="1">R3/($D3*$F3*$G3*P3*Q3*$B$21)</f>
        <v>1.5631179586174138</v>
      </c>
      <c r="U3" s="2">
        <f t="shared" ref="U3:U17" ca="1" si="2">S3/R3*T3</f>
        <v>0.13803027549493888</v>
      </c>
      <c r="V3" s="2">
        <f ca="1">'final systematics'!$K5*T3</f>
        <v>0.24464420698175665</v>
      </c>
      <c r="W3" s="3">
        <f>efficiency!H3</f>
        <v>0.26600000000000001</v>
      </c>
      <c r="X3" s="3">
        <f>acceptance!H3</f>
        <v>0.27100000000000002</v>
      </c>
      <c r="Y3" s="2">
        <f ca="1">'raw yield'!H3</f>
        <v>52.287999999999997</v>
      </c>
      <c r="Z3" s="2">
        <f ca="1">'raw yield'!I3</f>
        <v>10.4848</v>
      </c>
      <c r="AA3" s="3">
        <f t="shared" ref="AA3:AA16" ca="1" si="3">Y3/($D3*$F3*$G3*W3*X3*$B$21)</f>
        <v>0.47915849668790361</v>
      </c>
      <c r="AB3" s="2">
        <f t="shared" ref="AB3:AB17" ca="1" si="4">Z3/Y3*AA3</f>
        <v>9.6080955593507725E-2</v>
      </c>
      <c r="AC3" s="2"/>
      <c r="AD3" s="4">
        <f t="shared" ref="AD3:AD17" ca="1" si="5">K3-R3-Y3</f>
        <v>0</v>
      </c>
      <c r="AE3" s="3">
        <f t="shared" ref="AE3:AE17" ca="1" si="6">W3/I3</f>
        <v>0.81336269452449572</v>
      </c>
      <c r="AF3" s="3">
        <f t="shared" ref="AF3:AF17" ca="1" si="7">X3/J3</f>
        <v>1.0535128543307086</v>
      </c>
      <c r="AG3" s="4">
        <f ca="1">'raw yield'!J3</f>
        <v>0.20045499999999999</v>
      </c>
      <c r="AH3" s="4">
        <f ca="1">'raw yield'!K3</f>
        <v>3.72783E-2</v>
      </c>
      <c r="AI3" s="4">
        <f t="shared" ref="AI3:AI17" ca="1" si="8">AG3/(AE3*AF3)</f>
        <v>0.23393370824139623</v>
      </c>
      <c r="AJ3" s="4">
        <f t="shared" ref="AJ3:AJ17" ca="1" si="9">AH3/AG3*AI3</f>
        <v>4.3504282536904748E-2</v>
      </c>
      <c r="AK3" s="4">
        <f t="shared" ref="AK3:AK4" ca="1" si="10">SQRT(POWER(AP3*AM3,2)+POWER(AQ3*AN3,2)+POWER(AR3*AO3,2))</f>
        <v>1.2065360022675347E-2</v>
      </c>
      <c r="AL3" s="33">
        <f t="shared" ref="AL3:AL4" ca="1" si="11">AK3/AI3</f>
        <v>5.1575978995832016E-2</v>
      </c>
      <c r="AM3" s="4">
        <f>'[3]syst efficiency'!$X5</f>
        <v>8.4409715080670661E-3</v>
      </c>
      <c r="AN3" s="4">
        <f>'[3]syst efficiency'!$W5*W3</f>
        <v>6.4706006373078965E-3</v>
      </c>
      <c r="AO3" s="4">
        <f ca="1">[1]Summary!$J166</f>
        <v>3.9647205630229639E-3</v>
      </c>
      <c r="AP3">
        <f t="shared" ref="AP3:AP17" ca="1" si="12">-1/W3*(1-1/AG3)*POWER(AI3,2)</f>
        <v>0.82059712678888796</v>
      </c>
      <c r="AQ3">
        <f t="shared" ref="AQ3:AQ17" ca="1" si="13">-(1-1/AG3)*P3/POWER(W3,2)*POWER(AI3,2)</f>
        <v>1.0704782067509175</v>
      </c>
      <c r="AR3">
        <f t="shared" ref="AR3:AR17" ca="1" si="14">P3/W3*1/POWER(AG3,2)*POWER(AI3,2)</f>
        <v>1.7766409239536998</v>
      </c>
      <c r="AS3" s="3">
        <f t="shared" ref="AS3:AS17" ca="1" si="15">1/AI3-1</f>
        <v>3.2747152922831448</v>
      </c>
      <c r="AT3" s="3">
        <f t="shared" ref="AT3:AT17" ca="1" si="16">AJ3/AI3*AS3</f>
        <v>0.60899363488223668</v>
      </c>
      <c r="AU3" s="3">
        <f t="shared" ref="AU3:AU17" ca="1" si="17">AK3/AI3*AS3</f>
        <v>0.16889664713212538</v>
      </c>
    </row>
    <row r="4" spans="1:47">
      <c r="A4" s="41"/>
      <c r="B4" s="1" t="s">
        <v>12</v>
      </c>
      <c r="C4" s="42"/>
      <c r="D4" s="3">
        <f>ReReco!U$42</f>
        <v>5.6625111171875</v>
      </c>
      <c r="E4" s="3">
        <f>ReReco!V$42</f>
        <v>0.18008369263408391</v>
      </c>
      <c r="F4" s="14">
        <v>1</v>
      </c>
      <c r="G4" s="2">
        <v>4.8</v>
      </c>
      <c r="H4" s="2">
        <v>20</v>
      </c>
      <c r="I4" s="3">
        <f ca="1">efficiency!D4</f>
        <v>0.43744458609544812</v>
      </c>
      <c r="J4" s="3">
        <f ca="1">acceptance!D4</f>
        <v>0.51917561560046899</v>
      </c>
      <c r="K4" s="2">
        <f ca="1">'raw yield'!D4</f>
        <v>137.767</v>
      </c>
      <c r="L4" s="2">
        <f ca="1">'raw yield'!E4</f>
        <v>13.886200000000001</v>
      </c>
      <c r="M4" s="38">
        <f t="shared" ref="M4:M17" ca="1" si="18">K4/($D4*$F4*$G4*I4*J4*$B$21)</f>
        <v>0.40071533198372117</v>
      </c>
      <c r="N4" s="2">
        <f t="shared" ca="1" si="0"/>
        <v>4.0390029854699236E-2</v>
      </c>
      <c r="O4" s="2">
        <f ca="1">'final systematics'!$K6*M4</f>
        <v>6.0622474103719612E-2</v>
      </c>
      <c r="P4" s="3">
        <f>efficiency!F4</f>
        <v>0.48499999999999999</v>
      </c>
      <c r="Q4" s="3">
        <f>acceptance!F4</f>
        <v>0.51100000000000001</v>
      </c>
      <c r="R4" s="2">
        <f ca="1">'raw yield'!F4</f>
        <v>102.992</v>
      </c>
      <c r="S4" s="2">
        <f ca="1">'raw yield'!G4</f>
        <v>12.436199999999999</v>
      </c>
      <c r="T4" s="38">
        <f t="shared" ca="1" si="1"/>
        <v>0.27451681010164436</v>
      </c>
      <c r="U4" s="2">
        <f t="shared" ca="1" si="2"/>
        <v>3.3147680924596759E-2</v>
      </c>
      <c r="V4" s="2">
        <f ca="1">'final systematics'!$K6*T4</f>
        <v>4.1530450379918871E-2</v>
      </c>
      <c r="W4" s="3">
        <f>efficiency!H4</f>
        <v>0.33900000000000002</v>
      </c>
      <c r="X4" s="3">
        <f>acceptance!H4</f>
        <v>0.54500000000000004</v>
      </c>
      <c r="Y4" s="2">
        <f ca="1">'raw yield'!H4</f>
        <v>34.774999999999999</v>
      </c>
      <c r="Z4" s="2">
        <f ca="1">'raw yield'!I4</f>
        <v>7.6928000000000001</v>
      </c>
      <c r="AA4" s="3">
        <f t="shared" ca="1" si="3"/>
        <v>0.12433661188263051</v>
      </c>
      <c r="AB4" s="2">
        <f t="shared" ca="1" si="4"/>
        <v>2.750529656048023E-2</v>
      </c>
      <c r="AC4" s="2"/>
      <c r="AD4" s="4">
        <f t="shared" ca="1" si="5"/>
        <v>0</v>
      </c>
      <c r="AE4" s="3">
        <f t="shared" ca="1" si="6"/>
        <v>0.77495529896907211</v>
      </c>
      <c r="AF4" s="3">
        <f t="shared" ca="1" si="7"/>
        <v>1.0497411350293542</v>
      </c>
      <c r="AG4" s="4">
        <f ca="1">'raw yield'!J4</f>
        <v>0.25241999999999998</v>
      </c>
      <c r="AH4" s="4">
        <f ca="1">'raw yield'!K4</f>
        <v>4.9706199999999999E-2</v>
      </c>
      <c r="AI4" s="4">
        <f t="shared" ca="1" si="8"/>
        <v>0.31028793878384869</v>
      </c>
      <c r="AJ4" s="4">
        <f t="shared" ca="1" si="9"/>
        <v>6.1101475092218291E-2</v>
      </c>
      <c r="AK4" s="4">
        <f t="shared" ca="1" si="10"/>
        <v>1.5547382512735321E-2</v>
      </c>
      <c r="AL4" s="33">
        <f t="shared" ca="1" si="11"/>
        <v>5.0106306334922884E-2</v>
      </c>
      <c r="AM4" s="4">
        <f>'[3]syst efficiency'!$X6</f>
        <v>1.0012492197250396E-2</v>
      </c>
      <c r="AN4" s="4">
        <f>'[3]syst efficiency'!$W6*W4</f>
        <v>6.9984223811708959E-3</v>
      </c>
      <c r="AO4" s="4">
        <f ca="1">[1]Summary!$J167</f>
        <v>4.6226004431642927E-3</v>
      </c>
      <c r="AP4">
        <f t="shared" ca="1" si="12"/>
        <v>0.84113170342420629</v>
      </c>
      <c r="AQ4">
        <f t="shared" ca="1" si="13"/>
        <v>1.2033890152234219</v>
      </c>
      <c r="AR4">
        <f t="shared" ca="1" si="14"/>
        <v>2.161843764413979</v>
      </c>
      <c r="AS4" s="3">
        <f t="shared" ca="1" si="15"/>
        <v>2.2228129907963172</v>
      </c>
      <c r="AT4" s="3">
        <f t="shared" ca="1" si="16"/>
        <v>0.43771328374582014</v>
      </c>
      <c r="AU4" s="3">
        <f t="shared" ca="1" si="17"/>
        <v>0.11137694864208639</v>
      </c>
    </row>
    <row r="5" spans="1:47">
      <c r="A5" s="7" t="s">
        <v>13</v>
      </c>
      <c r="B5" s="1" t="s">
        <v>9</v>
      </c>
      <c r="C5" s="42"/>
      <c r="D5" s="3">
        <f>ReReco!U$42</f>
        <v>5.6625111171875</v>
      </c>
      <c r="E5" s="3">
        <f>ReReco!V$42</f>
        <v>0.18008369263408391</v>
      </c>
      <c r="F5" s="14">
        <v>1</v>
      </c>
      <c r="G5" s="2">
        <v>2.4</v>
      </c>
      <c r="H5" s="2">
        <v>23.5</v>
      </c>
      <c r="I5" s="3">
        <f ca="1">efficiency!D5</f>
        <v>0.35650859483388864</v>
      </c>
      <c r="J5" s="3">
        <f ca="1">acceptance!D5</f>
        <v>0.23374320837560311</v>
      </c>
      <c r="K5" s="2">
        <f ca="1">'raw yield'!D5</f>
        <v>174.33199999999999</v>
      </c>
      <c r="L5" s="2">
        <f ca="1">'raw yield'!E5</f>
        <v>16.419899999999998</v>
      </c>
      <c r="M5" s="28">
        <f t="shared" ca="1" si="18"/>
        <v>2.7639246145424385</v>
      </c>
      <c r="N5" s="2">
        <f t="shared" ca="1" si="0"/>
        <v>0.26032722494048932</v>
      </c>
      <c r="O5" s="2">
        <f ca="1">'final systematics'!$K7*M5</f>
        <v>0.44488961901251212</v>
      </c>
      <c r="P5" s="3">
        <f>efficiency!F5</f>
        <v>0.38100000000000001</v>
      </c>
      <c r="Q5" s="3">
        <f>acceptance!F5</f>
        <v>0.22500000000000001</v>
      </c>
      <c r="R5" s="2">
        <f ca="1">'raw yield'!F5</f>
        <v>137.244</v>
      </c>
      <c r="S5" s="2">
        <f ca="1">'raw yield'!G5</f>
        <v>15.0952</v>
      </c>
      <c r="T5" s="28">
        <f ca="1">R5/($D5*$F5*$G5*P5*Q5*$B$21)</f>
        <v>2.1151635787904728</v>
      </c>
      <c r="U5" s="2">
        <f t="shared" ca="1" si="2"/>
        <v>0.23264271847627541</v>
      </c>
      <c r="V5" s="2">
        <f ca="1">'final systematics'!$K7*T5</f>
        <v>0.34046309141937936</v>
      </c>
      <c r="W5" s="3">
        <f>efficiency!H5</f>
        <v>0.28799999999999998</v>
      </c>
      <c r="X5" s="3">
        <f>acceptance!H5</f>
        <v>0.27300000000000002</v>
      </c>
      <c r="Y5" s="2">
        <f ca="1">'raw yield'!H5</f>
        <v>37.087800000000001</v>
      </c>
      <c r="Z5" s="2">
        <f ca="1">'raw yield'!I5</f>
        <v>8.5421600000000009</v>
      </c>
      <c r="AA5" s="29">
        <f t="shared" ca="1" si="3"/>
        <v>0.62320944101364539</v>
      </c>
      <c r="AB5" s="2">
        <f t="shared" ca="1" si="4"/>
        <v>0.14353924359625325</v>
      </c>
      <c r="AC5" s="2"/>
      <c r="AD5" s="4">
        <f t="shared" ca="1" si="5"/>
        <v>1.9999999999242846E-4</v>
      </c>
      <c r="AE5" s="3">
        <f t="shared" ca="1" si="6"/>
        <v>0.80783466141732285</v>
      </c>
      <c r="AF5" s="3">
        <f t="shared" ca="1" si="7"/>
        <v>1.1679483733333333</v>
      </c>
      <c r="AG5" s="4">
        <f ca="1">'raw yield'!J5</f>
        <v>0.21274199999999999</v>
      </c>
      <c r="AH5" s="4">
        <f ca="1">'raw yield'!K5</f>
        <v>4.4714999999999998E-2</v>
      </c>
      <c r="AI5" s="32">
        <f t="shared" ca="1" si="8"/>
        <v>0.22547952346109248</v>
      </c>
      <c r="AJ5" s="4">
        <f t="shared" ca="1" si="9"/>
        <v>4.7392225754964934E-2</v>
      </c>
      <c r="AK5" s="4"/>
      <c r="AL5" s="33"/>
      <c r="AM5" s="4">
        <f>'[3]syst efficiency'!$X7</f>
        <v>1.0535653752852741E-2</v>
      </c>
      <c r="AN5" s="4"/>
      <c r="AO5" s="4">
        <f ca="1">[1]Summary!$J168</f>
        <v>1.4551214092694432E-2</v>
      </c>
      <c r="AP5">
        <f t="shared" ca="1" si="12"/>
        <v>0.65325925855236855</v>
      </c>
      <c r="AQ5">
        <f t="shared" ca="1" si="13"/>
        <v>0.86420756079323757</v>
      </c>
      <c r="AR5">
        <f t="shared" ca="1" si="14"/>
        <v>1.4860732918933734</v>
      </c>
      <c r="AS5" s="29">
        <f t="shared" ca="1" si="15"/>
        <v>3.4349925201636085</v>
      </c>
      <c r="AT5" s="3">
        <f t="shared" ca="1" si="16"/>
        <v>0.72198104059901547</v>
      </c>
      <c r="AU5" s="3"/>
    </row>
    <row r="6" spans="1:47">
      <c r="A6" s="41" t="s">
        <v>14</v>
      </c>
      <c r="B6" s="1" t="s">
        <v>9</v>
      </c>
      <c r="C6" s="42"/>
      <c r="D6" s="3">
        <f>ReReco!U$42</f>
        <v>5.6625111171875</v>
      </c>
      <c r="E6" s="3">
        <f>ReReco!V$42</f>
        <v>0.18008369263408391</v>
      </c>
      <c r="F6" s="14">
        <v>1</v>
      </c>
      <c r="G6" s="2">
        <v>0.8</v>
      </c>
      <c r="H6" s="2">
        <v>23.5</v>
      </c>
      <c r="I6" s="3">
        <f ca="1">efficiency!D6</f>
        <v>0.38450876325644578</v>
      </c>
      <c r="J6" s="3">
        <f ca="1">acceptance!D6</f>
        <v>0.40712969243988301</v>
      </c>
      <c r="K6" s="2">
        <f ca="1">'raw yield'!D6</f>
        <v>90.325299999999999</v>
      </c>
      <c r="L6" s="2">
        <f ca="1">'raw yield'!E6</f>
        <v>11.1724</v>
      </c>
      <c r="M6" s="28">
        <f t="shared" ca="1" si="18"/>
        <v>2.2869134801909525</v>
      </c>
      <c r="N6" s="2">
        <f t="shared" ca="1" si="0"/>
        <v>0.28286993971883179</v>
      </c>
      <c r="O6" s="2">
        <f ca="1">'final systematics'!$K8*M6</f>
        <v>0.35172718854938034</v>
      </c>
      <c r="P6" s="3">
        <f>efficiency!F6</f>
        <v>0.41599999999999998</v>
      </c>
      <c r="Q6" s="3">
        <f>acceptance!F6</f>
        <v>0.4</v>
      </c>
      <c r="R6" s="2">
        <f ca="1">'raw yield'!F6</f>
        <v>71.643100000000004</v>
      </c>
      <c r="S6" s="2">
        <f ca="1">'raw yield'!G6</f>
        <v>10.733499999999999</v>
      </c>
      <c r="T6" s="28">
        <f t="shared" ca="1" si="1"/>
        <v>1.7064768012712961</v>
      </c>
      <c r="U6" s="2">
        <f t="shared" ca="1" si="2"/>
        <v>0.25566270508179367</v>
      </c>
      <c r="V6" s="2">
        <f ca="1">'final systematics'!$K8*T6</f>
        <v>0.26245605390623522</v>
      </c>
      <c r="W6" s="3">
        <f>efficiency!H6</f>
        <v>0.29799999999999999</v>
      </c>
      <c r="X6" s="3">
        <f>acceptance!H6</f>
        <v>0.437</v>
      </c>
      <c r="Y6" s="2">
        <f ca="1">'raw yield'!H6</f>
        <v>18.682200000000002</v>
      </c>
      <c r="Z6" s="2">
        <f ca="1">'raw yield'!I6</f>
        <v>6.4822699999999998</v>
      </c>
      <c r="AA6" s="29">
        <f t="shared" ca="1" si="3"/>
        <v>0.56860366815668562</v>
      </c>
      <c r="AB6" s="2">
        <f t="shared" ca="1" si="4"/>
        <v>0.19729167335656603</v>
      </c>
      <c r="AC6" s="2"/>
      <c r="AD6" s="4">
        <f t="shared" ca="1" si="5"/>
        <v>0</v>
      </c>
      <c r="AE6" s="3">
        <f t="shared" ca="1" si="6"/>
        <v>0.77501484615384619</v>
      </c>
      <c r="AF6" s="3">
        <f t="shared" ca="1" si="7"/>
        <v>1.0733680399999999</v>
      </c>
      <c r="AG6" s="4">
        <f ca="1">'raw yield'!J6</f>
        <v>0.20683199999999999</v>
      </c>
      <c r="AH6" s="4">
        <f ca="1">'raw yield'!K6</f>
        <v>6.7050999999999999E-2</v>
      </c>
      <c r="AI6" s="32">
        <f t="shared" ca="1" si="8"/>
        <v>0.24863316002704808</v>
      </c>
      <c r="AJ6" s="4">
        <f t="shared" ca="1" si="9"/>
        <v>8.0602140930676108E-2</v>
      </c>
      <c r="AK6" s="4"/>
      <c r="AL6" s="33"/>
      <c r="AM6" s="4">
        <f>'[3]syst efficiency'!$X8</f>
        <v>1.3181426326464067E-2</v>
      </c>
      <c r="AN6" s="4"/>
      <c r="AO6" s="4">
        <f ca="1">[1]Summary!$J169</f>
        <v>2.3708104400936847E-3</v>
      </c>
      <c r="AP6">
        <f t="shared" ca="1" si="12"/>
        <v>0.79551667672381654</v>
      </c>
      <c r="AQ6">
        <f t="shared" ca="1" si="13"/>
        <v>1.1105199245540525</v>
      </c>
      <c r="AR6">
        <f t="shared" ca="1" si="14"/>
        <v>2.0172499020433947</v>
      </c>
      <c r="AS6" s="29">
        <f t="shared" ca="1" si="15"/>
        <v>3.0219896649795741</v>
      </c>
      <c r="AT6" s="3">
        <f t="shared" ca="1" si="16"/>
        <v>0.97967156448975701</v>
      </c>
      <c r="AU6" s="3"/>
    </row>
    <row r="7" spans="1:47">
      <c r="A7" s="41"/>
      <c r="B7" s="1" t="s">
        <v>15</v>
      </c>
      <c r="C7" s="42"/>
      <c r="D7" s="3">
        <f>ReReco!U$42</f>
        <v>5.6625111171875</v>
      </c>
      <c r="E7" s="3">
        <f>ReReco!V$42</f>
        <v>0.18008369263408391</v>
      </c>
      <c r="F7" s="14">
        <v>1</v>
      </c>
      <c r="G7" s="2">
        <v>0.8</v>
      </c>
      <c r="H7" s="2">
        <v>24.5</v>
      </c>
      <c r="I7" s="3">
        <f ca="1">efficiency!D7</f>
        <v>0.35948229727802017</v>
      </c>
      <c r="J7" s="3">
        <f ca="1">acceptance!D7</f>
        <v>0.31848921652776629</v>
      </c>
      <c r="K7" s="2">
        <f ca="1">'raw yield'!D7</f>
        <v>103.078</v>
      </c>
      <c r="L7" s="2">
        <f ca="1">'raw yield'!E7</f>
        <v>13.0311</v>
      </c>
      <c r="M7" s="2">
        <f t="shared" ca="1" si="18"/>
        <v>3.5683963265415226</v>
      </c>
      <c r="N7" s="2">
        <f t="shared" ca="1" si="0"/>
        <v>0.45111594492321577</v>
      </c>
      <c r="O7" s="2">
        <f ca="1">'final systematics'!$K9*M7</f>
        <v>0.5751120631782628</v>
      </c>
      <c r="P7" s="3">
        <f>efficiency!F7</f>
        <v>0.377</v>
      </c>
      <c r="Q7" s="3">
        <f>acceptance!F7</f>
        <v>0.313</v>
      </c>
      <c r="R7" s="2">
        <f ca="1">'raw yield'!F7</f>
        <v>87.739199999999997</v>
      </c>
      <c r="S7" s="2">
        <f ca="1">'raw yield'!G7</f>
        <v>13.145099999999999</v>
      </c>
      <c r="T7" s="2">
        <f t="shared" ca="1" si="1"/>
        <v>2.9470487739666216</v>
      </c>
      <c r="U7" s="2">
        <f t="shared" ca="1" si="2"/>
        <v>0.44152728585020878</v>
      </c>
      <c r="V7" s="2">
        <f ca="1">'final systematics'!$K9*T7</f>
        <v>0.47497058778938628</v>
      </c>
      <c r="W7" s="3">
        <f>efficiency!H7</f>
        <v>0.28399999999999997</v>
      </c>
      <c r="X7" s="3">
        <f>acceptance!H7</f>
        <v>0.35399999999999998</v>
      </c>
      <c r="Y7" s="2">
        <f ca="1">'raw yield'!H7</f>
        <v>15.3393</v>
      </c>
      <c r="Z7" s="2">
        <f ca="1">'raw yield'!I7</f>
        <v>7.3159000000000001</v>
      </c>
      <c r="AA7" s="3">
        <f t="shared" ca="1" si="3"/>
        <v>0.60473245941927056</v>
      </c>
      <c r="AB7" s="2">
        <f t="shared" ca="1" si="4"/>
        <v>0.28842008434970579</v>
      </c>
      <c r="AC7" s="2"/>
      <c r="AD7" s="4">
        <f t="shared" ca="1" si="5"/>
        <v>-4.9999999999350564E-4</v>
      </c>
      <c r="AE7" s="3">
        <f t="shared" ca="1" si="6"/>
        <v>0.79002499469496013</v>
      </c>
      <c r="AF7" s="3">
        <f t="shared" ca="1" si="7"/>
        <v>1.1114976006389774</v>
      </c>
      <c r="AG7" s="4">
        <f ca="1">'raw yield'!J7</f>
        <v>0.148811</v>
      </c>
      <c r="AH7" s="4">
        <f ca="1">'raw yield'!K7</f>
        <v>6.8435399999999993E-2</v>
      </c>
      <c r="AI7" s="4">
        <f t="shared" ca="1" si="8"/>
        <v>0.16946720780297897</v>
      </c>
      <c r="AJ7" s="4">
        <f t="shared" ca="1" si="9"/>
        <v>7.7934804234095503E-2</v>
      </c>
      <c r="AK7" s="4"/>
      <c r="AL7" s="33"/>
      <c r="AM7" s="4">
        <f>'[3]syst efficiency'!$X9</f>
        <v>1.2349089035228472E-2</v>
      </c>
      <c r="AN7" s="4"/>
      <c r="AO7" s="4">
        <f ca="1">[1]Summary!$J170</f>
        <v>4.0553966487350442E-2</v>
      </c>
      <c r="AP7">
        <f t="shared" ca="1" si="12"/>
        <v>0.57842089785224005</v>
      </c>
      <c r="AQ7">
        <f t="shared" ca="1" si="13"/>
        <v>0.76783337496582582</v>
      </c>
      <c r="AR7">
        <f t="shared" ca="1" si="14"/>
        <v>1.721568421213336</v>
      </c>
      <c r="AS7" s="3">
        <f t="shared" ca="1" si="15"/>
        <v>4.9008466178459189</v>
      </c>
      <c r="AT7" s="3">
        <f t="shared" ca="1" si="16"/>
        <v>2.253807841026084</v>
      </c>
      <c r="AU7" s="3"/>
    </row>
    <row r="8" spans="1:47">
      <c r="A8" s="41" t="s">
        <v>16</v>
      </c>
      <c r="B8" s="1" t="s">
        <v>9</v>
      </c>
      <c r="C8" s="42"/>
      <c r="D8" s="3">
        <f>ReReco!U$42</f>
        <v>5.6625111171875</v>
      </c>
      <c r="E8" s="3">
        <f>ReReco!V$42</f>
        <v>0.18008369263408391</v>
      </c>
      <c r="F8" s="14">
        <v>1</v>
      </c>
      <c r="G8" s="2">
        <v>1.6</v>
      </c>
      <c r="H8" s="2">
        <v>23.5</v>
      </c>
      <c r="I8" s="3">
        <f ca="1">efficiency!D8</f>
        <v>0.34936110171581763</v>
      </c>
      <c r="J8" s="3">
        <f ca="1">acceptance!D8</f>
        <v>0.38282955159052445</v>
      </c>
      <c r="K8" s="2">
        <f ca="1">'raw yield'!D8</f>
        <v>149.86600000000001</v>
      </c>
      <c r="L8" s="2">
        <f ca="1">'raw yield'!E8</f>
        <v>14.499000000000001</v>
      </c>
      <c r="M8" s="28">
        <f t="shared" ca="1" si="18"/>
        <v>2.2206108535033273</v>
      </c>
      <c r="N8" s="2">
        <f t="shared" ca="1" si="0"/>
        <v>0.21483616540739553</v>
      </c>
      <c r="O8" s="2">
        <f ca="1">'final systematics'!$K10*M8</f>
        <v>0.34234662864951559</v>
      </c>
      <c r="P8" s="3">
        <f>efficiency!F8</f>
        <v>0.36299999999999999</v>
      </c>
      <c r="Q8" s="3">
        <f>acceptance!F8</f>
        <v>0.376</v>
      </c>
      <c r="R8" s="2">
        <f ca="1">'raw yield'!F8</f>
        <v>125.804</v>
      </c>
      <c r="S8" s="2">
        <f ca="1">'raw yield'!G8</f>
        <v>14.110900000000001</v>
      </c>
      <c r="T8" s="28">
        <f t="shared" ca="1" si="1"/>
        <v>1.8266246974619926</v>
      </c>
      <c r="U8" s="2">
        <f t="shared" ca="1" si="2"/>
        <v>0.20488472897059259</v>
      </c>
      <c r="V8" s="2">
        <f ca="1">'final systematics'!$K10*T8</f>
        <v>0.28160666061660206</v>
      </c>
      <c r="W8" s="3">
        <f>efficiency!H8</f>
        <v>0.29199999999999998</v>
      </c>
      <c r="X8" s="3">
        <f>acceptance!H8</f>
        <v>0.42299999999999999</v>
      </c>
      <c r="Y8" s="2">
        <f ca="1">'raw yield'!H8</f>
        <v>24.061900000000001</v>
      </c>
      <c r="Z8" s="2">
        <f ca="1">'raw yield'!I8</f>
        <v>7.5100300000000004</v>
      </c>
      <c r="AA8" s="29">
        <f t="shared" ca="1" si="3"/>
        <v>0.38606110031790752</v>
      </c>
      <c r="AB8" s="2">
        <f t="shared" ca="1" si="4"/>
        <v>0.12049465940846298</v>
      </c>
      <c r="AC8" s="2">
        <f ca="1">'final systematics'!$K$23*AA8</f>
        <v>6.1014920081466674E-2</v>
      </c>
      <c r="AD8" s="4">
        <f t="shared" ca="1" si="5"/>
        <v>1.0000000001042508E-4</v>
      </c>
      <c r="AE8" s="3">
        <f t="shared" ca="1" si="6"/>
        <v>0.83581142424242427</v>
      </c>
      <c r="AF8" s="3">
        <f t="shared" ca="1" si="7"/>
        <v>1.1049303749999999</v>
      </c>
      <c r="AG8" s="4">
        <f ca="1">'raw yield'!J8</f>
        <v>0.16055700000000001</v>
      </c>
      <c r="AH8" s="4">
        <f ca="1">'raw yield'!K8</f>
        <v>4.7643499999999998E-2</v>
      </c>
      <c r="AI8" s="32">
        <f t="shared" ca="1" si="8"/>
        <v>0.17385453715320812</v>
      </c>
      <c r="AJ8" s="4">
        <f t="shared" ca="1" si="9"/>
        <v>5.1589395920818591E-2</v>
      </c>
      <c r="AK8" s="4">
        <f t="shared" ref="AK8:AK17" ca="1" si="19">SQRT(POWER(AP8*AM8,2)+POWER(AQ8*AN8,2)+POWER(AR8*AO8,2))</f>
        <v>1.1865068595682135E-2</v>
      </c>
      <c r="AL8" s="33">
        <f t="shared" ref="AL8:AL17" ca="1" si="20">AK8/AI8</f>
        <v>6.8247103526703615E-2</v>
      </c>
      <c r="AM8" s="4">
        <f>'[3]syst efficiency'!$X10</f>
        <v>1.2062338081814819E-2</v>
      </c>
      <c r="AN8" s="6">
        <f>'[3]syst efficiency'!$X23</f>
        <v>1.2124355652982142E-2</v>
      </c>
      <c r="AO8" s="4">
        <f ca="1">[1]Summary!$J171</f>
        <v>3.8582589337679287E-3</v>
      </c>
      <c r="AP8">
        <f t="shared" ca="1" si="12"/>
        <v>0.5411917580140273</v>
      </c>
      <c r="AQ8">
        <f t="shared" ca="1" si="13"/>
        <v>0.67278290465442436</v>
      </c>
      <c r="AR8">
        <f t="shared" ca="1" si="14"/>
        <v>1.4575965855226369</v>
      </c>
      <c r="AS8" s="29">
        <f t="shared" ca="1" si="15"/>
        <v>4.751935016333551</v>
      </c>
      <c r="AT8" s="3">
        <f t="shared" ca="1" si="16"/>
        <v>1.4100837456522453</v>
      </c>
      <c r="AU8" s="3">
        <f t="shared" ca="1" si="17"/>
        <v>0.32430580101188389</v>
      </c>
    </row>
    <row r="9" spans="1:47">
      <c r="A9" s="41"/>
      <c r="B9" s="1" t="s">
        <v>17</v>
      </c>
      <c r="C9" s="42"/>
      <c r="D9" s="3">
        <f>ReReco!U$42</f>
        <v>5.6625111171875</v>
      </c>
      <c r="E9" s="3">
        <f>ReReco!V$42</f>
        <v>0.18008369263408391</v>
      </c>
      <c r="F9" s="14">
        <v>1</v>
      </c>
      <c r="G9" s="2">
        <v>1.6</v>
      </c>
      <c r="H9" s="2">
        <v>27</v>
      </c>
      <c r="I9" s="3">
        <f ca="1">efficiency!D9</f>
        <v>0.28433384067187378</v>
      </c>
      <c r="J9" s="3">
        <f ca="1">acceptance!D9</f>
        <v>0.14686100692219908</v>
      </c>
      <c r="K9" s="2">
        <f ca="1">'raw yield'!D9</f>
        <v>447.24099999999999</v>
      </c>
      <c r="L9" s="2">
        <f ca="1">'raw yield'!E9</f>
        <v>63.208599999999997</v>
      </c>
      <c r="M9" s="2">
        <f t="shared" ca="1" si="18"/>
        <v>21.225400925377929</v>
      </c>
      <c r="N9" s="2">
        <f t="shared" ca="1" si="0"/>
        <v>2.9997873113865756</v>
      </c>
      <c r="O9" s="2">
        <f ca="1">'final systematics'!$K11*M9</f>
        <v>3.3339248685723346</v>
      </c>
      <c r="P9" s="3">
        <f>efficiency!F9</f>
        <v>0.29299999999999998</v>
      </c>
      <c r="Q9" s="3">
        <f>acceptance!F9</f>
        <v>0.14199999999999999</v>
      </c>
      <c r="R9" s="2">
        <f ca="1">'raw yield'!F9</f>
        <v>374.04700000000003</v>
      </c>
      <c r="S9" s="2">
        <f ca="1">'raw yield'!G9</f>
        <v>55.187899999999999</v>
      </c>
      <c r="T9" s="2">
        <f t="shared" ca="1" si="1"/>
        <v>17.816383671194572</v>
      </c>
      <c r="U9" s="2">
        <f t="shared" ca="1" si="2"/>
        <v>2.6286771459402662</v>
      </c>
      <c r="V9" s="2">
        <f ca="1">'final systematics'!$K11*T9</f>
        <v>2.7984623140099307</v>
      </c>
      <c r="W9" s="3">
        <f>efficiency!H9</f>
        <v>0.247</v>
      </c>
      <c r="X9" s="3">
        <f>acceptance!H9</f>
        <v>0.17799999999999999</v>
      </c>
      <c r="Y9" s="2">
        <f ca="1">'raw yield'!H9</f>
        <v>73.194500000000005</v>
      </c>
      <c r="Z9" s="2">
        <f ca="1">'raw yield'!I9</f>
        <v>18.9237</v>
      </c>
      <c r="AA9" s="3">
        <f t="shared" ca="1" si="3"/>
        <v>3.299216672051775</v>
      </c>
      <c r="AB9" s="2">
        <f t="shared" ca="1" si="4"/>
        <v>0.85297920659210968</v>
      </c>
      <c r="AC9" s="2">
        <f ca="1">'final systematics'!$K$24*AA9</f>
        <v>0.68885371838375953</v>
      </c>
      <c r="AD9" s="4">
        <f t="shared" ca="1" si="5"/>
        <v>-5.0000000004501999E-4</v>
      </c>
      <c r="AE9" s="3">
        <f t="shared" ca="1" si="6"/>
        <v>0.86869716040955647</v>
      </c>
      <c r="AF9" s="3">
        <f t="shared" ca="1" si="7"/>
        <v>1.212030366197183</v>
      </c>
      <c r="AG9" s="4">
        <f ca="1">'raw yield'!J9</f>
        <v>0.163658</v>
      </c>
      <c r="AH9" s="4">
        <f ca="1">'raw yield'!K9</f>
        <v>3.5430400000000001E-2</v>
      </c>
      <c r="AI9" s="4">
        <f t="shared" ca="1" si="8"/>
        <v>0.15543733330200521</v>
      </c>
      <c r="AJ9" s="4">
        <f t="shared" ca="1" si="9"/>
        <v>3.3650703869186754E-2</v>
      </c>
      <c r="AK9" s="4">
        <f t="shared" ca="1" si="19"/>
        <v>1.9101951117651901E-2</v>
      </c>
      <c r="AL9" s="33">
        <f t="shared" ca="1" si="20"/>
        <v>0.12289165486735404</v>
      </c>
      <c r="AM9" s="4">
        <f>'[3]syst efficiency'!$X11</f>
        <v>9.1923881554251182E-3</v>
      </c>
      <c r="AN9" s="6">
        <f>'[3]syst efficiency'!$X24</f>
        <v>8.2613558209291525E-3</v>
      </c>
      <c r="AO9" s="4">
        <f ca="1">[1]Summary!$J172</f>
        <v>1.671144003797569E-2</v>
      </c>
      <c r="AP9">
        <f t="shared" ca="1" si="12"/>
        <v>0.49987381540502085</v>
      </c>
      <c r="AQ9">
        <f t="shared" ca="1" si="13"/>
        <v>0.59296772434684653</v>
      </c>
      <c r="AR9">
        <f t="shared" ca="1" si="14"/>
        <v>1.0700568752414148</v>
      </c>
      <c r="AS9" s="3">
        <f t="shared" ca="1" si="15"/>
        <v>5.4334608601207881</v>
      </c>
      <c r="AT9" s="3">
        <f t="shared" ca="1" si="16"/>
        <v>1.1762925836709699</v>
      </c>
      <c r="AU9" s="3">
        <f t="shared" ca="1" si="17"/>
        <v>0.66772699675724057</v>
      </c>
    </row>
    <row r="10" spans="1:47">
      <c r="A10" s="41" t="s">
        <v>8</v>
      </c>
      <c r="B10" s="41" t="s">
        <v>9</v>
      </c>
      <c r="C10" s="8" t="s">
        <v>18</v>
      </c>
      <c r="D10" s="3">
        <f>ReReco!U2</f>
        <v>23.185742187499997</v>
      </c>
      <c r="E10" s="3">
        <f>ReReco!V2</f>
        <v>1.1224245480741166</v>
      </c>
      <c r="F10" s="14">
        <v>0.1</v>
      </c>
      <c r="G10" s="2">
        <v>4.8</v>
      </c>
      <c r="H10" s="2">
        <v>23.5</v>
      </c>
      <c r="I10" s="3">
        <f ca="1">efficiency!D10</f>
        <v>0.33345746616362354</v>
      </c>
      <c r="J10" s="3">
        <f ca="1">acceptance!D10</f>
        <v>0.30687775702770925</v>
      </c>
      <c r="K10" s="2">
        <f ca="1">'raw yield'!D10</f>
        <v>112.855</v>
      </c>
      <c r="L10" s="2">
        <f ca="1">'raw yield'!E10</f>
        <v>12.4671</v>
      </c>
      <c r="M10" s="15">
        <f t="shared" ca="1" si="18"/>
        <v>1.7792259493891036</v>
      </c>
      <c r="N10" s="2">
        <f t="shared" ca="1" si="0"/>
        <v>0.19655121911859372</v>
      </c>
      <c r="O10" s="2">
        <f ca="1">'final systematics'!$K12*M10</f>
        <v>0.27547033185057368</v>
      </c>
      <c r="P10" s="3">
        <f>efficiency!F10</f>
        <v>0.36499999999999999</v>
      </c>
      <c r="Q10" s="3">
        <f>acceptance!F10</f>
        <v>0.29599999999999999</v>
      </c>
      <c r="R10" s="2">
        <f ca="1">'raw yield'!F10</f>
        <v>79.252200000000002</v>
      </c>
      <c r="S10" s="2">
        <f ca="1">'raw yield'!G10</f>
        <v>11.388500000000001</v>
      </c>
      <c r="T10" s="15">
        <f t="shared" ca="1" si="1"/>
        <v>1.1834309067874746</v>
      </c>
      <c r="U10" s="2">
        <f t="shared" ca="1" si="2"/>
        <v>0.17005840698364405</v>
      </c>
      <c r="V10" s="2">
        <f ca="1">'final systematics'!$K12*T10</f>
        <v>0.18322580374173553</v>
      </c>
      <c r="W10" s="3">
        <f>efficiency!H10</f>
        <v>0.27700000000000002</v>
      </c>
      <c r="X10" s="3">
        <f>acceptance!H10</f>
        <v>0.33600000000000002</v>
      </c>
      <c r="Y10" s="2">
        <f ca="1">'raw yield'!H10</f>
        <v>33.602699999999999</v>
      </c>
      <c r="Z10" s="2">
        <f ca="1">'raw yield'!I10</f>
        <v>8.1747399999999999</v>
      </c>
      <c r="AA10" s="3">
        <f t="shared" ca="1" si="3"/>
        <v>0.58246694488855122</v>
      </c>
      <c r="AB10" s="2">
        <f t="shared" ca="1" si="4"/>
        <v>0.14170039410696866</v>
      </c>
      <c r="AC10" s="2"/>
      <c r="AD10" s="4">
        <f t="shared" ca="1" si="5"/>
        <v>1.0000000000331966E-4</v>
      </c>
      <c r="AE10" s="3">
        <f t="shared" ca="1" si="6"/>
        <v>0.83069065205479453</v>
      </c>
      <c r="AF10" s="3">
        <f t="shared" ca="1" si="7"/>
        <v>1.0948985135135134</v>
      </c>
      <c r="AG10" s="4">
        <f ca="1">'raw yield'!J10</f>
        <v>0.29775099999999999</v>
      </c>
      <c r="AH10" s="4">
        <f ca="1">'raw yield'!K10</f>
        <v>6.4536999999999997E-2</v>
      </c>
      <c r="AI10" s="4">
        <f t="shared" ca="1" si="8"/>
        <v>0.32737087509056545</v>
      </c>
      <c r="AJ10" s="4">
        <f t="shared" ca="1" si="9"/>
        <v>7.0957055276791081E-2</v>
      </c>
      <c r="AK10" s="4"/>
      <c r="AL10" s="33"/>
      <c r="AM10" s="4">
        <f>'[3]syst efficiency'!$X12</f>
        <v>1.2519984025548915E-2</v>
      </c>
      <c r="AN10" s="4"/>
      <c r="AO10" s="4">
        <f ca="1">[1]Summary!$J173</f>
        <v>2.4245011333703843E-2</v>
      </c>
      <c r="AP10">
        <f t="shared" ca="1" si="12"/>
        <v>0.91251121395032198</v>
      </c>
      <c r="AQ10">
        <f t="shared" ca="1" si="13"/>
        <v>1.2024064732558393</v>
      </c>
      <c r="AR10">
        <f t="shared" ca="1" si="14"/>
        <v>1.5928934136345343</v>
      </c>
      <c r="AS10" s="3">
        <f t="shared" ca="1" si="15"/>
        <v>2.0546394810575475</v>
      </c>
      <c r="AT10" s="3">
        <f t="shared" ca="1" si="16"/>
        <v>0.44533945541412429</v>
      </c>
      <c r="AU10" s="3"/>
    </row>
    <row r="11" spans="1:47">
      <c r="A11" s="41"/>
      <c r="B11" s="41"/>
      <c r="C11" s="8" t="s">
        <v>19</v>
      </c>
      <c r="D11" s="3">
        <f>ReReco!U6</f>
        <v>14.4776953125</v>
      </c>
      <c r="E11" s="3">
        <f>ReReco!V6</f>
        <v>1.0412851798499518</v>
      </c>
      <c r="F11" s="14">
        <v>0.1</v>
      </c>
      <c r="G11" s="2">
        <v>4.8</v>
      </c>
      <c r="H11" s="2">
        <v>23.5</v>
      </c>
      <c r="I11" s="3">
        <f ca="1">efficiency!D11</f>
        <v>0.34930469169387435</v>
      </c>
      <c r="J11" s="3">
        <f ca="1">acceptance!D11</f>
        <v>0.30652349908704957</v>
      </c>
      <c r="K11" s="2">
        <f ca="1">'raw yield'!D11</f>
        <v>79.810500000000005</v>
      </c>
      <c r="L11" s="2">
        <f ca="1">'raw yield'!E11</f>
        <v>10.086</v>
      </c>
      <c r="M11" s="15">
        <f t="shared" ca="1" si="18"/>
        <v>1.9258815115124286</v>
      </c>
      <c r="N11" s="2">
        <f t="shared" ca="1" si="0"/>
        <v>0.24338202273027176</v>
      </c>
      <c r="O11" s="2">
        <f ca="1">'final systematics'!$K13*M11</f>
        <v>0.30380262924418339</v>
      </c>
      <c r="P11" s="3">
        <f>efficiency!F11</f>
        <v>0.38300000000000001</v>
      </c>
      <c r="Q11" s="3">
        <f>acceptance!F11</f>
        <v>0.29599999999999999</v>
      </c>
      <c r="R11" s="2">
        <f ca="1">'raw yield'!F11</f>
        <v>56.794199999999996</v>
      </c>
      <c r="S11" s="2">
        <f ca="1">'raw yield'!G11</f>
        <v>9.2707300000000004</v>
      </c>
      <c r="T11" s="15">
        <f t="shared" ca="1" si="1"/>
        <v>1.2943485075048455</v>
      </c>
      <c r="U11" s="2">
        <f t="shared" ca="1" si="2"/>
        <v>0.21128135512042423</v>
      </c>
      <c r="V11" s="2">
        <f ca="1">'final systematics'!$K13*T11</f>
        <v>0.20417999621869209</v>
      </c>
      <c r="W11" s="3">
        <f>efficiency!H11</f>
        <v>0.28699999999999998</v>
      </c>
      <c r="X11" s="3">
        <f>acceptance!H11</f>
        <v>0.33600000000000002</v>
      </c>
      <c r="Y11" s="2">
        <f ca="1">'raw yield'!H11</f>
        <v>23.016300000000001</v>
      </c>
      <c r="Z11" s="2">
        <f ca="1">'raw yield'!I11</f>
        <v>6.5492800000000004</v>
      </c>
      <c r="AA11" s="3">
        <f t="shared" ca="1" si="3"/>
        <v>0.61666892098992232</v>
      </c>
      <c r="AB11" s="2">
        <f t="shared" ca="1" si="4"/>
        <v>0.17547292270525144</v>
      </c>
      <c r="AC11" s="2"/>
      <c r="AD11" s="4">
        <f t="shared" ca="1" si="5"/>
        <v>0</v>
      </c>
      <c r="AE11" s="3">
        <f t="shared" ca="1" si="6"/>
        <v>0.82163225065274159</v>
      </c>
      <c r="AF11" s="3">
        <f t="shared" ca="1" si="7"/>
        <v>1.0961639189189192</v>
      </c>
      <c r="AG11" s="4">
        <f ca="1">'raw yield'!J11</f>
        <v>0.288387</v>
      </c>
      <c r="AH11" s="4">
        <f ca="1">'raw yield'!K11</f>
        <v>7.3523400000000003E-2</v>
      </c>
      <c r="AI11" s="4">
        <f t="shared" ca="1" si="8"/>
        <v>0.32020101081381902</v>
      </c>
      <c r="AJ11" s="4">
        <f t="shared" ca="1" si="9"/>
        <v>8.1634286561005673E-2</v>
      </c>
      <c r="AK11" s="4"/>
      <c r="AL11" s="33"/>
      <c r="AM11" s="4">
        <f>'[3]syst efficiency'!$X13</f>
        <v>1.2893796958227628E-2</v>
      </c>
      <c r="AN11" s="4"/>
      <c r="AO11" s="4">
        <f ca="1">[1]Summary!$J174</f>
        <v>9.6567957048761376E-3</v>
      </c>
      <c r="AP11">
        <f t="shared" ca="1" si="12"/>
        <v>0.88151903475346061</v>
      </c>
      <c r="AQ11">
        <f t="shared" ca="1" si="13"/>
        <v>1.1763825446361513</v>
      </c>
      <c r="AR11">
        <f t="shared" ca="1" si="14"/>
        <v>1.6451705093612348</v>
      </c>
      <c r="AS11" s="3">
        <f t="shared" ca="1" si="15"/>
        <v>2.1230382360705611</v>
      </c>
      <c r="AT11" s="3">
        <f t="shared" ca="1" si="16"/>
        <v>0.54126222557157666</v>
      </c>
      <c r="AU11" s="3"/>
    </row>
    <row r="12" spans="1:47">
      <c r="A12" s="41"/>
      <c r="B12" s="41"/>
      <c r="C12" s="8" t="s">
        <v>20</v>
      </c>
      <c r="D12" s="3">
        <f>ReReco!U10</f>
        <v>8.7829765625</v>
      </c>
      <c r="E12" s="3">
        <f>ReReco!V10</f>
        <v>0.72317759251451785</v>
      </c>
      <c r="F12" s="14">
        <v>0.1</v>
      </c>
      <c r="G12" s="2">
        <v>4.8</v>
      </c>
      <c r="H12" s="2">
        <v>23.5</v>
      </c>
      <c r="I12" s="3">
        <f ca="1">efficiency!D12</f>
        <v>0.38077619476208985</v>
      </c>
      <c r="J12" s="3">
        <f ca="1">acceptance!D12</f>
        <v>0.29851589193724715</v>
      </c>
      <c r="K12" s="2">
        <f ca="1">'raw yield'!D12</f>
        <v>63.361800000000002</v>
      </c>
      <c r="L12" s="2">
        <f ca="1">'raw yield'!E12</f>
        <v>8.8439399999999999</v>
      </c>
      <c r="M12" s="15">
        <f t="shared" ca="1" si="18"/>
        <v>2.3740272243534117</v>
      </c>
      <c r="N12" s="2">
        <f t="shared" ca="1" si="0"/>
        <v>0.33136297154670658</v>
      </c>
      <c r="O12" s="2">
        <f ca="1">'final systematics'!$K14*M12</f>
        <v>0.37157863686875386</v>
      </c>
      <c r="P12" s="3">
        <f>efficiency!F12</f>
        <v>0.38800000000000001</v>
      </c>
      <c r="Q12" s="3">
        <f>acceptance!F12</f>
        <v>0.29599999999999999</v>
      </c>
      <c r="R12" s="2">
        <f ca="1">'raw yield'!F12</f>
        <v>58.876100000000001</v>
      </c>
      <c r="S12" s="2">
        <f ca="1">'raw yield'!G12</f>
        <v>8.7785499999999992</v>
      </c>
      <c r="T12" s="15">
        <f t="shared" ca="1" si="1"/>
        <v>2.1832880219388127</v>
      </c>
      <c r="U12" s="2">
        <f t="shared" ca="1" si="2"/>
        <v>0.32553282342055545</v>
      </c>
      <c r="V12" s="2">
        <f ca="1">'final systematics'!$K14*T12</f>
        <v>0.34172446666227979</v>
      </c>
      <c r="W12" s="3">
        <f>efficiency!H12</f>
        <v>0.30599999999999999</v>
      </c>
      <c r="X12" s="3">
        <f>acceptance!H12</f>
        <v>0.33600000000000002</v>
      </c>
      <c r="Y12" s="2">
        <f ca="1">'raw yield'!H12</f>
        <v>4.4857199999999997</v>
      </c>
      <c r="Z12" s="2">
        <f ca="1">'raw yield'!I12</f>
        <v>3.1499600000000001</v>
      </c>
      <c r="AA12" s="3">
        <f t="shared" ca="1" si="3"/>
        <v>0.18580906243335543</v>
      </c>
      <c r="AB12" s="2">
        <f t="shared" ca="1" si="4"/>
        <v>0.13047874461682235</v>
      </c>
      <c r="AC12" s="2"/>
      <c r="AD12" s="4">
        <f t="shared" ca="1" si="5"/>
        <v>-1.9999999998354667E-5</v>
      </c>
      <c r="AE12" s="3">
        <f t="shared" ca="1" si="6"/>
        <v>0.80362166597938123</v>
      </c>
      <c r="AF12" s="3">
        <f t="shared" ca="1" si="7"/>
        <v>1.1255682162162162</v>
      </c>
      <c r="AG12" s="4">
        <f ca="1">'raw yield'!J12</f>
        <v>7.0795200000000003E-2</v>
      </c>
      <c r="AH12" s="4">
        <f ca="1">'raw yield'!K12</f>
        <v>4.8721899999999999E-2</v>
      </c>
      <c r="AI12" s="4">
        <f t="shared" ca="1" si="8"/>
        <v>7.8267300514508212E-2</v>
      </c>
      <c r="AJ12" s="4">
        <f t="shared" ca="1" si="9"/>
        <v>5.386426747770777E-2</v>
      </c>
      <c r="AK12" s="4"/>
      <c r="AL12" s="33"/>
      <c r="AM12" s="4">
        <f>'[3]syst efficiency'!$X14</f>
        <v>1.2903487900563943E-2</v>
      </c>
      <c r="AN12" s="4"/>
      <c r="AO12" s="4">
        <f ca="1">[1]Summary!$J175</f>
        <v>5.3124480520485365E-3</v>
      </c>
      <c r="AP12">
        <f t="shared" ca="1" si="12"/>
        <v>0.26275253522293351</v>
      </c>
      <c r="AQ12">
        <f t="shared" ca="1" si="13"/>
        <v>0.33316334531535363</v>
      </c>
      <c r="AR12">
        <f t="shared" ca="1" si="14"/>
        <v>1.5497562023112053</v>
      </c>
      <c r="AS12" s="3">
        <f t="shared" ca="1" si="15"/>
        <v>11.776727872639897</v>
      </c>
      <c r="AT12" s="3">
        <f t="shared" ca="1" si="16"/>
        <v>8.1048511443992499</v>
      </c>
      <c r="AU12" s="3"/>
    </row>
    <row r="13" spans="1:47">
      <c r="A13" s="41"/>
      <c r="B13" s="41"/>
      <c r="C13" s="8" t="s">
        <v>21</v>
      </c>
      <c r="D13" s="3">
        <f>ReReco!U14</f>
        <v>5.0892265625000004</v>
      </c>
      <c r="E13" s="3">
        <f>ReReco!V14</f>
        <v>0.48740498553650669</v>
      </c>
      <c r="F13" s="14">
        <v>0.1</v>
      </c>
      <c r="G13" s="2">
        <v>4.8</v>
      </c>
      <c r="H13" s="2">
        <v>23.5</v>
      </c>
      <c r="I13" s="3">
        <f ca="1">efficiency!D13</f>
        <v>0.37929489069467764</v>
      </c>
      <c r="J13" s="3">
        <f ca="1">acceptance!D13</f>
        <v>0.30254053007622039</v>
      </c>
      <c r="K13" s="2">
        <f ca="1">'raw yield'!D13</f>
        <v>58.244999999999997</v>
      </c>
      <c r="L13" s="2">
        <f ca="1">'raw yield'!E13</f>
        <v>8.2205399999999997</v>
      </c>
      <c r="M13" s="15">
        <f t="shared" ca="1" si="18"/>
        <v>3.7306410670675896</v>
      </c>
      <c r="N13" s="2">
        <f t="shared" ca="1" si="0"/>
        <v>0.52653247690740501</v>
      </c>
      <c r="O13" s="2">
        <f ca="1">'final systematics'!$K15*M13</f>
        <v>0.621846419089642</v>
      </c>
      <c r="P13" s="3">
        <f>efficiency!F13</f>
        <v>0.39800000000000002</v>
      </c>
      <c r="Q13" s="3">
        <f>acceptance!F13</f>
        <v>0.29599999999999999</v>
      </c>
      <c r="R13" s="2">
        <f ca="1">'raw yield'!F13</f>
        <v>47.667900000000003</v>
      </c>
      <c r="S13" s="2">
        <f ca="1">'raw yield'!G13</f>
        <v>7.7744499999999999</v>
      </c>
      <c r="T13" s="15">
        <f t="shared" ca="1" si="1"/>
        <v>2.9739701801142049</v>
      </c>
      <c r="U13" s="2">
        <f t="shared" ca="1" si="2"/>
        <v>0.48504302616202682</v>
      </c>
      <c r="V13" s="2">
        <f ca="1">'final systematics'!$K15*T13</f>
        <v>0.49571981697961898</v>
      </c>
      <c r="W13" s="3">
        <f>efficiency!H13</f>
        <v>0.313</v>
      </c>
      <c r="X13" s="3">
        <f>acceptance!H13</f>
        <v>0.33600000000000002</v>
      </c>
      <c r="Y13" s="2">
        <f ca="1">'raw yield'!H13</f>
        <v>10.5771</v>
      </c>
      <c r="Z13" s="2">
        <f ca="1">'raw yield'!I13</f>
        <v>4.1723400000000002</v>
      </c>
      <c r="AA13" s="3">
        <f t="shared" ca="1" si="3"/>
        <v>0.73921091088029434</v>
      </c>
      <c r="AB13" s="2">
        <f t="shared" ca="1" si="4"/>
        <v>0.29159592439348098</v>
      </c>
      <c r="AC13" s="2"/>
      <c r="AD13" s="4">
        <f t="shared" ca="1" si="5"/>
        <v>0</v>
      </c>
      <c r="AE13" s="3">
        <f t="shared" ca="1" si="6"/>
        <v>0.82521543969849231</v>
      </c>
      <c r="AF13" s="3">
        <f t="shared" ca="1" si="7"/>
        <v>1.1105950000000002</v>
      </c>
      <c r="AG13" s="4">
        <f ca="1">'raw yield'!J13</f>
        <v>0.18159700000000001</v>
      </c>
      <c r="AH13" s="4">
        <f ca="1">'raw yield'!K13</f>
        <v>6.6892300000000002E-2</v>
      </c>
      <c r="AI13" s="4">
        <f t="shared" ca="1" si="8"/>
        <v>0.19814613740776915</v>
      </c>
      <c r="AJ13" s="4">
        <f t="shared" ca="1" si="9"/>
        <v>7.2988270000725317E-2</v>
      </c>
      <c r="AK13" s="4"/>
      <c r="AL13" s="33"/>
      <c r="AM13" s="4">
        <f>'[3]syst efficiency'!$X15</f>
        <v>1.2718097341976908E-2</v>
      </c>
      <c r="AN13" s="4"/>
      <c r="AO13" s="4">
        <f ca="1">[1]Summary!$J176</f>
        <v>5.6123304810543314E-3</v>
      </c>
      <c r="AP13">
        <f t="shared" ca="1" si="12"/>
        <v>0.5653083847254855</v>
      </c>
      <c r="AQ13">
        <f t="shared" ca="1" si="13"/>
        <v>0.71882663616850873</v>
      </c>
      <c r="AR13">
        <f t="shared" ca="1" si="14"/>
        <v>1.5138840618048099</v>
      </c>
      <c r="AS13" s="3">
        <f t="shared" ca="1" si="15"/>
        <v>4.0467801849807383</v>
      </c>
      <c r="AT13" s="3">
        <f t="shared" ca="1" si="16"/>
        <v>1.4906547694498644</v>
      </c>
      <c r="AU13" s="3"/>
    </row>
    <row r="14" spans="1:47">
      <c r="A14" s="41"/>
      <c r="B14" s="41"/>
      <c r="C14" s="8" t="s">
        <v>22</v>
      </c>
      <c r="D14" s="3">
        <f>ReReco!U18</f>
        <v>2.7483554687499998</v>
      </c>
      <c r="E14" s="3">
        <f>ReReco!V18</f>
        <v>0.30911282911454752</v>
      </c>
      <c r="F14" s="14">
        <v>0.1</v>
      </c>
      <c r="G14" s="2">
        <v>4.8</v>
      </c>
      <c r="H14" s="2">
        <v>23.5</v>
      </c>
      <c r="I14" s="3">
        <f ca="1">efficiency!D14</f>
        <v>0.38683199757714959</v>
      </c>
      <c r="J14" s="3">
        <f ca="1">acceptance!D14</f>
        <v>0.30443249003835771</v>
      </c>
      <c r="K14" s="2">
        <f ca="1">'raw yield'!D14</f>
        <v>45.228099999999998</v>
      </c>
      <c r="L14" s="2">
        <f ca="1">'raw yield'!E14</f>
        <v>7.0477100000000004</v>
      </c>
      <c r="M14" s="15">
        <f t="shared" ca="1" si="18"/>
        <v>5.2270807419410898</v>
      </c>
      <c r="N14" s="2">
        <f t="shared" ca="1" si="0"/>
        <v>0.81451463173968486</v>
      </c>
      <c r="O14" s="2">
        <f ca="1">'final systematics'!$K16*M14</f>
        <v>0.93211653883601819</v>
      </c>
      <c r="P14" s="3">
        <f>efficiency!F14</f>
        <v>0.41099999999999998</v>
      </c>
      <c r="Q14" s="3">
        <f>acceptance!F14</f>
        <v>0.29599999999999999</v>
      </c>
      <c r="R14" s="2">
        <f ca="1">'raw yield'!F14</f>
        <v>34.704799999999999</v>
      </c>
      <c r="S14" s="2">
        <f ca="1">'raw yield'!G14</f>
        <v>6.7179500000000001</v>
      </c>
      <c r="T14" s="15">
        <f t="shared" ca="1" si="1"/>
        <v>3.8825787054075271</v>
      </c>
      <c r="U14" s="2">
        <f t="shared" ca="1" si="2"/>
        <v>0.75156663095573228</v>
      </c>
      <c r="V14" s="2">
        <f ca="1">'final systematics'!$K16*T14</f>
        <v>0.69235889080583857</v>
      </c>
      <c r="W14" s="3">
        <f>efficiency!H14</f>
        <v>0.32400000000000001</v>
      </c>
      <c r="X14" s="3">
        <f>acceptance!H14</f>
        <v>0.33600000000000002</v>
      </c>
      <c r="Y14" s="2">
        <f ca="1">'raw yield'!H14</f>
        <v>10.523300000000001</v>
      </c>
      <c r="Z14" s="2">
        <f ca="1">'raw yield'!I14</f>
        <v>4.3098099999999997</v>
      </c>
      <c r="AA14" s="3">
        <f t="shared" ca="1" si="3"/>
        <v>1.3156243991075602</v>
      </c>
      <c r="AB14" s="2">
        <f t="shared" ca="1" si="4"/>
        <v>0.53881303312817774</v>
      </c>
      <c r="AC14" s="2"/>
      <c r="AD14" s="4">
        <f t="shared" ca="1" si="5"/>
        <v>0</v>
      </c>
      <c r="AE14" s="3">
        <f t="shared" ca="1" si="6"/>
        <v>0.83757290510948901</v>
      </c>
      <c r="AF14" s="3">
        <f t="shared" ca="1" si="7"/>
        <v>1.103692972972973</v>
      </c>
      <c r="AG14" s="4">
        <f ca="1">'raw yield'!J14</f>
        <v>0.23267199999999999</v>
      </c>
      <c r="AH14" s="4">
        <f ca="1">'raw yield'!K14</f>
        <v>8.8123599999999996E-2</v>
      </c>
      <c r="AI14" s="4">
        <f t="shared" ca="1" si="8"/>
        <v>0.25169421034624445</v>
      </c>
      <c r="AJ14" s="4">
        <f t="shared" ca="1" si="9"/>
        <v>9.5328186953601235E-2</v>
      </c>
      <c r="AK14" s="4"/>
      <c r="AL14" s="33"/>
      <c r="AM14" s="4">
        <f>'[3]syst efficiency'!$X16</f>
        <v>1.2549900398011129E-2</v>
      </c>
      <c r="AN14" s="4"/>
      <c r="AO14" s="4">
        <f ca="1">[1]Summary!$J177</f>
        <v>4.7328521754102619E-3</v>
      </c>
      <c r="AP14">
        <f t="shared" ca="1" si="12"/>
        <v>0.64481979954092583</v>
      </c>
      <c r="AQ14">
        <f t="shared" ca="1" si="13"/>
        <v>0.81796585682506329</v>
      </c>
      <c r="AR14">
        <f t="shared" ca="1" si="14"/>
        <v>1.4844139161929386</v>
      </c>
      <c r="AS14" s="3">
        <f t="shared" ca="1" si="15"/>
        <v>2.9730751002351021</v>
      </c>
      <c r="AT14" s="3">
        <f t="shared" ca="1" si="16"/>
        <v>1.1260404384845535</v>
      </c>
      <c r="AU14" s="3"/>
    </row>
    <row r="15" spans="1:47">
      <c r="A15" s="41"/>
      <c r="B15" s="41"/>
      <c r="C15" s="8" t="s">
        <v>23</v>
      </c>
      <c r="D15" s="3">
        <f>ReReco!U22</f>
        <v>0.46822301562500018</v>
      </c>
      <c r="E15" s="3">
        <f>ReReco!V22</f>
        <v>4.1377168590445754E-2</v>
      </c>
      <c r="F15" s="14">
        <v>0.5</v>
      </c>
      <c r="G15" s="2">
        <v>4.8</v>
      </c>
      <c r="H15" s="2">
        <v>23.5</v>
      </c>
      <c r="I15" s="3">
        <f ca="1">efficiency!D15</f>
        <v>0.41320925572201161</v>
      </c>
      <c r="J15" s="3">
        <f ca="1">acceptance!D15</f>
        <v>0.30330750836126719</v>
      </c>
      <c r="K15" s="2">
        <f ca="1">'raw yield'!D15</f>
        <v>36.657800000000002</v>
      </c>
      <c r="L15" s="2">
        <f ca="1">'raw yield'!E15</f>
        <v>6.2381700000000002</v>
      </c>
      <c r="M15" s="15">
        <f ca="1">K15/($D15*$F15*$G15*I15*J15*$B$21)</f>
        <v>4.6733422909496714</v>
      </c>
      <c r="N15" s="2">
        <f t="shared" ca="1" si="0"/>
        <v>0.79527695822262967</v>
      </c>
      <c r="O15" s="2">
        <f ca="1">'final systematics'!$K17*M15</f>
        <v>0.96698881782083135</v>
      </c>
      <c r="P15" s="3">
        <f>efficiency!F15</f>
        <v>0.441</v>
      </c>
      <c r="Q15" s="3">
        <f>acceptance!F15</f>
        <v>0.29599999999999999</v>
      </c>
      <c r="R15" s="2">
        <f ca="1">'raw yield'!F15</f>
        <v>29.239000000000001</v>
      </c>
      <c r="S15" s="2">
        <f ca="1">'raw yield'!G15</f>
        <v>5.7256900000000002</v>
      </c>
      <c r="T15" s="15">
        <f t="shared" ca="1" si="1"/>
        <v>3.5788756678694109</v>
      </c>
      <c r="U15" s="2">
        <f t="shared" ca="1" si="2"/>
        <v>0.70082877741246985</v>
      </c>
      <c r="V15" s="2">
        <f ca="1">'final systematics'!$K17*T15</f>
        <v>0.74052627343449384</v>
      </c>
      <c r="W15" s="3">
        <f>efficiency!H15</f>
        <v>0.33100000000000002</v>
      </c>
      <c r="X15" s="3">
        <f>acceptance!H15</f>
        <v>0.33600000000000002</v>
      </c>
      <c r="Y15" s="2">
        <f ca="1">'raw yield'!H15</f>
        <v>7.4187700000000003</v>
      </c>
      <c r="Z15" s="2">
        <f ca="1">'raw yield'!I15</f>
        <v>3.1015899999999998</v>
      </c>
      <c r="AA15" s="3">
        <f t="shared" ca="1" si="3"/>
        <v>1.0658081385387213</v>
      </c>
      <c r="AB15" s="2">
        <f t="shared" ca="1" si="4"/>
        <v>0.44558597508890452</v>
      </c>
      <c r="AC15" s="2"/>
      <c r="AD15" s="4">
        <f t="shared" ca="1" si="5"/>
        <v>3.0000000000640625E-5</v>
      </c>
      <c r="AE15" s="3">
        <f t="shared" ca="1" si="6"/>
        <v>0.8010469160997733</v>
      </c>
      <c r="AF15" s="3">
        <f t="shared" ca="1" si="7"/>
        <v>1.1077866216216219</v>
      </c>
      <c r="AG15" s="4">
        <f ca="1">'raw yield'!J15</f>
        <v>0.202379</v>
      </c>
      <c r="AH15" s="4">
        <f ca="1">'raw yield'!K15</f>
        <v>7.7282900000000002E-2</v>
      </c>
      <c r="AI15" s="4">
        <f t="shared" ca="1" si="8"/>
        <v>0.22806118513154205</v>
      </c>
      <c r="AJ15" s="4">
        <f t="shared" ca="1" si="9"/>
        <v>8.7090210764963025E-2</v>
      </c>
      <c r="AK15" s="4"/>
      <c r="AL15" s="33"/>
      <c r="AM15" s="4">
        <f>'[3]syst efficiency'!$X17</f>
        <v>8.5000000000000023E-3</v>
      </c>
      <c r="AN15" s="4"/>
      <c r="AO15" s="4">
        <f ca="1">[1]Summary!$J178</f>
        <v>2.4315112564000201E-2</v>
      </c>
      <c r="AP15">
        <f t="shared" ca="1" si="12"/>
        <v>0.61930686464680251</v>
      </c>
      <c r="AQ15">
        <f t="shared" ca="1" si="13"/>
        <v>0.82511881362308115</v>
      </c>
      <c r="AR15">
        <f t="shared" ca="1" si="14"/>
        <v>1.691930261077826</v>
      </c>
      <c r="AS15" s="3">
        <f t="shared" ca="1" si="15"/>
        <v>3.3847882287519289</v>
      </c>
      <c r="AT15" s="3">
        <f t="shared" ca="1" si="16"/>
        <v>1.292556293903085</v>
      </c>
      <c r="AU15" s="3"/>
    </row>
    <row r="16" spans="1:47">
      <c r="A16" s="41"/>
      <c r="B16" s="41"/>
      <c r="C16" s="8" t="s">
        <v>24</v>
      </c>
      <c r="D16" s="3">
        <f>ReReco!AO2</f>
        <v>18.831718749999997</v>
      </c>
      <c r="E16" s="3">
        <f>ReReco!AP2</f>
        <v>0.76552460638024744</v>
      </c>
      <c r="F16" s="14">
        <v>0.2</v>
      </c>
      <c r="G16" s="2">
        <v>4.8</v>
      </c>
      <c r="H16" s="2">
        <v>23.5</v>
      </c>
      <c r="I16" s="3">
        <f ca="1">efficiency!D16</f>
        <v>0.33981182391677295</v>
      </c>
      <c r="J16" s="3">
        <f ca="1">acceptance!D16</f>
        <v>0.30658000290501319</v>
      </c>
      <c r="K16" s="2">
        <f ca="1">'raw yield'!D16</f>
        <v>192.94200000000001</v>
      </c>
      <c r="L16" s="2">
        <f ca="1">'raw yield'!E16</f>
        <v>16.0366</v>
      </c>
      <c r="M16" s="2">
        <f t="shared" ca="1" si="18"/>
        <v>1.8393385325258291</v>
      </c>
      <c r="N16" s="2">
        <f t="shared" ca="1" si="0"/>
        <v>0.15287877346924833</v>
      </c>
      <c r="O16" s="2">
        <f ca="1">'final systematics'!$K18*M16</f>
        <v>0.27520212431419744</v>
      </c>
      <c r="P16" s="3">
        <f>efficiency!F16</f>
        <v>0.373</v>
      </c>
      <c r="Q16" s="3">
        <f>acceptance!F16</f>
        <v>0.29599999999999999</v>
      </c>
      <c r="R16" s="2">
        <f ca="1">'raw yield'!F16</f>
        <v>137.012</v>
      </c>
      <c r="S16" s="2">
        <f ca="1">'raw yield'!G16</f>
        <v>15.0991</v>
      </c>
      <c r="T16" s="2">
        <f t="shared" ca="1" si="1"/>
        <v>1.2324669054290407</v>
      </c>
      <c r="U16" s="2">
        <f t="shared" ca="1" si="2"/>
        <v>0.13582124961144737</v>
      </c>
      <c r="V16" s="2">
        <f ca="1">'final systematics'!$K18*T16</f>
        <v>0.18440189476988197</v>
      </c>
      <c r="W16" s="3">
        <f>efficiency!H16</f>
        <v>0.27900000000000003</v>
      </c>
      <c r="X16" s="3">
        <f>acceptance!H16</f>
        <v>0.33600000000000002</v>
      </c>
      <c r="Y16" s="2">
        <f ca="1">'raw yield'!H16</f>
        <v>55.930399999999999</v>
      </c>
      <c r="Z16" s="2">
        <f ca="1">'raw yield'!I16</f>
        <v>10.9504</v>
      </c>
      <c r="AA16" s="30">
        <f t="shared" ca="1" si="3"/>
        <v>0.59254542310104275</v>
      </c>
      <c r="AB16" s="2">
        <f t="shared" ca="1" si="4"/>
        <v>0.11601221162597905</v>
      </c>
      <c r="AC16" s="2">
        <f ca="1">'final systematics'!$K$25*AA16</f>
        <v>9.6166560410227947E-2</v>
      </c>
      <c r="AD16" s="4">
        <f t="shared" ca="1" si="5"/>
        <v>-3.9999999999196234E-4</v>
      </c>
      <c r="AE16" s="3">
        <f t="shared" ca="1" si="6"/>
        <v>0.82104264879356581</v>
      </c>
      <c r="AF16" s="3">
        <f t="shared" ca="1" si="7"/>
        <v>1.0959618918918921</v>
      </c>
      <c r="AG16" s="4">
        <f ca="1">'raw yield'!J16</f>
        <v>0.28988199999999997</v>
      </c>
      <c r="AH16" s="4">
        <f ca="1">'raw yield'!K16</f>
        <v>5.1386599999999998E-2</v>
      </c>
      <c r="AI16" s="31">
        <f t="shared" ca="1" si="8"/>
        <v>0.32215144123631695</v>
      </c>
      <c r="AJ16" s="4">
        <f t="shared" ca="1" si="9"/>
        <v>5.7106916780738801E-2</v>
      </c>
      <c r="AK16" s="4">
        <f t="shared" ca="1" si="19"/>
        <v>2.7106797009739895E-2</v>
      </c>
      <c r="AL16" s="33">
        <f t="shared" ca="1" si="20"/>
        <v>8.4143025732594731E-2</v>
      </c>
      <c r="AM16" s="4">
        <f>'[3]syst efficiency'!$X18</f>
        <v>9.6824583655185422E-3</v>
      </c>
      <c r="AN16" s="4">
        <f>'[3]syst efficiency'!$X25</f>
        <v>9.3005376188691289E-3</v>
      </c>
      <c r="AO16" s="4">
        <f ca="1">[1]Summary!$J179</f>
        <v>1.3924045881649657E-2</v>
      </c>
      <c r="AP16">
        <f t="shared" ca="1" si="12"/>
        <v>0.91122416041514731</v>
      </c>
      <c r="AQ16">
        <f t="shared" ca="1" si="13"/>
        <v>1.2182315836374549</v>
      </c>
      <c r="AR16">
        <f t="shared" ca="1" si="14"/>
        <v>1.6511338757655221</v>
      </c>
      <c r="AS16" s="30">
        <f t="shared" ca="1" si="15"/>
        <v>2.1041301450097856</v>
      </c>
      <c r="AT16" s="3">
        <f t="shared" ca="1" si="16"/>
        <v>0.37299347358428547</v>
      </c>
      <c r="AU16" s="3">
        <f t="shared" ca="1" si="17"/>
        <v>0.17704787693628668</v>
      </c>
    </row>
    <row r="17" spans="1:47">
      <c r="A17" s="41"/>
      <c r="B17" s="41"/>
      <c r="C17" s="8" t="s">
        <v>25</v>
      </c>
      <c r="D17" s="3">
        <f>ReReco!AO10</f>
        <v>2.3702092089843747</v>
      </c>
      <c r="E17" s="3">
        <f>ReReco!AP10</f>
        <v>0.11851304934598646</v>
      </c>
      <c r="F17" s="14">
        <v>0.8</v>
      </c>
      <c r="G17" s="2">
        <v>4.8</v>
      </c>
      <c r="H17" s="2">
        <v>23.5</v>
      </c>
      <c r="I17" s="3">
        <f ca="1">efficiency!D17</f>
        <v>0.38657021385936008</v>
      </c>
      <c r="J17" s="3">
        <f ca="1">acceptance!D17</f>
        <v>0.3016490243721347</v>
      </c>
      <c r="K17" s="2">
        <f ca="1">'raw yield'!D17</f>
        <v>204.755</v>
      </c>
      <c r="L17" s="2">
        <f ca="1">'raw yield'!E17</f>
        <v>15.3818</v>
      </c>
      <c r="M17" s="2">
        <f t="shared" ca="1" si="18"/>
        <v>3.4638947965535873</v>
      </c>
      <c r="N17" s="2">
        <f t="shared" ca="1" si="0"/>
        <v>0.2602180019126662</v>
      </c>
      <c r="O17" s="2">
        <f ca="1">'final systematics'!$K19*M17</f>
        <v>0.57232848163549099</v>
      </c>
      <c r="P17" s="3">
        <f>efficiency!F17</f>
        <v>0.40400000000000003</v>
      </c>
      <c r="Q17" s="3">
        <f>acceptance!F17</f>
        <v>0.29599999999999999</v>
      </c>
      <c r="R17" s="2">
        <f ca="1">'raw yield'!F17</f>
        <v>172.54599999999999</v>
      </c>
      <c r="S17" s="2">
        <f ca="1">'raw yield'!G17</f>
        <v>14.903499999999999</v>
      </c>
      <c r="T17" s="2">
        <f t="shared" ca="1" si="1"/>
        <v>2.8463762685832088</v>
      </c>
      <c r="U17" s="2">
        <f t="shared" ca="1" si="2"/>
        <v>0.24585309841334979</v>
      </c>
      <c r="V17" s="2">
        <f ca="1">'final systematics'!$K19*T17</f>
        <v>0.47029783051793683</v>
      </c>
      <c r="W17" s="3">
        <f>efficiency!H17</f>
        <v>0.314</v>
      </c>
      <c r="X17" s="3">
        <f>acceptance!H17</f>
        <v>0.33600000000000002</v>
      </c>
      <c r="Y17" s="2">
        <f ca="1">'raw yield'!H17</f>
        <v>32.209800000000001</v>
      </c>
      <c r="Z17" s="2">
        <f ca="1">'raw yield'!I17</f>
        <v>7.7429699999999997</v>
      </c>
      <c r="AA17" s="30">
        <f ca="1">Y17/($D17*$F17*$G17*W17*X17*$B$21)</f>
        <v>0.60225386099767586</v>
      </c>
      <c r="AB17" s="2">
        <f t="shared" ca="1" si="4"/>
        <v>0.14477685605279059</v>
      </c>
      <c r="AC17" s="2">
        <f ca="1">'final systematics'!$K$25*AA17</f>
        <v>9.7742181523946869E-2</v>
      </c>
      <c r="AD17" s="4">
        <f t="shared" ca="1" si="5"/>
        <v>-7.9999999999813554E-4</v>
      </c>
      <c r="AE17" s="3">
        <f t="shared" ca="1" si="6"/>
        <v>0.81227158415841583</v>
      </c>
      <c r="AF17" s="3">
        <f t="shared" ca="1" si="7"/>
        <v>1.1138772972972975</v>
      </c>
      <c r="AG17" s="4">
        <f ca="1">'raw yield'!J17</f>
        <v>0.157308</v>
      </c>
      <c r="AH17" s="4">
        <f ca="1">'raw yield'!K17</f>
        <v>3.5921799999999997E-2</v>
      </c>
      <c r="AI17" s="31">
        <f t="shared" ca="1" si="8"/>
        <v>0.17386501270962271</v>
      </c>
      <c r="AJ17" s="4">
        <f t="shared" ca="1" si="9"/>
        <v>3.9702648393931166E-2</v>
      </c>
      <c r="AK17" s="4">
        <f t="shared" ca="1" si="19"/>
        <v>1.0684959731283E-2</v>
      </c>
      <c r="AL17" s="33">
        <f t="shared" ca="1" si="20"/>
        <v>6.1455491043090303E-2</v>
      </c>
      <c r="AM17" s="4">
        <f>'[3]syst efficiency'!$X19</f>
        <v>7.4498322128756615E-3</v>
      </c>
      <c r="AN17" s="4">
        <f>'[3]syst efficiency'!$X26</f>
        <v>7.3654599313281192E-3</v>
      </c>
      <c r="AO17" s="4">
        <f ca="1">[1]Summary!$J180</f>
        <v>5.5292020736656582E-3</v>
      </c>
      <c r="AP17">
        <f t="shared" ca="1" si="12"/>
        <v>0.51571861385067996</v>
      </c>
      <c r="AQ17">
        <f t="shared" ca="1" si="13"/>
        <v>0.66353605094163914</v>
      </c>
      <c r="AR17">
        <f t="shared" ca="1" si="14"/>
        <v>1.5717175090934192</v>
      </c>
      <c r="AS17" s="30">
        <f t="shared" ca="1" si="15"/>
        <v>4.7515884559829793</v>
      </c>
      <c r="AT17" s="3">
        <f t="shared" ca="1" si="16"/>
        <v>1.0850408764851716</v>
      </c>
      <c r="AU17" s="3">
        <f t="shared" ca="1" si="17"/>
        <v>0.29201120179711326</v>
      </c>
    </row>
    <row r="18" spans="1:47"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47"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47">
      <c r="T20">
        <f ca="1">T10/T$2</f>
        <v>0.66209564334052617</v>
      </c>
      <c r="U20" s="34">
        <f ca="1">U2/T2</f>
        <v>7.2607986960065207E-2</v>
      </c>
      <c r="AA20">
        <f ca="1">AA10/AA$2</f>
        <v>0.96422949900709942</v>
      </c>
    </row>
    <row r="21" spans="1:47">
      <c r="A21" t="s">
        <v>41</v>
      </c>
      <c r="B21" s="12">
        <v>55.695692000000001</v>
      </c>
      <c r="T21">
        <f t="shared" ref="T21:T27" ca="1" si="21">T11/T$2</f>
        <v>0.72415085905574628</v>
      </c>
      <c r="U21" s="34">
        <f t="shared" ref="U21:U29" ca="1" si="22">U3/T3</f>
        <v>8.8304452478447246E-2</v>
      </c>
      <c r="AA21">
        <f t="shared" ref="AA21:AA28" ca="1" si="23">AA11/AA$2</f>
        <v>1.0208482557806497</v>
      </c>
    </row>
    <row r="22" spans="1:47">
      <c r="A22" t="s">
        <v>139</v>
      </c>
      <c r="B22" s="12">
        <v>56.515360999999999</v>
      </c>
      <c r="T22">
        <f t="shared" ca="1" si="21"/>
        <v>1.2214870164303051</v>
      </c>
      <c r="U22" s="34">
        <f t="shared" ca="1" si="22"/>
        <v>0.12074918440267204</v>
      </c>
      <c r="AA22">
        <f t="shared" ca="1" si="23"/>
        <v>0.30759269818371238</v>
      </c>
    </row>
    <row r="23" spans="1:47">
      <c r="T23">
        <f t="shared" ca="1" si="21"/>
        <v>1.6638510016807135</v>
      </c>
      <c r="U23" s="34">
        <f t="shared" ca="1" si="22"/>
        <v>0.10998805047943808</v>
      </c>
      <c r="AA23">
        <f t="shared" ca="1" si="23"/>
        <v>1.2237071519913778</v>
      </c>
    </row>
    <row r="24" spans="1:47">
      <c r="A24" t="s">
        <v>135</v>
      </c>
      <c r="T24">
        <f t="shared" ca="1" si="21"/>
        <v>2.1721914063874195</v>
      </c>
      <c r="U24" s="34">
        <f t="shared" ca="1" si="22"/>
        <v>0.1498190335147418</v>
      </c>
      <c r="AA24">
        <f t="shared" ca="1" si="23"/>
        <v>2.1779156162685336</v>
      </c>
    </row>
    <row r="25" spans="1:47">
      <c r="A25" s="1" t="s">
        <v>29</v>
      </c>
      <c r="B25" s="1" t="s">
        <v>1</v>
      </c>
      <c r="C25" s="1" t="s">
        <v>30</v>
      </c>
      <c r="K25" s="1" t="s">
        <v>142</v>
      </c>
      <c r="L25" s="1" t="s">
        <v>4</v>
      </c>
      <c r="M25" s="11" t="s">
        <v>37</v>
      </c>
      <c r="N25" s="11" t="s">
        <v>4</v>
      </c>
      <c r="O25" s="11" t="s">
        <v>38</v>
      </c>
      <c r="T25">
        <f t="shared" ca="1" si="21"/>
        <v>2.0022782691945427</v>
      </c>
      <c r="U25" s="34">
        <f t="shared" ca="1" si="22"/>
        <v>0.1498201488046392</v>
      </c>
      <c r="AA25">
        <f t="shared" ca="1" si="23"/>
        <v>1.7643638947743492</v>
      </c>
    </row>
    <row r="26" spans="1:47">
      <c r="A26" s="49" t="s">
        <v>126</v>
      </c>
      <c r="B26" s="1" t="s">
        <v>128</v>
      </c>
      <c r="C26" s="42" t="s">
        <v>10</v>
      </c>
      <c r="D26" s="3">
        <f>ReReco!U$42</f>
        <v>5.6625111171875</v>
      </c>
      <c r="E26" s="2"/>
      <c r="F26" s="2">
        <v>1</v>
      </c>
      <c r="G26" s="2">
        <v>4.8</v>
      </c>
      <c r="H26" s="2">
        <v>6.5</v>
      </c>
      <c r="I26" s="3">
        <f>'[3]syst efficiency'!$D31</f>
        <v>0.52700000000000002</v>
      </c>
      <c r="J26" s="3">
        <f>'[3]syst acceptance'!$C$21</f>
        <v>0.19</v>
      </c>
      <c r="K26">
        <v>44.438000000000002</v>
      </c>
      <c r="L26">
        <v>8.6015599999999992</v>
      </c>
      <c r="M26" s="39">
        <f>K26/($D26*$F26*$G26*I26*J26*$B$21)</f>
        <v>0.29316922512525123</v>
      </c>
      <c r="N26" s="3">
        <f>L26/K26*M26</f>
        <v>5.6746763582257435E-2</v>
      </c>
      <c r="O26" s="3">
        <f>'[3]final systematics'!$K38*M26</f>
        <v>5.3484431814764706E-2</v>
      </c>
      <c r="T26">
        <f t="shared" ca="1" si="21"/>
        <v>0.68952987788791176</v>
      </c>
      <c r="U26" s="34">
        <f t="shared" ca="1" si="22"/>
        <v>0.11216574989666465</v>
      </c>
      <c r="AA26">
        <f t="shared" ca="1" si="23"/>
        <v>0.9809136492114412</v>
      </c>
    </row>
    <row r="27" spans="1:47">
      <c r="A27" s="49"/>
      <c r="B27" s="1" t="s">
        <v>129</v>
      </c>
      <c r="C27" s="42"/>
      <c r="D27" s="3">
        <f>ReReco!U$42</f>
        <v>5.6625111171875</v>
      </c>
      <c r="E27" s="2"/>
      <c r="F27" s="2">
        <v>1</v>
      </c>
      <c r="G27" s="2">
        <v>4.8</v>
      </c>
      <c r="H27" s="2">
        <v>3.5</v>
      </c>
      <c r="I27" s="3">
        <f>'[3]syst efficiency'!$D32</f>
        <v>0.56100000000000005</v>
      </c>
      <c r="J27" s="3">
        <f>'[3]syst acceptance'!$C$23</f>
        <v>0.23499999999999999</v>
      </c>
      <c r="K27">
        <v>18.4621</v>
      </c>
      <c r="L27">
        <v>5.4923299999999999</v>
      </c>
      <c r="M27" s="39">
        <f t="shared" ref="M27:M34" si="24">K27/($D27*$F27*$G27*I27*J27*$B$21)</f>
        <v>9.2507824146529458E-2</v>
      </c>
      <c r="N27" s="3">
        <f t="shared" ref="N27:N35" si="25">L27/K27*M27</f>
        <v>2.7520352386494935E-2</v>
      </c>
      <c r="O27" s="3">
        <f>'[3]final systematics'!$K39*M27</f>
        <v>1.7277796682855201E-2</v>
      </c>
      <c r="T27">
        <f t="shared" ca="1" si="21"/>
        <v>1.5924658684575366</v>
      </c>
      <c r="U27" s="34">
        <f t="shared" ca="1" si="22"/>
        <v>0.14754268848567156</v>
      </c>
      <c r="AA27">
        <f t="shared" ca="1" si="23"/>
        <v>0.99698522596160899</v>
      </c>
    </row>
    <row r="28" spans="1:47">
      <c r="A28" s="49"/>
      <c r="B28" s="11" t="s">
        <v>136</v>
      </c>
      <c r="C28" s="42"/>
      <c r="D28" s="3">
        <f>ReReco!U$42</f>
        <v>5.6625111171875</v>
      </c>
      <c r="E28" s="2"/>
      <c r="F28" s="2">
        <v>1</v>
      </c>
      <c r="G28" s="2">
        <v>4.8</v>
      </c>
      <c r="H28" s="2">
        <v>10</v>
      </c>
      <c r="I28" s="3">
        <f>'[3]syst efficiency'!$D33</f>
        <v>0.59</v>
      </c>
      <c r="J28" s="3">
        <f>'[3]syst acceptance'!$C$24</f>
        <v>0.4</v>
      </c>
      <c r="K28">
        <v>23.674700000000001</v>
      </c>
      <c r="L28">
        <v>5.6259600000000001</v>
      </c>
      <c r="M28" s="39">
        <f t="shared" si="24"/>
        <v>6.6267497770299263E-2</v>
      </c>
      <c r="N28" s="3">
        <f t="shared" si="25"/>
        <v>1.5747540275306247E-2</v>
      </c>
      <c r="O28" s="3">
        <f>'[3]final systematics'!$K40*M28</f>
        <v>1.1671769654393526E-2</v>
      </c>
      <c r="U28" s="34">
        <f t="shared" ca="1" si="22"/>
        <v>0.14369948089769116</v>
      </c>
    </row>
    <row r="29" spans="1:47">
      <c r="A29" s="49"/>
      <c r="B29" s="11" t="s">
        <v>137</v>
      </c>
      <c r="C29" s="42"/>
      <c r="D29" s="3">
        <f>ReReco!U$42</f>
        <v>5.6625111171875</v>
      </c>
      <c r="E29" s="2"/>
      <c r="F29" s="2">
        <v>1</v>
      </c>
      <c r="G29" s="2">
        <v>4.8</v>
      </c>
      <c r="H29" s="2">
        <v>20</v>
      </c>
      <c r="I29" s="3">
        <f>'[3]syst efficiency'!$D30</f>
        <v>0.54500000000000004</v>
      </c>
      <c r="J29" s="3">
        <f>'[3]syst acceptance'!$C$22</f>
        <v>0.216</v>
      </c>
      <c r="K29">
        <v>86.347399999999993</v>
      </c>
      <c r="L29">
        <v>11.694599999999999</v>
      </c>
      <c r="M29" s="30">
        <f t="shared" si="24"/>
        <v>0.48453717436647903</v>
      </c>
      <c r="N29" s="3">
        <f t="shared" si="25"/>
        <v>6.562407715051323E-2</v>
      </c>
      <c r="O29" s="3">
        <f>'[3]final systematics'!$K41*M29</f>
        <v>8.9342061954729268E-2</v>
      </c>
      <c r="U29" s="34">
        <f t="shared" ca="1" si="22"/>
        <v>0.16323374569938481</v>
      </c>
    </row>
    <row r="30" spans="1:47">
      <c r="A30" s="7" t="s">
        <v>130</v>
      </c>
      <c r="B30" s="45" t="s">
        <v>137</v>
      </c>
      <c r="C30" s="42" t="s">
        <v>10</v>
      </c>
      <c r="D30" s="3">
        <f>ReReco!U$42</f>
        <v>5.6625111171875</v>
      </c>
      <c r="E30" s="2"/>
      <c r="F30" s="2">
        <v>1</v>
      </c>
      <c r="G30" s="2">
        <v>2.4</v>
      </c>
      <c r="H30" s="2">
        <v>20</v>
      </c>
      <c r="I30" s="3">
        <f>'[3]syst efficiency'!$D34</f>
        <v>0.53700000000000003</v>
      </c>
      <c r="J30" s="3">
        <f>'[3]syst acceptance'!$C$25</f>
        <v>0.23799999999999999</v>
      </c>
      <c r="K30">
        <v>47.914299999999997</v>
      </c>
      <c r="L30">
        <v>8.8084000000000007</v>
      </c>
      <c r="M30" s="29">
        <f t="shared" si="24"/>
        <v>0.49530417795339021</v>
      </c>
      <c r="N30" s="3">
        <f t="shared" si="25"/>
        <v>9.1055015331219347E-2</v>
      </c>
      <c r="O30" s="3">
        <f>'[3]final systematics'!$K42*M30</f>
        <v>9.0504363925999115E-2</v>
      </c>
      <c r="U30" s="34">
        <f ca="1">U12/T12</f>
        <v>0.14910209745550401</v>
      </c>
    </row>
    <row r="31" spans="1:47">
      <c r="A31" s="23" t="s">
        <v>138</v>
      </c>
      <c r="B31" s="45"/>
      <c r="C31" s="42"/>
      <c r="D31" s="3">
        <f>ReReco!U$42</f>
        <v>5.6625111171875</v>
      </c>
      <c r="E31" s="2"/>
      <c r="F31" s="2">
        <v>1</v>
      </c>
      <c r="G31" s="2">
        <v>2.4</v>
      </c>
      <c r="H31" s="2">
        <v>20</v>
      </c>
      <c r="I31" s="3">
        <f>'[3]syst efficiency'!$D35</f>
        <v>0.55800000000000005</v>
      </c>
      <c r="J31" s="3">
        <f>'[3]syst acceptance'!$C$26</f>
        <v>0.188</v>
      </c>
      <c r="K31">
        <v>39.532899999999998</v>
      </c>
      <c r="L31">
        <v>7.7304700000000004</v>
      </c>
      <c r="M31" s="29">
        <f t="shared" si="24"/>
        <v>0.49788003571224676</v>
      </c>
      <c r="N31" s="3">
        <f t="shared" si="25"/>
        <v>9.735806580525215E-2</v>
      </c>
      <c r="O31" s="3">
        <f>'[3]final systematics'!$K43*M31</f>
        <v>9.2066817875281801E-2</v>
      </c>
      <c r="U31" s="34">
        <f ca="1">U13/T13</f>
        <v>0.1630961296805607</v>
      </c>
    </row>
    <row r="32" spans="1:47">
      <c r="A32" s="44" t="s">
        <v>126</v>
      </c>
      <c r="B32" s="45" t="s">
        <v>137</v>
      </c>
      <c r="C32" s="8" t="s">
        <v>18</v>
      </c>
      <c r="D32" s="3">
        <f>ReReco!U2</f>
        <v>23.185742187499997</v>
      </c>
      <c r="E32" s="2"/>
      <c r="F32" s="2">
        <v>0.1</v>
      </c>
      <c r="G32" s="2">
        <v>4.8</v>
      </c>
      <c r="H32" s="2">
        <v>20</v>
      </c>
      <c r="I32" s="3">
        <f>'[3]syst efficiency'!$D36</f>
        <v>0.51700000000000002</v>
      </c>
      <c r="J32" s="3">
        <f>'[3]syst acceptance'!$C$22</f>
        <v>0.216</v>
      </c>
      <c r="K32">
        <v>23.9941</v>
      </c>
      <c r="L32">
        <v>6.6270300000000004</v>
      </c>
      <c r="M32" s="30">
        <f t="shared" si="24"/>
        <v>0.3466381244374705</v>
      </c>
      <c r="N32" s="3">
        <f t="shared" si="25"/>
        <v>9.5739421349033738E-2</v>
      </c>
      <c r="O32" s="3">
        <f>'[3]final systematics'!$K44*M32</f>
        <v>6.9384222332334419E-2</v>
      </c>
      <c r="U32" s="34">
        <f t="shared" ref="U32:U38" ca="1" si="26">U14/T14</f>
        <v>0.19357408773426155</v>
      </c>
    </row>
    <row r="33" spans="1:21">
      <c r="A33" s="44"/>
      <c r="B33" s="45"/>
      <c r="C33" s="8" t="s">
        <v>19</v>
      </c>
      <c r="D33" s="3">
        <f>ReReco!U6</f>
        <v>14.4776953125</v>
      </c>
      <c r="E33" s="2"/>
      <c r="F33" s="2">
        <v>0.1</v>
      </c>
      <c r="G33" s="2">
        <v>4.8</v>
      </c>
      <c r="H33" s="2">
        <v>20</v>
      </c>
      <c r="I33" s="3">
        <f>'[3]syst efficiency'!$D37</f>
        <v>0.55800000000000005</v>
      </c>
      <c r="J33" s="3">
        <f>'[3]syst acceptance'!$C$22</f>
        <v>0.216</v>
      </c>
      <c r="K33">
        <v>30.016100000000002</v>
      </c>
      <c r="L33">
        <v>6.7226999999999997</v>
      </c>
      <c r="M33" s="30">
        <f t="shared" si="24"/>
        <v>0.64343404944167981</v>
      </c>
      <c r="N33" s="3">
        <f t="shared" si="25"/>
        <v>0.14410979721488071</v>
      </c>
      <c r="O33" s="3">
        <f>'[3]final systematics'!$K45*M33</f>
        <v>0.11805422250941726</v>
      </c>
      <c r="U33" s="34">
        <f t="shared" ca="1" si="26"/>
        <v>0.19582372858168884</v>
      </c>
    </row>
    <row r="34" spans="1:21">
      <c r="A34" s="44"/>
      <c r="B34" s="45"/>
      <c r="C34" s="8" t="s">
        <v>25</v>
      </c>
      <c r="D34" s="3">
        <f>ReReco!AO10</f>
        <v>2.3702092089843747</v>
      </c>
      <c r="E34" s="2"/>
      <c r="F34" s="2">
        <v>0.8</v>
      </c>
      <c r="G34" s="2">
        <v>4.8</v>
      </c>
      <c r="H34" s="2">
        <v>20</v>
      </c>
      <c r="I34" s="3">
        <f>'[3]syst efficiency'!$D38</f>
        <v>0.56499999999999995</v>
      </c>
      <c r="J34" s="3">
        <f>'[3]syst acceptance'!$C$22</f>
        <v>0.216</v>
      </c>
      <c r="K34">
        <v>32.010800000000003</v>
      </c>
      <c r="L34">
        <v>6.2656000000000001</v>
      </c>
      <c r="M34" s="30">
        <f t="shared" si="24"/>
        <v>0.51743382949698347</v>
      </c>
      <c r="N34" s="3">
        <f t="shared" si="25"/>
        <v>0.10127936203082395</v>
      </c>
      <c r="O34" s="3">
        <f>'[3]final systematics'!$K46*M34</f>
        <v>0.10096362070806533</v>
      </c>
      <c r="U34" s="34">
        <f t="shared" ca="1" si="26"/>
        <v>0.11020275596298133</v>
      </c>
    </row>
    <row r="35" spans="1:21">
      <c r="C35" s="8" t="s">
        <v>24</v>
      </c>
      <c r="D35">
        <f>ReReco!AO2</f>
        <v>18.831718749999997</v>
      </c>
      <c r="F35" s="2">
        <v>0.2</v>
      </c>
      <c r="G35" s="2">
        <v>4.8</v>
      </c>
      <c r="H35" s="2">
        <v>20</v>
      </c>
      <c r="I35" s="3">
        <f>'[3]syst efficiency'!$D39</f>
        <v>0.53300000000000003</v>
      </c>
      <c r="J35" s="3">
        <f>'[3]syst acceptance'!$C$22</f>
        <v>0.216</v>
      </c>
      <c r="K35" s="4">
        <v>54.2849</v>
      </c>
      <c r="L35" s="2">
        <v>9.4240999999999993</v>
      </c>
      <c r="M35" s="30">
        <f>K35/($D35*$F35*$G35*I35*J35*$B$21)</f>
        <v>0.46829043283425398</v>
      </c>
      <c r="N35" s="3">
        <f t="shared" si="25"/>
        <v>8.1297301239816086E-2</v>
      </c>
      <c r="O35" s="3">
        <f>'[3]final systematics'!$K47*M35</f>
        <v>9.3655053447728551E-2</v>
      </c>
      <c r="U35" s="34">
        <f t="shared" ca="1" si="26"/>
        <v>8.6374068364378193E-2</v>
      </c>
    </row>
    <row r="36" spans="1:21">
      <c r="C36" s="8"/>
      <c r="U36" s="34"/>
    </row>
    <row r="37" spans="1:21">
      <c r="U37" s="34"/>
    </row>
    <row r="38" spans="1:21">
      <c r="U38" s="34"/>
    </row>
  </sheetData>
  <mergeCells count="12">
    <mergeCell ref="A2:A4"/>
    <mergeCell ref="C2:C9"/>
    <mergeCell ref="A6:A7"/>
    <mergeCell ref="A8:A9"/>
    <mergeCell ref="A10:A17"/>
    <mergeCell ref="B10:B17"/>
    <mergeCell ref="A26:A29"/>
    <mergeCell ref="C26:C29"/>
    <mergeCell ref="B30:B31"/>
    <mergeCell ref="C30:C31"/>
    <mergeCell ref="A32:A34"/>
    <mergeCell ref="B32:B3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showRuler="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5" sqref="G15"/>
    </sheetView>
  </sheetViews>
  <sheetFormatPr baseColWidth="10" defaultRowHeight="15" x14ac:dyDescent="0"/>
  <sheetData>
    <row r="1" spans="1:15">
      <c r="A1" s="11" t="s">
        <v>29</v>
      </c>
      <c r="B1" s="11" t="s">
        <v>1</v>
      </c>
      <c r="C1" s="11" t="s">
        <v>30</v>
      </c>
      <c r="D1" s="11" t="s">
        <v>114</v>
      </c>
      <c r="E1" s="11" t="s">
        <v>4</v>
      </c>
      <c r="F1" s="11" t="s">
        <v>38</v>
      </c>
      <c r="G1" s="11" t="s">
        <v>115</v>
      </c>
      <c r="H1" s="11" t="s">
        <v>4</v>
      </c>
      <c r="I1" s="11" t="s">
        <v>38</v>
      </c>
      <c r="J1" s="11" t="s">
        <v>116</v>
      </c>
      <c r="K1" s="11" t="s">
        <v>4</v>
      </c>
      <c r="L1" s="11" t="s">
        <v>38</v>
      </c>
    </row>
    <row r="2" spans="1:15">
      <c r="A2" s="41" t="s">
        <v>8</v>
      </c>
      <c r="B2" s="1" t="s">
        <v>9</v>
      </c>
      <c r="C2" s="42" t="s">
        <v>10</v>
      </c>
      <c r="D2" s="30">
        <f ca="1">'raw yield'!D2/(Results!$D2*Results!$F2*'raw yield pp'!$D2)*$B$21/Results!$B$21*'efficiency (pp)'!$F2/efficiency!F2</f>
        <v>0.30617550083187733</v>
      </c>
      <c r="E2" s="3">
        <f ca="1">SQRT( POWER('raw yield'!E2/'raw yield'!D2,2) + POWER('raw yield pp'!E2/'raw yield pp'!D2,2))*'Jpsi RAA'!D2</f>
        <v>2.1293184316183482E-2</v>
      </c>
      <c r="F2" s="3">
        <f ca="1">SQRT(POWER('final systematics'!$J4,2)+POWER('final systematics'!$D4,2)+POWER('[3]final systematics (pp)'!$D4,2)+POWER(0.02,2)+POWER(0.136*(1-efficiency!$F2/'efficiency (pp)'!$F2),2))*D2</f>
        <v>2.3236641725343923E-2</v>
      </c>
      <c r="G2" s="30">
        <f ca="1">'raw yield'!F2/(Results!$D2*Results!$F2*'raw yield pp'!$F2)*$B$21/Results!$B$21*'efficiency (pp)'!$F2/efficiency!F2</f>
        <v>0.29630650412482312</v>
      </c>
      <c r="H2" s="3">
        <f ca="1">SQRT( POWER('raw yield'!G2/'raw yield'!F2,2) + POWER('raw yield pp'!G2/'raw yield pp'!F2,2))*'Jpsi RAA'!G2</f>
        <v>2.4774195068207376E-2</v>
      </c>
      <c r="I2" s="3">
        <f ca="1">SQRT(POWER('final systematics'!$J4,2)+POWER('final systematics'!$D4,2)+POWER('[3]final systematics (pp)'!$D4,2)+POWER(0.02,2)+POWER(0.136*(1-efficiency!$F2/'efficiency (pp)'!$F2),2))*G2</f>
        <v>2.248765188112925E-2</v>
      </c>
      <c r="J2" s="30">
        <f ca="1">'raw yield'!H2/(Results!$D2*Results!$F2*'raw yield pp'!H2)*$B$21/Results!$B$21*'efficiency (pp)'!$H2/efficiency!H2</f>
        <v>0.36789738617736922</v>
      </c>
      <c r="K2" s="3">
        <f ca="1">SQRT( POWER('raw yield'!I2/'raw yield'!H2,2) + POWER('raw yield pp'!I2/'raw yield pp'!H2,2))*'Jpsi RAA'!J2</f>
        <v>6.6089713850173315E-2</v>
      </c>
      <c r="L2" s="3">
        <f ca="1">SQRT(POWER('final systematics'!$J4,2)+POWER('final systematics'!$D4,2)+POWER('[3]final systematics (pp)'!$D4,2)+POWER(0.02,2)+POWER(0.136*(1-efficiency!$F2/'efficiency (pp)'!$F2),2))*J2</f>
        <v>2.7920913760464992E-2</v>
      </c>
      <c r="O2">
        <f ca="1">('efficiency (pp)'!$F2/efficiency!$D2-1)</f>
        <v>0.18791765732858834</v>
      </c>
    </row>
    <row r="3" spans="1:15">
      <c r="A3" s="41"/>
      <c r="B3" s="1" t="s">
        <v>11</v>
      </c>
      <c r="C3" s="42"/>
      <c r="D3" s="39">
        <f ca="1">'raw yield'!D3/(Results!$D3*Results!$F3*'raw yield pp'!$D3)*$B$21/Results!$B$21*'efficiency (pp)'!$F3/efficiency!F3</f>
        <v>0.30695628429159666</v>
      </c>
      <c r="E3" s="3">
        <f ca="1">SQRT( POWER('raw yield'!E3/'raw yield'!D3,2) + POWER('raw yield pp'!E3/'raw yield pp'!D3,2))*'Jpsi RAA'!D3</f>
        <v>2.6625350749802892E-2</v>
      </c>
      <c r="F3" s="3">
        <f ca="1">SQRT(POWER('final systematics'!$J5,2)+POWER('final systematics'!$D5,2)+POWER('[3]final systematics (pp)'!$D5,2)+POWER(0.02,2)+POWER(0.136*(1-efficiency!$F3/'efficiency (pp)'!$F3),2))*D3</f>
        <v>2.7087594970739006E-2</v>
      </c>
      <c r="G3" s="39">
        <f ca="1">'raw yield'!F3/(Results!$D3*Results!$F3*'raw yield pp'!$F3)*$B$21/Results!$B$21*'efficiency (pp)'!$F3/efficiency!F3</f>
        <v>0.29584291794060763</v>
      </c>
      <c r="H3" s="3">
        <f ca="1">SQRT( POWER('raw yield'!G3/'raw yield'!F3,2) + POWER('raw yield pp'!G3/'raw yield pp'!F3,2))*'Jpsi RAA'!G3</f>
        <v>3.0137921182798233E-2</v>
      </c>
      <c r="I3" s="3">
        <f ca="1">SQRT(POWER('final systematics'!$J5,2)+POWER('final systematics'!$D5,2)+POWER('[3]final systematics (pp)'!$D5,2)+POWER(0.02,2)+POWER(0.136*(1-efficiency!$F3/'efficiency (pp)'!$F3),2))*G3</f>
        <v>2.6106887352480703E-2</v>
      </c>
      <c r="J3" s="39">
        <f ca="1">'raw yield'!H3/(Results!$D3*Results!$F3*'raw yield pp'!H3)*$B$21/Results!$B$21*'efficiency (pp)'!$H3/efficiency!H3</f>
        <v>0.38306352774762176</v>
      </c>
      <c r="K3" s="3">
        <f ca="1">SQRT( POWER('raw yield'!I3/'raw yield'!H3,2) + POWER('raw yield pp'!I3/'raw yield pp'!H3,2))*'Jpsi RAA'!J3</f>
        <v>9.2431795085285914E-2</v>
      </c>
      <c r="L3" s="3">
        <f ca="1">SQRT(POWER('final systematics'!$J5,2)+POWER('final systematics'!$D5,2)+POWER('[3]final systematics (pp)'!$D5,2)+POWER(0.02,2)+POWER(0.136*(1-efficiency!$F3/'efficiency (pp)'!$F3),2))*J3</f>
        <v>3.3803737596174978E-2</v>
      </c>
    </row>
    <row r="4" spans="1:15">
      <c r="A4" s="41"/>
      <c r="B4" s="1" t="s">
        <v>12</v>
      </c>
      <c r="C4" s="42"/>
      <c r="D4" s="39">
        <f ca="1">'raw yield'!D4/(Results!$D4*Results!$F4*'raw yield pp'!$D4)*$B$21/Results!$B$21*'efficiency (pp)'!$F4/efficiency!F4</f>
        <v>0.29818097149154615</v>
      </c>
      <c r="E4" s="3">
        <f ca="1">SQRT( POWER('raw yield'!E4/'raw yield'!D4,2) + POWER('raw yield pp'!E4/'raw yield pp'!D4,2))*'Jpsi RAA'!D4</f>
        <v>3.4518586290684557E-2</v>
      </c>
      <c r="F4" s="3">
        <f ca="1">SQRT(POWER('final systematics'!$J6,2)+POWER('final systematics'!$D6,2)+POWER('[3]final systematics (pp)'!$D6,2)+POWER(0.02,2)+POWER(0.136*(1-efficiency!$F4/'efficiency (pp)'!$F4),2))*D4</f>
        <v>1.863156353322009E-2</v>
      </c>
      <c r="G4" s="39">
        <f ca="1">'raw yield'!F4/(Results!$D4*Results!$F4*'raw yield pp'!$F4)*$B$21/Results!$B$21*'efficiency (pp)'!$F4/efficiency!F4</f>
        <v>0.29870572503629483</v>
      </c>
      <c r="H4" s="3">
        <f ca="1">SQRT( POWER('raw yield'!G4/'raw yield'!F4,2) + POWER('raw yield pp'!G4/'raw yield pp'!F4,2))*'Jpsi RAA'!G4</f>
        <v>4.1765520152917061E-2</v>
      </c>
      <c r="I4" s="3">
        <f ca="1">SQRT(POWER('final systematics'!$J6,2)+POWER('final systematics'!$D6,2)+POWER('[3]final systematics (pp)'!$D6,2)+POWER(0.02,2)+POWER(0.136*(1-efficiency!$F4/'efficiency (pp)'!$F4),2))*G4</f>
        <v>1.8664352275437147E-2</v>
      </c>
      <c r="J4" s="39">
        <f ca="1">'raw yield'!H4/(Results!$D4*Results!$F4*'raw yield pp'!H4)*$B$21/Results!$B$21*'efficiency (pp)'!$H4/efficiency!H4</f>
        <v>0.32334928402083679</v>
      </c>
      <c r="K4" s="3">
        <f ca="1">SQRT( POWER('raw yield'!I4/'raw yield'!H4,2) + POWER('raw yield pp'!I4/'raw yield pp'!H4,2))*'Jpsi RAA'!J4</f>
        <v>8.3776122524199456E-2</v>
      </c>
      <c r="L4" s="3">
        <f ca="1">SQRT(POWER('final systematics'!$J6,2)+POWER('final systematics'!$D6,2)+POWER('[3]final systematics (pp)'!$D6,2)+POWER(0.02,2)+POWER(0.136*(1-efficiency!$F4/'efficiency (pp)'!$F4),2))*J4</f>
        <v>2.0204182374616256E-2</v>
      </c>
    </row>
    <row r="5" spans="1:15">
      <c r="A5" s="7" t="s">
        <v>13</v>
      </c>
      <c r="B5" s="1" t="s">
        <v>9</v>
      </c>
      <c r="C5" s="42"/>
      <c r="D5" s="29">
        <f ca="1">'raw yield'!D5/(Results!$D5*Results!$F5*'raw yield pp'!$D5)*$B$21/Results!$B$21*'efficiency (pp)'!$F5/efficiency!F5</f>
        <v>0.28616733068840638</v>
      </c>
      <c r="E5" s="3">
        <f ca="1">SQRT( POWER('raw yield'!E5/'raw yield'!D5,2) + POWER('raw yield pp'!E5/'raw yield pp'!D5,2))*'Jpsi RAA'!D5</f>
        <v>3.5410355460369754E-2</v>
      </c>
      <c r="F5" s="3">
        <f ca="1">SQRT(POWER('final systematics'!$J7,2)+POWER('final systematics'!$D7,2)+POWER('[3]final systematics (pp)'!$D7,2)+POWER(0.02,2)+POWER(0.136*(1-efficiency!$F5/'efficiency (pp)'!$F5),2))*D5</f>
        <v>2.2859847110737141E-2</v>
      </c>
      <c r="G5" s="29">
        <f ca="1">'raw yield'!F5/(Results!$D5*Results!$F5*'raw yield pp'!$F5)*$B$21/Results!$B$21*'efficiency (pp)'!$F5/efficiency!F5</f>
        <v>0.28363915536012474</v>
      </c>
      <c r="H5" s="3">
        <f ca="1">SQRT( POWER('raw yield'!G5/'raw yield'!F5,2) + POWER('raw yield pp'!G5/'raw yield pp'!F5,2))*'Jpsi RAA'!G5</f>
        <v>3.9809068140946043E-2</v>
      </c>
      <c r="I5" s="3">
        <f ca="1">SQRT(POWER('final systematics'!$J7,2)+POWER('final systematics'!$D7,2)+POWER('[3]final systematics (pp)'!$D7,2)+POWER(0.02,2)+POWER(0.136*(1-efficiency!$F5/'efficiency (pp)'!$F5),2))*G5</f>
        <v>2.2657889391333508E-2</v>
      </c>
      <c r="J5" s="29">
        <f ca="1">'raw yield'!H5/(Results!$D5*Results!$F5*'raw yield pp'!H5)*$B$21/Results!$B$21*'efficiency (pp)'!$H5/efficiency!H5</f>
        <v>0.32956925497879885</v>
      </c>
      <c r="K5" s="3">
        <f ca="1">SQRT( POWER('raw yield'!I5/'raw yield'!H5,2) + POWER('raw yield pp'!I5/'raw yield pp'!H5,2))*'Jpsi RAA'!J5</f>
        <v>9.132751190040278E-2</v>
      </c>
      <c r="L5" s="3">
        <f ca="1">SQRT(POWER('final systematics'!$J7,2)+POWER('final systematics'!$D7,2)+POWER('[3]final systematics (pp)'!$D7,2)+POWER(0.02,2)+POWER(0.136*(1-efficiency!$F5/'efficiency (pp)'!$F5),2))*J5</f>
        <v>2.6326914267576496E-2</v>
      </c>
    </row>
    <row r="6" spans="1:15">
      <c r="A6" s="41" t="s">
        <v>14</v>
      </c>
      <c r="B6" s="1" t="s">
        <v>9</v>
      </c>
      <c r="C6" s="42"/>
      <c r="D6" s="29">
        <f ca="1">'raw yield'!D6/(Results!$D6*Results!$F6*'raw yield pp'!$D6)*$B$21/Results!$B$21*'efficiency (pp)'!$F6/efficiency!F6</f>
        <v>0.25542717750115718</v>
      </c>
      <c r="E6" s="3">
        <f ca="1">SQRT( POWER('raw yield'!E6/'raw yield'!D6,2) + POWER('raw yield pp'!E6/'raw yield pp'!D6,2))*'Jpsi RAA'!D6</f>
        <v>3.6963730959858374E-2</v>
      </c>
      <c r="F6" s="3">
        <f ca="1">SQRT(POWER('final systematics'!$J8,2)+POWER('final systematics'!$D8,2)+POWER('[3]final systematics (pp)'!$D8,2)+POWER(0.02,2)+POWER(0.136*(1-efficiency!$F6/'efficiency (pp)'!$F6),2))*D6</f>
        <v>2.209887506062632E-2</v>
      </c>
      <c r="G6" s="29">
        <f ca="1">'raw yield'!F6/(Results!$D6*Results!$F6*'raw yield pp'!$F6)*$B$21/Results!$B$21*'efficiency (pp)'!$F6/efficiency!F6</f>
        <v>0.25420459589849453</v>
      </c>
      <c r="H6" s="3">
        <f ca="1">SQRT( POWER('raw yield'!G6/'raw yield'!F6,2) + POWER('raw yield pp'!G6/'raw yield pp'!F6,2))*'Jpsi RAA'!G6</f>
        <v>4.4164834190095974E-2</v>
      </c>
      <c r="I6" s="3">
        <f ca="1">SQRT(POWER('final systematics'!$J8,2)+POWER('final systematics'!$D8,2)+POWER('[3]final systematics (pp)'!$D8,2)+POWER(0.02,2)+POWER(0.136*(1-efficiency!$F6/'efficiency (pp)'!$F6),2))*G6</f>
        <v>2.1993100575886774E-2</v>
      </c>
      <c r="J6" s="29">
        <f ca="1">'raw yield'!H6/(Results!$D6*Results!$F6*'raw yield pp'!H6)*$B$21/Results!$B$21*'efficiency (pp)'!$H6/efficiency!H6</f>
        <v>0.28966374904928993</v>
      </c>
      <c r="K6" s="3">
        <f ca="1">SQRT( POWER('raw yield'!I6/'raw yield'!H6,2) + POWER('raw yield pp'!I6/'raw yield pp'!H6,2))*'Jpsi RAA'!J6</f>
        <v>0.11526364087234565</v>
      </c>
      <c r="L6" s="3">
        <f ca="1">SQRT(POWER('final systematics'!$J8,2)+POWER('final systematics'!$D8,2)+POWER('[3]final systematics (pp)'!$D8,2)+POWER(0.02,2)+POWER(0.136*(1-efficiency!$F6/'efficiency (pp)'!$F6),2))*J6</f>
        <v>2.5060931504846912E-2</v>
      </c>
    </row>
    <row r="7" spans="1:15">
      <c r="A7" s="41"/>
      <c r="B7" s="1" t="s">
        <v>15</v>
      </c>
      <c r="C7" s="42"/>
      <c r="D7" s="3">
        <f ca="1">'raw yield'!D7/(Results!$D7*Results!$F7*'raw yield pp'!$D7)*$B$21/Results!$B$21*'efficiency (pp)'!$F7/efficiency!F7</f>
        <v>0.22813832974147702</v>
      </c>
      <c r="E7" s="3">
        <f ca="1">SQRT( POWER('raw yield'!E7/'raw yield'!D7,2) + POWER('raw yield pp'!E7/'raw yield pp'!D7,2))*'Jpsi RAA'!D7</f>
        <v>3.2019465906149597E-2</v>
      </c>
      <c r="F7" s="3">
        <f ca="1">SQRT(POWER('final systematics'!$J9,2)+POWER('final systematics'!$D9,2)+POWER('[3]final systematics (pp)'!$D9,2)+POWER(0.02,2)+POWER(0.136*(1-efficiency!$F7/'efficiency (pp)'!$F7),2))*D7</f>
        <v>2.0669616090960689E-2</v>
      </c>
      <c r="G7" s="3">
        <f ca="1">'raw yield'!F7/(Results!$D7*Results!$F7*'raw yield pp'!$F7)*$B$21/Results!$B$21*'efficiency (pp)'!$F7/efficiency!F7</f>
        <v>0.2340226604772338</v>
      </c>
      <c r="H7" s="3">
        <f ca="1">SQRT( POWER('raw yield'!G7/'raw yield'!F7,2) + POWER('raw yield pp'!G7/'raw yield pp'!F7,2))*'Jpsi RAA'!G7</f>
        <v>3.8954523399667158E-2</v>
      </c>
      <c r="I7" s="3">
        <f ca="1">SQRT(POWER('final systematics'!$J9,2)+POWER('final systematics'!$D9,2)+POWER('[3]final systematics (pp)'!$D9,2)+POWER(0.02,2)+POWER(0.136*(1-efficiency!$F7/'efficiency (pp)'!$F7),2))*G7</f>
        <v>2.1202743765727828E-2</v>
      </c>
      <c r="J7" s="3">
        <f ca="1">'raw yield'!H7/(Results!$D7*Results!$F7*'raw yield pp'!H7)*$B$21/Results!$B$21*'efficiency (pp)'!$H7/efficiency!H7</f>
        <v>0.21512655322235869</v>
      </c>
      <c r="K7" s="3">
        <f ca="1">SQRT( POWER('raw yield'!I7/'raw yield'!H7,2) + POWER('raw yield pp'!I7/'raw yield pp'!H7,2))*'Jpsi RAA'!J7</f>
        <v>0.11134908491353743</v>
      </c>
      <c r="L7" s="3">
        <f ca="1">SQRT(POWER('final systematics'!$J9,2)+POWER('final systematics'!$D9,2)+POWER('[3]final systematics (pp)'!$D9,2)+POWER(0.02,2)+POWER(0.136*(1-efficiency!$F7/'efficiency (pp)'!$F7),2))*J7</f>
        <v>1.949073297379085E-2</v>
      </c>
    </row>
    <row r="8" spans="1:15">
      <c r="A8" s="41" t="s">
        <v>16</v>
      </c>
      <c r="B8" s="1" t="s">
        <v>9</v>
      </c>
      <c r="C8" s="42"/>
      <c r="D8" s="29">
        <f ca="1">'raw yield'!D8/(Results!$D8*Results!$F8*'raw yield pp'!$D8)*$B$21/Results!$B$21*'efficiency (pp)'!$F8/efficiency!F8</f>
        <v>0.39376167553545899</v>
      </c>
      <c r="E8" s="3">
        <f ca="1">SQRT( POWER('raw yield'!E8/'raw yield'!D8,2) + POWER('raw yield pp'!E8/'raw yield pp'!D8,2))*'Jpsi RAA'!D8</f>
        <v>3.9590977894438224E-2</v>
      </c>
      <c r="F8" s="3">
        <f ca="1">SQRT(POWER('final systematics'!$J10,2)+POWER('final systematics'!$D10,2)+POWER('[3]final systematics (pp)'!$D10,2)+POWER(0.02,2)+POWER(0.136*(1-efficiency!$F8/'efficiency (pp)'!$F8),2))*D8</f>
        <v>2.6331643153158214E-2</v>
      </c>
      <c r="G8" s="29">
        <f ca="1">'raw yield'!F8/(Results!$D8*Results!$F8*'raw yield pp'!$F8)*$B$21/Results!$B$21*'efficiency (pp)'!$F8/efficiency!F8</f>
        <v>0.41844629172801939</v>
      </c>
      <c r="H8" s="3">
        <f ca="1">SQRT( POWER('raw yield'!G8/'raw yield'!F8,2) + POWER('raw yield pp'!G8/'raw yield pp'!F8,2))*'Jpsi RAA'!G8</f>
        <v>5.1499858540194302E-2</v>
      </c>
      <c r="I8" s="3">
        <f ca="1">SQRT(POWER('final systematics'!$J10,2)+POWER('final systematics'!$D10,2)+POWER('[3]final systematics (pp)'!$D10,2)+POWER(0.02,2)+POWER(0.136*(1-efficiency!$F8/'efficiency (pp)'!$F8),2))*G8</f>
        <v>2.7982353583702994E-2</v>
      </c>
      <c r="J8" s="29">
        <f ca="1">'raw yield'!H8/(Results!$D8*Results!$F8*'raw yield pp'!H8)*$B$21/Results!$B$21*'efficiency (pp)'!$H8/efficiency!H8</f>
        <v>0.30082699778316924</v>
      </c>
      <c r="K8" s="3">
        <f ca="1">SQRT( POWER('raw yield'!I8/'raw yield'!H8,2) + POWER('raw yield pp'!I8/'raw yield pp'!H8,2))*'Jpsi RAA'!J8</f>
        <v>0.10586699014451185</v>
      </c>
      <c r="L8" s="3">
        <f ca="1">SQRT(POWER('final systematics'!$J10,2)+POWER('final systematics'!$D10,2)+POWER('[3]final systematics (pp)'!$D10,2)+POWER(0.02,2)+POWER(0.136*(1-efficiency!$F8/'efficiency (pp)'!$F8),2))*J8</f>
        <v>2.0116912459016097E-2</v>
      </c>
    </row>
    <row r="9" spans="1:15">
      <c r="A9" s="41"/>
      <c r="B9" s="1" t="s">
        <v>17</v>
      </c>
      <c r="C9" s="42"/>
      <c r="D9" s="3">
        <f ca="1">'raw yield'!D9/(Results!$D9*Results!$F9*'raw yield pp'!$D9)*$B$21/Results!$B$21*'efficiency (pp)'!$F9/efficiency!F9</f>
        <v>0.40154246586696135</v>
      </c>
      <c r="E9" s="3">
        <f ca="1">SQRT( POWER('raw yield'!E9/'raw yield'!D9,2) + POWER('raw yield pp'!E9/'raw yield pp'!D9,2))*'Jpsi RAA'!D9</f>
        <v>5.8343556905773794E-2</v>
      </c>
      <c r="F9" s="3">
        <f ca="1">SQRT(POWER('final systematics'!$J11,2)+POWER('final systematics'!$D11,2)+POWER('[3]final systematics (pp)'!$D11,2)+POWER(0.02,2)+POWER(0.136*(1-efficiency!$F9/'efficiency (pp)'!$F9),2))*D9</f>
        <v>2.9662803690097734E-2</v>
      </c>
      <c r="G9" s="3">
        <f ca="1">'raw yield'!F9/(Results!$D9*Results!$F9*'raw yield pp'!$F9)*$B$21/Results!$B$21*'efficiency (pp)'!$F9/efficiency!F9</f>
        <v>0.38790942233615627</v>
      </c>
      <c r="H9" s="3">
        <f ca="1">SQRT( POWER('raw yield'!G9/'raw yield'!F9,2) + POWER('raw yield pp'!G9/'raw yield pp'!F9,2))*'Jpsi RAA'!G9</f>
        <v>5.9279291401680152E-2</v>
      </c>
      <c r="I9" s="3">
        <f ca="1">SQRT(POWER('final systematics'!$J11,2)+POWER('final systematics'!$D11,2)+POWER('[3]final systematics (pp)'!$D11,2)+POWER(0.02,2)+POWER(0.136*(1-efficiency!$F9/'efficiency (pp)'!$F9),2))*G9</f>
        <v>2.8655701507070322E-2</v>
      </c>
      <c r="J9" s="3">
        <f ca="1">'raw yield'!H9/(Results!$D9*Results!$F9*'raw yield pp'!H9)*$B$21/Results!$B$21*'efficiency (pp)'!$H9/efficiency!H9</f>
        <v>0.48512391215431283</v>
      </c>
      <c r="K9" s="3">
        <f ca="1">SQRT( POWER('raw yield'!I9/'raw yield'!H9,2) + POWER('raw yield pp'!I9/'raw yield pp'!H9,2))*'Jpsi RAA'!J9</f>
        <v>0.14272581159735043</v>
      </c>
      <c r="L9" s="3">
        <f ca="1">SQRT(POWER('final systematics'!$J11,2)+POWER('final systematics'!$D11,2)+POWER('[3]final systematics (pp)'!$D11,2)+POWER(0.02,2)+POWER(0.136*(1-efficiency!$F9/'efficiency (pp)'!$F9),2))*J9</f>
        <v>3.5837144498617801E-2</v>
      </c>
    </row>
    <row r="10" spans="1:15">
      <c r="A10" s="41" t="s">
        <v>8</v>
      </c>
      <c r="B10" s="41" t="s">
        <v>9</v>
      </c>
      <c r="C10" s="8" t="s">
        <v>18</v>
      </c>
      <c r="D10" s="30">
        <f ca="1">'raw yield'!D10/(Results!$D10*Results!$F10*'raw yield pp'!$D10)*$B$21/Results!$B$21*'efficiency (pp)'!$F10/efficiency!F10</f>
        <v>0.22334486986244664</v>
      </c>
      <c r="E10" s="3">
        <f ca="1">SQRT( POWER('raw yield'!E10/'raw yield'!D10,2) + POWER('raw yield pp'!E10/'raw yield pp'!D10,2))*'Jpsi RAA'!D10</f>
        <v>2.5840843523579217E-2</v>
      </c>
      <c r="F10" s="3">
        <f ca="1">SQRT(POWER('final systematics'!$J12,2)+POWER('final systematics'!$D12,2)+POWER('[3]final systematics (pp)'!$D12,2)+POWER(0.02,2)+POWER(0.136*(1-efficiency!$F10/'efficiency (pp)'!$F10),2))*D10</f>
        <v>1.6314835234326759E-2</v>
      </c>
      <c r="G10" s="30">
        <f ca="1">'raw yield'!F10/(Results!$D10*Results!$F10*'raw yield pp'!$F10)*$B$21/Results!$B$21*'efficiency (pp)'!$F10/efficiency!F10</f>
        <v>0.19618324547450697</v>
      </c>
      <c r="H10" s="3">
        <f ca="1">SQRT( POWER('raw yield'!G10/'raw yield'!F10,2) + POWER('raw yield pp'!$G$2/'raw yield pp'!$F$2,2))*'Jpsi RAA'!G10</f>
        <v>2.9341208300157618E-2</v>
      </c>
      <c r="I10" s="3">
        <f ca="1">SQRT(POWER('final systematics'!$J12,2)+POWER('final systematics'!$D12,2)+POWER('[3]final systematics (pp)'!$D12,2)+POWER(0.02,2)+POWER(0.136*(1-efficiency!$F10/'efficiency (pp)'!$F10),2))*G10</f>
        <v>1.4330740292460281E-2</v>
      </c>
      <c r="J10" s="3">
        <f ca="1">'raw yield'!H10/(Results!$D10*Results!$F10*'raw yield pp'!H10)*$B$21/Results!$B$21*'efficiency (pp)'!$H10/efficiency!H10</f>
        <v>0.35473751235982603</v>
      </c>
      <c r="K10" s="3">
        <f ca="1">SQRT( POWER('raw yield'!I10/'raw yield'!H10,2) + POWER('raw yield pp'!$I$2/'raw yield pp'!$H$2,2))*'Jpsi RAA'!J10</f>
        <v>9.310521459308152E-2</v>
      </c>
      <c r="L10" s="3">
        <f ca="1">SQRT(POWER('final systematics'!$J12,2)+POWER('final systematics'!$D12,2)+POWER('[3]final systematics (pp)'!$D12,2)+POWER(0.02,2)+POWER(0.136*(1-efficiency!$F10/'efficiency (pp)'!$F10),2))*J10</f>
        <v>2.5912769203742636E-2</v>
      </c>
    </row>
    <row r="11" spans="1:15">
      <c r="A11" s="41"/>
      <c r="B11" s="41"/>
      <c r="C11" s="8" t="s">
        <v>19</v>
      </c>
      <c r="D11" s="30">
        <f ca="1">'raw yield'!D11/(Results!$D11*Results!$F11*'raw yield pp'!$D11)*$B$21/Results!$B$21*'efficiency (pp)'!$F11/efficiency!F11</f>
        <v>0.24106317277279676</v>
      </c>
      <c r="E11" s="3">
        <f ca="1">SQRT( POWER('raw yield'!E11/'raw yield'!D11,2) + POWER('raw yield pp'!E11/'raw yield pp'!D11,2))*'Jpsi RAA'!D11</f>
        <v>3.1572066539128155E-2</v>
      </c>
      <c r="F11" s="3">
        <f ca="1">SQRT(POWER('final systematics'!$J13,2)+POWER('final systematics'!$D13,2)+POWER('[3]final systematics (pp)'!$D13,2)+POWER(0.02,2)+POWER(0.136*(1-efficiency!$F11/'efficiency (pp)'!$F11),2))*D11</f>
        <v>1.7988148343106879E-2</v>
      </c>
      <c r="G11" s="30">
        <f ca="1">'raw yield'!F11/(Results!$D11*Results!$F11*'raw yield pp'!$F11)*$B$21/Results!$B$21*'efficiency (pp)'!$F11/efficiency!F11</f>
        <v>0.21457060950579554</v>
      </c>
      <c r="H11" s="3">
        <f ca="1">SQRT( POWER('raw yield'!G11/'raw yield'!F11,2) + POWER('raw yield pp'!$G$2/'raw yield pp'!$F$2,2))*'Jpsi RAA'!G11</f>
        <v>3.6137138848431956E-2</v>
      </c>
      <c r="I11" s="3">
        <f ca="1">SQRT(POWER('final systematics'!$J13,2)+POWER('final systematics'!$D13,2)+POWER('[3]final systematics (pp)'!$D13,2)+POWER(0.02,2)+POWER(0.136*(1-efficiency!$F11/'efficiency (pp)'!$F11),2))*G11</f>
        <v>1.6011271690590922E-2</v>
      </c>
      <c r="J11" s="3">
        <f ca="1">'raw yield'!H11/(Results!$D11*Results!$F11*'raw yield pp'!H11)*$B$21/Results!$B$21*'efficiency (pp)'!$H11/efficiency!H11</f>
        <v>0.37556740498542751</v>
      </c>
      <c r="K11" s="3">
        <f ca="1">SQRT( POWER('raw yield'!I11/'raw yield'!H11,2) + POWER('raw yield pp'!$I$2/'raw yield pp'!$H$2,2))*'Jpsi RAA'!J11</f>
        <v>0.11308982277164353</v>
      </c>
      <c r="L11" s="3">
        <f ca="1">SQRT(POWER('final systematics'!$J13,2)+POWER('final systematics'!$D13,2)+POWER('[3]final systematics (pp)'!$D13,2)+POWER(0.02,2)+POWER(0.136*(1-efficiency!$F11/'efficiency (pp)'!$F11),2))*J11</f>
        <v>2.8024862180341864E-2</v>
      </c>
    </row>
    <row r="12" spans="1:15">
      <c r="A12" s="41"/>
      <c r="B12" s="41"/>
      <c r="C12" s="8" t="s">
        <v>20</v>
      </c>
      <c r="D12" s="30">
        <f ca="1">'raw yield'!D12/(Results!$D12*Results!$F12*'raw yield pp'!$D12)*$B$21/Results!$B$21*'efficiency (pp)'!$F12/efficiency!F12</f>
        <v>0.31140322076365712</v>
      </c>
      <c r="E12" s="3">
        <f ca="1">SQRT( POWER('raw yield'!E12/'raw yield'!D12,2) + POWER('raw yield pp'!E12/'raw yield pp'!D12,2))*'Jpsi RAA'!D12</f>
        <v>4.4765039043436643E-2</v>
      </c>
      <c r="F12" s="3">
        <f ca="1">SQRT(POWER('final systematics'!$J14,2)+POWER('final systematics'!$D14,2)+POWER('[3]final systematics (pp)'!$D14,2)+POWER(0.02,2)+POWER(0.136*(1-efficiency!$F12/'efficiency (pp)'!$F12),2))*D12</f>
        <v>2.5684064533213972E-2</v>
      </c>
      <c r="G12" s="30">
        <f ca="1">'raw yield'!F12/(Results!$D12*Results!$F12*'raw yield pp'!$F12)*$B$21/Results!$B$21*'efficiency (pp)'!$F12/efficiency!F12</f>
        <v>0.36193454767232391</v>
      </c>
      <c r="H12" s="3">
        <f ca="1">SQRT( POWER('raw yield'!G12/'raw yield'!F12,2) + POWER('raw yield pp'!$G$2/'raw yield pp'!$F$2,2))*'Jpsi RAA'!G12</f>
        <v>5.6012399908645587E-2</v>
      </c>
      <c r="I12" s="3">
        <f ca="1">SQRT(POWER('final systematics'!$J14,2)+POWER('final systematics'!$D14,2)+POWER('[3]final systematics (pp)'!$D14,2)+POWER(0.02,2)+POWER(0.136*(1-efficiency!$F12/'efficiency (pp)'!$F12),2))*G12</f>
        <v>2.9851811604321328E-2</v>
      </c>
      <c r="J12" s="3">
        <f ca="1">'raw yield'!H12/(Results!$D12*Results!$F12*'raw yield pp'!H12)*$B$21/Results!$B$21*'efficiency (pp)'!$H12/efficiency!H12</f>
        <v>0.11316254966903218</v>
      </c>
      <c r="K12" s="3">
        <f ca="1">SQRT( POWER('raw yield'!I12/'raw yield'!H12,2) + POWER('raw yield pp'!$I$2/'raw yield pp'!$H$2,2))*'Jpsi RAA'!J12</f>
        <v>8.0242965054725557E-2</v>
      </c>
      <c r="L12" s="3">
        <f ca="1">SQRT(POWER('final systematics'!$J14,2)+POWER('final systematics'!$D14,2)+POWER('[3]final systematics (pp)'!$D14,2)+POWER(0.02,2)+POWER(0.136*(1-efficiency!$F12/'efficiency (pp)'!$F12),2))*J12</f>
        <v>9.3334751686732047E-3</v>
      </c>
    </row>
    <row r="13" spans="1:15">
      <c r="A13" s="41"/>
      <c r="B13" s="41"/>
      <c r="C13" s="8" t="s">
        <v>21</v>
      </c>
      <c r="D13" s="30">
        <f ca="1">'raw yield'!D13/(Results!$D13*Results!$F13*'raw yield pp'!$D13)*$B$21/Results!$B$21*'efficiency (pp)'!$F13/efficiency!F13</f>
        <v>0.4816070496953001</v>
      </c>
      <c r="E13" s="3">
        <f ca="1">SQRT( POWER('raw yield'!E13/'raw yield'!D13,2) + POWER('raw yield pp'!E13/'raw yield pp'!D13,2))*'Jpsi RAA'!D13</f>
        <v>6.9961471734390837E-2</v>
      </c>
      <c r="F13" s="3">
        <f ca="1">SQRT(POWER('final systematics'!$J15,2)+POWER('final systematics'!$D15,2)+POWER('[3]final systematics (pp)'!$D15,2)+POWER(0.02,2)+POWER(0.136*(1-efficiency!$F13/'efficiency (pp)'!$F13),2))*D13</f>
        <v>4.7225447754954256E-2</v>
      </c>
      <c r="G13" s="30">
        <f ca="1">'raw yield'!F13/(Results!$D13*Results!$F13*'raw yield pp'!$F13)*$B$21/Results!$B$21*'efficiency (pp)'!$F13/efficiency!F13</f>
        <v>0.49300987369259719</v>
      </c>
      <c r="H13" s="3">
        <f ca="1">SQRT( POWER('raw yield'!G13/'raw yield'!F13,2) + POWER('raw yield pp'!$G$2/'raw yield pp'!$F$2,2))*'Jpsi RAA'!G13</f>
        <v>8.2965028845037883E-2</v>
      </c>
      <c r="I13" s="3">
        <f ca="1">SQRT(POWER('final systematics'!$J15,2)+POWER('final systematics'!$D15,2)+POWER('[3]final systematics (pp)'!$D15,2)+POWER(0.02,2)+POWER(0.136*(1-efficiency!$F13/'efficiency (pp)'!$F13),2))*G13</f>
        <v>4.8343586431047116E-2</v>
      </c>
      <c r="J13" s="3">
        <f ca="1">'raw yield'!H13/(Results!$D13*Results!$F13*'raw yield pp'!H13)*$B$21/Results!$B$21*'efficiency (pp)'!$H13/efficiency!H13</f>
        <v>0.45019866266418052</v>
      </c>
      <c r="K13" s="3">
        <f ca="1">SQRT( POWER('raw yield'!I13/'raw yield'!H13,2) + POWER('raw yield pp'!$I$2/'raw yield pp'!$H$2,2))*'Jpsi RAA'!J13</f>
        <v>0.18304273319037298</v>
      </c>
      <c r="L13" s="3">
        <f ca="1">SQRT(POWER('final systematics'!$J15,2)+POWER('final systematics'!$D15,2)+POWER('[3]final systematics (pp)'!$D15,2)+POWER(0.02,2)+POWER(0.136*(1-efficiency!$F13/'efficiency (pp)'!$F13),2))*J13</f>
        <v>4.4145602595411948E-2</v>
      </c>
    </row>
    <row r="14" spans="1:15">
      <c r="A14" s="41"/>
      <c r="B14" s="41"/>
      <c r="C14" s="8" t="s">
        <v>22</v>
      </c>
      <c r="D14" s="30">
        <f ca="1">'raw yield'!D14/(Results!$D14*Results!$F14*'raw yield pp'!$D14)*$B$21/Results!$B$21*'efficiency (pp)'!$F14/efficiency!F14</f>
        <v>0.67059863008492082</v>
      </c>
      <c r="E14" s="3">
        <f ca="1">SQRT( POWER('raw yield'!E14/'raw yield'!D14,2) + POWER('raw yield pp'!E14/'raw yield pp'!D14,2))*'Jpsi RAA'!D14</f>
        <v>0.10701124755633415</v>
      </c>
      <c r="F14" s="3">
        <f ca="1">SQRT(POWER('final systematics'!$J16,2)+POWER('final systematics'!$D16,2)+POWER('[3]final systematics (pp)'!$D16,2)+POWER(0.02,2)+POWER(0.136*(1-efficiency!$F14/'efficiency (pp)'!$F14),2))*D14</f>
        <v>7.9918694357338546E-2</v>
      </c>
      <c r="G14" s="30">
        <f ca="1">'raw yield'!F14/(Results!$D14*Results!$F14*'raw yield pp'!$F14)*$B$21/Results!$B$21*'efficiency (pp)'!$F14/efficiency!F14</f>
        <v>0.64363444191663888</v>
      </c>
      <c r="H14" s="3">
        <f ca="1">SQRT( POWER('raw yield'!G14/'raw yield'!F14,2) + POWER('raw yield pp'!$G$2/'raw yield pp'!$F$2,2))*'Jpsi RAA'!G14</f>
        <v>0.12741628469196462</v>
      </c>
      <c r="I14" s="3">
        <f ca="1">SQRT(POWER('final systematics'!$J16,2)+POWER('final systematics'!$D16,2)+POWER('[3]final systematics (pp)'!$D16,2)+POWER(0.02,2)+POWER(0.136*(1-efficiency!$F14/'efficiency (pp)'!$F14),2))*G14</f>
        <v>7.6705233106244441E-2</v>
      </c>
      <c r="J14" s="3">
        <f ca="1">'raw yield'!H14/(Results!$D14*Results!$F14*'raw yield pp'!H14)*$B$21/Results!$B$21*'efficiency (pp)'!$H14/efficiency!H14</f>
        <v>0.80124946254006768</v>
      </c>
      <c r="K14" s="3">
        <f ca="1">SQRT( POWER('raw yield'!I14/'raw yield'!H14,2) + POWER('raw yield pp'!$I$2/'raw yield pp'!$H$2,2))*'Jpsi RAA'!J14</f>
        <v>0.33750936005490978</v>
      </c>
      <c r="L14" s="3">
        <f ca="1">SQRT(POWER('final systematics'!$J16,2)+POWER('final systematics'!$D16,2)+POWER('[3]final systematics (pp)'!$D16,2)+POWER(0.02,2)+POWER(0.136*(1-efficiency!$F14/'efficiency (pp)'!$F14),2))*J14</f>
        <v>9.5489027307754035E-2</v>
      </c>
    </row>
    <row r="15" spans="1:15">
      <c r="A15" s="41"/>
      <c r="B15" s="41"/>
      <c r="C15" s="8" t="s">
        <v>23</v>
      </c>
      <c r="D15" s="30">
        <f ca="1">'raw yield'!D15/(Results!$D15*Results!$F15*'raw yield pp'!$D15)*$B$21/Results!$B$21*'efficiency (pp)'!$F15/efficiency!F15</f>
        <v>0.59466734271557375</v>
      </c>
      <c r="E15" s="3">
        <f ca="1">SQRT( POWER('raw yield'!E15/'raw yield'!D15,2) + POWER('raw yield pp'!E15/'raw yield pp'!D15,2))*'Jpsi RAA'!D15</f>
        <v>0.1032421288639979</v>
      </c>
      <c r="F15" s="3">
        <f ca="1">SQRT(POWER('final systematics'!$J17,2)+POWER('final systematics'!$D17,2)+POWER('[3]final systematics (pp)'!$D17,2)+POWER(0.02,2)+POWER(0.136*(1-efficiency!$F15/'efficiency (pp)'!$F15),2))*D15</f>
        <v>9.5375506136013644E-2</v>
      </c>
      <c r="G15" s="30">
        <f ca="1">'raw yield'!F15/(Results!$D15*Results!$F15*'raw yield pp'!$F15)*$B$21/Results!$B$21*'efficiency (pp)'!$F15/efficiency!F15</f>
        <v>0.59328807423013619</v>
      </c>
      <c r="H15" s="3">
        <f ca="1">SQRT( POWER('raw yield'!G15/'raw yield'!F15,2) + POWER('raw yield pp'!$G$2/'raw yield pp'!$F$2,2))*'Jpsi RAA'!G15</f>
        <v>0.11875494783517561</v>
      </c>
      <c r="I15" s="3">
        <f ca="1">SQRT(POWER('final systematics'!$J17,2)+POWER('final systematics'!$D17,2)+POWER('[3]final systematics (pp)'!$D17,2)+POWER(0.02,2)+POWER(0.136*(1-efficiency!$F15/'efficiency (pp)'!$F15),2))*G15</f>
        <v>9.5154292660097284E-2</v>
      </c>
      <c r="J15" s="3">
        <f ca="1">'raw yield'!H15/(Results!$D15*Results!$F15*'raw yield pp'!H15)*$B$21/Results!$B$21*'efficiency (pp)'!$H15/efficiency!H15</f>
        <v>0.64910486515320598</v>
      </c>
      <c r="K15" s="3">
        <f ca="1">SQRT( POWER('raw yield'!I15/'raw yield'!H15,2) + POWER('raw yield pp'!$I$2/'raw yield pp'!$H$2,2))*'Jpsi RAA'!J15</f>
        <v>0.27880426818371151</v>
      </c>
      <c r="L15" s="3">
        <f ca="1">SQRT(POWER('final systematics'!$J17,2)+POWER('final systematics'!$D17,2)+POWER('[3]final systematics (pp)'!$D17,2)+POWER(0.02,2)+POWER(0.136*(1-efficiency!$F15/'efficiency (pp)'!$F15),2))*J15</f>
        <v>0.10410644843321507</v>
      </c>
    </row>
    <row r="16" spans="1:15">
      <c r="A16" s="41"/>
      <c r="B16" s="41"/>
      <c r="C16" s="8" t="s">
        <v>24</v>
      </c>
      <c r="D16" s="3">
        <f ca="1">'raw yield'!D16/(Results!$D16*Results!$F16*'raw yield pp'!$D16)*$B$21/Results!$B$21*'efficiency (pp)'!$F16/efficiency!F16</f>
        <v>0.23002075908274289</v>
      </c>
      <c r="E16" s="3">
        <f ca="1">SQRT( POWER('raw yield'!E16/'raw yield'!D16,2) + POWER('raw yield pp'!E16/'raw yield pp'!D16,2))*'Jpsi RAA'!D16</f>
        <v>2.0690347695460798E-2</v>
      </c>
      <c r="F16" s="3">
        <f ca="1">SQRT(POWER('final systematics'!$J18,2)+POWER('final systematics'!$D18,2)+POWER('[3]final systematics (pp)'!$D18,2)+POWER(0.02,2)+POWER(0.136*(1-efficiency!$F16/'efficiency (pp)'!$F16),2))*D16</f>
        <v>1.6152359093181717E-2</v>
      </c>
      <c r="G16" s="3">
        <f ca="1">'raw yield'!F16/(Results!$D16*Results!$F16*'raw yield pp'!$F16)*$B$21/Results!$B$21*'efficiency (pp)'!$F16/efficiency!F16</f>
        <v>0.20431218760658326</v>
      </c>
      <c r="H16" s="3">
        <f ca="1">SQRT( POWER('raw yield'!G16/'raw yield'!F16,2) + POWER('raw yield pp'!$G$2/'raw yield pp'!$F$2,2))*'Jpsi RAA'!G16</f>
        <v>2.4056286839321411E-2</v>
      </c>
      <c r="I16" s="3">
        <f ca="1">SQRT(POWER('final systematics'!$J18,2)+POWER('final systematics'!$D18,2)+POWER('[3]final systematics (pp)'!$D18,2)+POWER(0.02,2)+POWER(0.136*(1-efficiency!$F16/'efficiency (pp)'!$F16),2))*G16</f>
        <v>1.4347069518833848E-2</v>
      </c>
      <c r="J16" s="30">
        <f ca="1">'raw yield'!H16/(Results!$D16*Results!$F16*'raw yield pp'!H16)*$B$21/Results!$B$21*'efficiency (pp)'!$H16/efficiency!H16</f>
        <v>0.36087556761059397</v>
      </c>
      <c r="K16" s="3">
        <f ca="1">SQRT( POWER('raw yield'!I16/'raw yield'!H16,2) + POWER('raw yield pp'!$I$2/'raw yield pp'!$H$2,2))*'Jpsi RAA'!J16</f>
        <v>7.9092965790565462E-2</v>
      </c>
      <c r="L16" s="3">
        <f ca="1">SQRT(POWER('final systematics'!$J18,2)+POWER('final systematics'!$D18,2)+POWER('[3]final systematics (pp)'!$D18,2)+POWER(0.02,2)+POWER(0.136*(1-efficiency!$F16/'efficiency (pp)'!$F16),2))*J16</f>
        <v>2.534115520375833E-2</v>
      </c>
    </row>
    <row r="17" spans="1:18">
      <c r="A17" s="41"/>
      <c r="B17" s="41"/>
      <c r="C17" s="8" t="s">
        <v>25</v>
      </c>
      <c r="D17" s="3">
        <f ca="1">'raw yield'!D17/(Results!$D17*Results!$F17*'raw yield pp'!$D17)*$B$21/Results!$B$21*'efficiency (pp)'!$F17/efficiency!F17</f>
        <v>0.44765715023842051</v>
      </c>
      <c r="E17" s="3">
        <f ca="1">SQRT( POWER('raw yield'!E17/'raw yield'!D17,2) + POWER('raw yield pp'!E17/'raw yield pp'!D17,2))*'Jpsi RAA'!D17</f>
        <v>3.6985658664718847E-2</v>
      </c>
      <c r="F17" s="3">
        <f ca="1">SQRT(POWER('final systematics'!$J19,2)+POWER('final systematics'!$D19,2)+POWER('[3]final systematics (pp)'!$D19,2)+POWER(0.02,2)+POWER(0.136*(1-efficiency!$F17/'efficiency (pp)'!$F17),2))*D17</f>
        <v>4.4169289554929325E-2</v>
      </c>
      <c r="G17" s="3">
        <f ca="1">'raw yield'!F17/(Results!$D17*Results!$F17*'raw yield pp'!$F17)*$B$21/Results!$B$21*'efficiency (pp)'!$F17/efficiency!F17</f>
        <v>0.47185799442075277</v>
      </c>
      <c r="H17" s="3">
        <f ca="1">SQRT( POWER('raw yield'!G17/'raw yield'!F17,2) + POWER('raw yield pp'!$G$2/'raw yield pp'!$F$2,2))*'Jpsi RAA'!G17</f>
        <v>4.5207829366909973E-2</v>
      </c>
      <c r="I17" s="3">
        <f ca="1">SQRT(POWER('final systematics'!$J19,2)+POWER('final systematics'!$D19,2)+POWER('[3]final systematics (pp)'!$D19,2)+POWER(0.02,2)+POWER(0.136*(1-efficiency!$F17/'efficiency (pp)'!$F17),2))*G17</f>
        <v>4.6557130547961276E-2</v>
      </c>
      <c r="J17" s="30">
        <f ca="1">'raw yield'!H17/(Results!$D17*Results!$F17*'raw yield pp'!H17)*$B$21/Results!$B$21*'efficiency (pp)'!$H17/efficiency!H17</f>
        <v>0.36678825868872977</v>
      </c>
      <c r="K17" s="3">
        <f ca="1">SQRT( POWER('raw yield'!I17/'raw yield'!H17,2) + POWER('raw yield pp'!$I$2/'raw yield pp'!$H$2,2))*'Jpsi RAA'!J17</f>
        <v>9.5288233691953189E-2</v>
      </c>
      <c r="L17" s="3">
        <f ca="1">SQRT(POWER('final systematics'!$J19,2)+POWER('final systematics'!$D19,2)+POWER('[3]final systematics (pp)'!$D19,2)+POWER(0.02,2)+POWER(0.136*(1-efficiency!$F17/'efficiency (pp)'!$F17),2))*J17</f>
        <v>3.6190144164440032E-2</v>
      </c>
      <c r="O17">
        <f ca="1">G8/G5</f>
        <v>1.47527689255997</v>
      </c>
      <c r="P17">
        <f ca="1">SQRT(POWER(H5/G5,2)+POWER(H8/G8,2))*O17</f>
        <v>0.27538974907129782</v>
      </c>
      <c r="Q17">
        <f ca="1">SQRT(POWER(I5/G5,2)+POWER(I8/G8,2))*O17</f>
        <v>0.15369192251932207</v>
      </c>
      <c r="R17">
        <f ca="1">SQRT(P17*P17+Q17*Q17)</f>
        <v>0.31537393827207355</v>
      </c>
    </row>
    <row r="19" spans="1:18">
      <c r="E19" t="s">
        <v>158</v>
      </c>
      <c r="F19" t="s">
        <v>159</v>
      </c>
      <c r="G19" t="s">
        <v>160</v>
      </c>
      <c r="H19" t="s">
        <v>161</v>
      </c>
      <c r="I19" t="s">
        <v>36</v>
      </c>
      <c r="K19" t="s">
        <v>162</v>
      </c>
    </row>
    <row r="20" spans="1:18">
      <c r="E20" s="2">
        <f ca="1">'raw yield'!H17</f>
        <v>32.209800000000001</v>
      </c>
      <c r="F20">
        <f>Results!$D17</f>
        <v>2.3702092089843747</v>
      </c>
      <c r="G20">
        <f>Results!$F17</f>
        <v>0.8</v>
      </c>
      <c r="H20">
        <f>efficiency!H17</f>
        <v>0.314</v>
      </c>
      <c r="I20">
        <f>Results!X17</f>
        <v>0.33600000000000002</v>
      </c>
      <c r="J20">
        <f ca="1">E20/(F20*G20)/Results!$B$21/H20/I20/K20</f>
        <v>0.60225386099767575</v>
      </c>
      <c r="K20" s="2">
        <f>Results!G17</f>
        <v>4.8</v>
      </c>
    </row>
    <row r="21" spans="1:18">
      <c r="A21" t="s">
        <v>117</v>
      </c>
      <c r="B21" s="14">
        <v>225.1</v>
      </c>
      <c r="C21" s="8" t="s">
        <v>118</v>
      </c>
    </row>
    <row r="22" spans="1:18">
      <c r="B22">
        <v>262.39999999999998</v>
      </c>
      <c r="C22" t="s">
        <v>139</v>
      </c>
    </row>
    <row r="23" spans="1:18">
      <c r="G23">
        <v>0.66209564334052617</v>
      </c>
      <c r="H23">
        <f ca="1">G23*G$2/G10</f>
        <v>1.0000000000000004</v>
      </c>
      <c r="J23" s="5">
        <v>0.96422949899999999</v>
      </c>
      <c r="K23">
        <f ca="1">J23*J$2/J10</f>
        <v>0.99999999999263733</v>
      </c>
    </row>
    <row r="24" spans="1:18">
      <c r="G24">
        <v>0.72415085905574628</v>
      </c>
      <c r="H24">
        <f t="shared" ref="H24:H30" ca="1" si="0">G24*G$2/G11</f>
        <v>1.0000000000000007</v>
      </c>
      <c r="J24" s="5">
        <v>1.0208482560000001</v>
      </c>
      <c r="K24">
        <f t="shared" ref="K24:K30" ca="1" si="1">J24*J$2/J11</f>
        <v>1.0000000002148706</v>
      </c>
    </row>
    <row r="25" spans="1:18">
      <c r="D25" s="8" t="s">
        <v>18</v>
      </c>
      <c r="E25">
        <f ca="1">'efficiency (pp)'!$F10/efficiency!D10</f>
        <v>1.2745253686761286</v>
      </c>
      <c r="G25">
        <v>1.2214870164303051</v>
      </c>
      <c r="H25">
        <f t="shared" ca="1" si="0"/>
        <v>1.0000000000000004</v>
      </c>
      <c r="J25" s="5">
        <v>0.307592698</v>
      </c>
      <c r="K25">
        <f t="shared" ca="1" si="1"/>
        <v>0.99999999940274176</v>
      </c>
    </row>
    <row r="26" spans="1:18">
      <c r="D26" s="8" t="s">
        <v>19</v>
      </c>
      <c r="E26">
        <f ca="1">'efficiency (pp)'!$F11/efficiency!D11</f>
        <v>1.2167028102000528</v>
      </c>
      <c r="G26">
        <v>1.6638510016807135</v>
      </c>
      <c r="H26">
        <f t="shared" ca="1" si="0"/>
        <v>1.0000000000000004</v>
      </c>
      <c r="J26" s="5">
        <v>1.223707152</v>
      </c>
      <c r="K26">
        <f t="shared" ca="1" si="1"/>
        <v>1.0000000000070461</v>
      </c>
    </row>
    <row r="27" spans="1:18">
      <c r="D27" s="8" t="s">
        <v>20</v>
      </c>
      <c r="E27">
        <f ca="1">'efficiency (pp)'!$F12/efficiency!D12</f>
        <v>1.1161412027491406</v>
      </c>
      <c r="G27">
        <v>2.1721914063874195</v>
      </c>
      <c r="H27">
        <f t="shared" ca="1" si="0"/>
        <v>1.0000000000000004</v>
      </c>
      <c r="J27" s="5">
        <v>2.1779156159999999</v>
      </c>
      <c r="K27">
        <f t="shared" ca="1" si="1"/>
        <v>0.99999999987670163</v>
      </c>
    </row>
    <row r="28" spans="1:18">
      <c r="D28" s="8" t="s">
        <v>21</v>
      </c>
      <c r="E28">
        <f ca="1">'efficiency (pp)'!$F13/efficiency!D13</f>
        <v>1.1205001976736717</v>
      </c>
      <c r="G28">
        <v>2.0022782691945427</v>
      </c>
      <c r="H28">
        <f t="shared" ca="1" si="0"/>
        <v>1.0000000000000004</v>
      </c>
      <c r="J28" s="5">
        <v>1.764363895</v>
      </c>
      <c r="K28">
        <f t="shared" ca="1" si="1"/>
        <v>1.0000000001278937</v>
      </c>
    </row>
    <row r="29" spans="1:18">
      <c r="D29" s="8" t="s">
        <v>22</v>
      </c>
      <c r="E29">
        <f ca="1">'efficiency (pp)'!$F14/efficiency!D14</f>
        <v>1.0986681625664594</v>
      </c>
      <c r="G29">
        <v>0.68952987788791176</v>
      </c>
      <c r="H29">
        <f t="shared" ca="1" si="0"/>
        <v>1.0000000000000002</v>
      </c>
      <c r="J29" s="5">
        <v>0.980913649</v>
      </c>
      <c r="K29">
        <f t="shared" ca="1" si="1"/>
        <v>0.99999999978444498</v>
      </c>
    </row>
    <row r="30" spans="1:18">
      <c r="D30" s="8" t="s">
        <v>23</v>
      </c>
      <c r="E30">
        <f ca="1">'efficiency (pp)'!$F15/efficiency!D15</f>
        <v>1.0285345599468387</v>
      </c>
      <c r="G30">
        <v>1.5924658684575366</v>
      </c>
      <c r="H30">
        <f t="shared" ca="1" si="0"/>
        <v>1.0000000000000007</v>
      </c>
      <c r="J30" s="5">
        <v>0.99698522599999995</v>
      </c>
      <c r="K30">
        <f t="shared" ca="1" si="1"/>
        <v>1.000000000038507</v>
      </c>
    </row>
    <row r="31" spans="1:18">
      <c r="D31" s="8" t="s">
        <v>24</v>
      </c>
      <c r="E31">
        <f ca="1">'efficiency (pp)'!$F16/efficiency!D16</f>
        <v>1.2506922069436037</v>
      </c>
    </row>
    <row r="32" spans="1:18">
      <c r="D32" s="8" t="s">
        <v>25</v>
      </c>
      <c r="E32">
        <f ca="1">'efficiency (pp)'!$F17/efficiency!D17</f>
        <v>1.0994121760105946</v>
      </c>
    </row>
  </sheetData>
  <mergeCells count="6">
    <mergeCell ref="A2:A4"/>
    <mergeCell ref="C2:C9"/>
    <mergeCell ref="A6:A7"/>
    <mergeCell ref="A8:A9"/>
    <mergeCell ref="A10:A17"/>
    <mergeCell ref="B10:B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Ruler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0" sqref="D20"/>
    </sheetView>
  </sheetViews>
  <sheetFormatPr baseColWidth="10" defaultRowHeight="15" x14ac:dyDescent="0"/>
  <cols>
    <col min="4" max="4" width="11.83203125" bestFit="1" customWidth="1"/>
    <col min="5" max="6" width="12.1640625" bestFit="1" customWidth="1"/>
  </cols>
  <sheetData>
    <row r="1" spans="1:18">
      <c r="B1" t="s">
        <v>102</v>
      </c>
      <c r="C1" t="s">
        <v>101</v>
      </c>
      <c r="D1" t="s">
        <v>38</v>
      </c>
      <c r="E1" t="s">
        <v>104</v>
      </c>
      <c r="F1" t="s">
        <v>101</v>
      </c>
      <c r="G1" t="s">
        <v>38</v>
      </c>
      <c r="H1" t="s">
        <v>105</v>
      </c>
      <c r="I1" t="s">
        <v>101</v>
      </c>
      <c r="J1" t="s">
        <v>38</v>
      </c>
    </row>
    <row r="2" spans="1:18">
      <c r="A2" s="1" t="s">
        <v>10</v>
      </c>
      <c r="B2" s="2">
        <f>Results!K29</f>
        <v>86.347399999999993</v>
      </c>
      <c r="C2" s="2">
        <f>Results!L29</f>
        <v>11.694599999999999</v>
      </c>
      <c r="D2" s="2"/>
      <c r="E2" s="4">
        <f>B2/ReReco!U42/Results!$B$21*'efficiency (pp)'!D24/efficiency!D24</f>
        <v>0.27680484645312414</v>
      </c>
      <c r="F2" s="4">
        <f>C2/$B2*$E2</f>
        <v>3.7489512797498313E-2</v>
      </c>
      <c r="G2" s="4"/>
      <c r="H2" s="3">
        <f>E2/E$7</f>
        <v>0.61691852412473513</v>
      </c>
      <c r="I2" s="3">
        <f t="shared" ref="I2:I4" si="0">SQRT( POWER(F2/$E2,2) + POWER(F$7/$E$7,2) )*$H2</f>
        <v>0.11010615401308227</v>
      </c>
      <c r="J2" s="3">
        <f>SQRT(POWER('final systematics'!$J33,2)+POWER('final systematics'!$D33,2)+POWER('[3]final systematics (pp)'!$D33,2)+POWER(0.02,2)+POWER(0.136*(1-efficiency!D24/'efficiency (pp)'!D24),2))*H2</f>
        <v>9.617515331134692E-2</v>
      </c>
    </row>
    <row r="3" spans="1:18">
      <c r="A3" s="1" t="s">
        <v>18</v>
      </c>
      <c r="B3" s="2">
        <f>Results!K32</f>
        <v>23.9941</v>
      </c>
      <c r="C3" s="2">
        <f>Results!L32</f>
        <v>6.6270300000000004</v>
      </c>
      <c r="D3" s="2"/>
      <c r="E3" s="4">
        <f>B3/(ReReco!U2*0.1)/Results!$B$21*'efficiency (pp)'!D27/efficiency!D27</f>
        <v>0.19802631848663993</v>
      </c>
      <c r="F3" s="4">
        <f t="shared" ref="F2:F4" si="1">C3/$B3*$E3</f>
        <v>5.4693710262127673E-2</v>
      </c>
      <c r="G3" s="4"/>
      <c r="H3" s="3">
        <f>E3/E$7</f>
        <v>0.4413438048647787</v>
      </c>
      <c r="I3" s="3">
        <f t="shared" si="0"/>
        <v>0.13225181559470997</v>
      </c>
      <c r="J3" s="3">
        <f>SQRT(POWER('final systematics'!$J36,2)+POWER('final systematics'!$D36,2)+POWER('[3]final systematics (pp)'!$D36,2)+POWER(0.02,2)+POWER(0.136*(1-efficiency!D27/'efficiency (pp)'!D27),2))*H3</f>
        <v>7.6611719651985252E-2</v>
      </c>
    </row>
    <row r="4" spans="1:18">
      <c r="A4" s="1" t="s">
        <v>19</v>
      </c>
      <c r="B4" s="2">
        <f>Results!K33</f>
        <v>30.016100000000002</v>
      </c>
      <c r="C4" s="2">
        <f>Results!L33</f>
        <v>6.7226999999999997</v>
      </c>
      <c r="D4" s="2"/>
      <c r="E4" s="4">
        <f>B4/(ReReco!U6*0.1)/Results!$B$21*'efficiency (pp)'!D28/efficiency!D28</f>
        <v>0.36757894477608455</v>
      </c>
      <c r="F4" s="4">
        <f t="shared" si="1"/>
        <v>8.2326583801565947E-2</v>
      </c>
      <c r="G4" s="4"/>
      <c r="H4" s="3">
        <f>E4/E$7</f>
        <v>0.81922792543660039</v>
      </c>
      <c r="I4" s="3">
        <f t="shared" si="0"/>
        <v>0.20672102387983374</v>
      </c>
      <c r="J4" s="3">
        <f>SQRT(POWER('final systematics'!$J37,2)+POWER('final systematics'!$D37,2)+POWER('[3]final systematics (pp)'!$D37,2)+POWER(0.02,2)+POWER(0.136*(1-efficiency!D28/'efficiency (pp)'!D28),2))*H4</f>
        <v>0.12602156131385725</v>
      </c>
    </row>
    <row r="5" spans="1:18">
      <c r="A5" s="1" t="s">
        <v>25</v>
      </c>
      <c r="B5" s="2">
        <f>Results!K34</f>
        <v>32.010800000000003</v>
      </c>
      <c r="C5" s="2">
        <f>Results!L34</f>
        <v>6.2656000000000001</v>
      </c>
      <c r="D5" s="2"/>
      <c r="E5" s="4">
        <f>B5/(ReReco!AO10*0.8)/Results!$B$21*'efficiency (pp)'!D29/efficiency!D29</f>
        <v>0.29559794232678233</v>
      </c>
      <c r="F5" s="4">
        <f>C5/$B5*$E5</f>
        <v>5.785854984701061E-2</v>
      </c>
      <c r="G5" s="4"/>
      <c r="H5" s="3">
        <f>E5/E$7</f>
        <v>0.6588029387896901</v>
      </c>
      <c r="I5" s="3">
        <f>SQRT( POWER(F5/$E5,2) + POWER(F$7/$E$7,2) )*$H5</f>
        <v>0.14997422864558724</v>
      </c>
      <c r="J5" s="3">
        <f>SQRT(POWER('final systematics'!$J38,2)+POWER('final systematics'!$D38,2)+POWER('[3]final systematics (pp)'!$D38,2)+POWER(0.02,2)+POWER(0.136*(1-efficiency!D29/'efficiency (pp)'!D29),2))*H5</f>
        <v>0.11141982323376345</v>
      </c>
    </row>
    <row r="6" spans="1:18">
      <c r="A6" s="1" t="s">
        <v>24</v>
      </c>
      <c r="B6" s="2">
        <v>54.299399999999999</v>
      </c>
      <c r="C6" s="2">
        <v>9.4262200000000007</v>
      </c>
      <c r="D6" s="2"/>
      <c r="E6" s="4">
        <f>B6/(ReReco!AO2*0.2)/Results!$B$21*'efficiency (pp)'!D30/efficiency!D30</f>
        <v>0.26709380385767351</v>
      </c>
      <c r="F6" s="4">
        <f>C6/$B6*$E6</f>
        <v>4.6366717786923604E-2</v>
      </c>
      <c r="G6" s="4"/>
      <c r="H6" s="3">
        <f>E6/E$7</f>
        <v>0.59527539849863675</v>
      </c>
      <c r="I6" s="3">
        <f>SQRT( POWER(F6/$E6,2) + POWER(F$7/$E$7,2) )*$H6</f>
        <v>0.1243643412019582</v>
      </c>
      <c r="J6" s="3">
        <f>SQRT(POWER('final systematics'!$J39,2)+POWER('final systematics'!$D39,2)+POWER('[3]final systematics (pp)'!$D39,2)+POWER(0.02,2)+POWER(0.136*(1-efficiency!D30/'efficiency (pp)'!D30),2))*H6</f>
        <v>0.10369889299894536</v>
      </c>
    </row>
    <row r="7" spans="1:18">
      <c r="A7" s="1" t="s">
        <v>103</v>
      </c>
      <c r="B7" s="2">
        <v>101</v>
      </c>
      <c r="C7" s="2">
        <v>11.74</v>
      </c>
      <c r="D7" s="2"/>
      <c r="E7" s="4">
        <f>B7/225.1</f>
        <v>0.4486894713460684</v>
      </c>
      <c r="F7" s="4">
        <f>C7/$B7*$E7</f>
        <v>5.2154597956463794E-2</v>
      </c>
      <c r="G7" s="4"/>
      <c r="H7" s="4"/>
      <c r="I7" s="4"/>
      <c r="J7" s="4"/>
    </row>
    <row r="9" spans="1:18">
      <c r="D9" t="s">
        <v>105</v>
      </c>
      <c r="E9">
        <f>E5/E7</f>
        <v>0.6588029387896901</v>
      </c>
      <c r="F9">
        <f>SQRT( POWER(F5/$E5,2) + POWER(F7/$E7,2) )*E9</f>
        <v>0.14997422864558724</v>
      </c>
      <c r="G9">
        <f>SQRT( POWER(G5/$E5,2) + POWER(G7/$E7,2) )*F9</f>
        <v>0</v>
      </c>
    </row>
    <row r="11" spans="1:18">
      <c r="D11" t="s">
        <v>157</v>
      </c>
    </row>
    <row r="16" spans="1:18">
      <c r="D16" s="53" t="s">
        <v>156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</row>
    <row r="19" spans="1:6">
      <c r="A19" s="1" t="s">
        <v>29</v>
      </c>
      <c r="B19" s="1" t="s">
        <v>1</v>
      </c>
      <c r="C19" s="1" t="s">
        <v>30</v>
      </c>
      <c r="D19" s="1" t="s">
        <v>105</v>
      </c>
      <c r="E19" s="1" t="s">
        <v>101</v>
      </c>
      <c r="F19" s="1" t="s">
        <v>38</v>
      </c>
    </row>
    <row r="20" spans="1:6">
      <c r="A20" s="49" t="s">
        <v>126</v>
      </c>
      <c r="B20" s="1" t="s">
        <v>128</v>
      </c>
      <c r="C20" s="42" t="s">
        <v>10</v>
      </c>
      <c r="D20" s="3">
        <f>Results!K26/(Results!$D26*Results!$F26*'raw yield pp'!$D26)*'Jpsi RAA'!$B$21/Results!$B$21*'efficiency (pp)'!$D21/efficiency!D21</f>
        <v>0.42681033624016518</v>
      </c>
      <c r="E20" s="3">
        <f>SQRT( POWER(Results!L26/Results!K26,2) + POWER('raw yield pp'!E26/'raw yield pp'!D26,2))*'Upsilon RAA'!D20</f>
        <v>0.1009066999604185</v>
      </c>
      <c r="F20" s="3">
        <f>SQRT(POWER('final systematics'!$J30,2)+POWER('final systematics'!$D30,2)+POWER('[3]final systematics (pp)'!$D30,2)+POWER(0.02,2)+POWER(0.136*(1-efficiency!$D21/'efficiency (pp)'!$D21),2))*D20</f>
        <v>6.6314252299005116E-2</v>
      </c>
    </row>
    <row r="21" spans="1:6">
      <c r="A21" s="49"/>
      <c r="B21" s="1" t="s">
        <v>129</v>
      </c>
      <c r="C21" s="42"/>
      <c r="D21" s="3">
        <f>Results!K27/(Results!$D27*Results!$F27*'raw yield pp'!$D27)*'Jpsi RAA'!$B$21/Results!$B$21*'efficiency (pp)'!$D22/efficiency!D22</f>
        <v>0.88295431552538806</v>
      </c>
      <c r="E21" s="3">
        <f>SQRT( POWER(Results!L27/Results!K27,2) + POWER('raw yield pp'!E27/'raw yield pp'!D27,2))*'Upsilon RAA'!D21</f>
        <v>0.3738722054358542</v>
      </c>
      <c r="F21" s="3">
        <f>SQRT(POWER('final systematics'!$J31,2)+POWER('final systematics'!$D31,2)+POWER('[3]final systematics (pp)'!$D31,2)+POWER(0.02,2)+POWER(0.136*(1-efficiency!$D22/'efficiency (pp)'!$D22),2))*D21</f>
        <v>0.1402725406769825</v>
      </c>
    </row>
    <row r="22" spans="1:6">
      <c r="A22" s="49"/>
      <c r="B22" s="11" t="s">
        <v>136</v>
      </c>
      <c r="C22" s="42"/>
      <c r="D22" s="3">
        <f>Results!K28/(Results!$D28*Results!$F28*'raw yield pp'!$D28)*'Jpsi RAA'!$B$21/Results!$B$21*'efficiency (pp)'!$D23/efficiency!D23</f>
        <v>1.7231870908266003</v>
      </c>
      <c r="E22" s="3">
        <f>SQRT( POWER(Results!L28/Results!K28,2) + POWER('raw yield pp'!E28/'raw yield pp'!D28,2))*'Upsilon RAA'!D22</f>
        <v>0.74157911803553267</v>
      </c>
      <c r="F22" s="3">
        <f>SQRT(POWER('final systematics'!$J32,2)+POWER('final systematics'!$D32,2)+POWER('[3]final systematics (pp)'!$D32,2)+POWER(0.02,2)+POWER(0.136*(1-efficiency!$D23/'efficiency (pp)'!$D23),2))*D22</f>
        <v>0.250713547116859</v>
      </c>
    </row>
    <row r="23" spans="1:6">
      <c r="A23" s="49"/>
      <c r="B23" s="11" t="s">
        <v>137</v>
      </c>
      <c r="C23" s="42"/>
      <c r="D23" s="3">
        <f>Results!K29/(Results!$D29*Results!$F29*'raw yield pp'!$D29)*'Jpsi RAA'!$B$21/Results!$B$21*'efficiency (pp)'!$D24/efficiency!D24</f>
        <v>0.61689409267552031</v>
      </c>
      <c r="E23" s="3">
        <f>SQRT( POWER(Results!L29/Results!K29,2) + POWER('raw yield pp'!E29/'raw yield pp'!D29,2))*'Upsilon RAA'!D23</f>
        <v>0.11009039835567751</v>
      </c>
      <c r="F23" s="3">
        <f>SQRT(POWER('final systematics'!$J33,2)+POWER('final systematics'!$D33,2)+POWER('[3]final systematics (pp)'!$D33,2)+POWER(0.02,2)+POWER(0.136*(1-efficiency!$D24/'efficiency (pp)'!$D24),2))*D23</f>
        <v>9.6171344545226328E-2</v>
      </c>
    </row>
    <row r="24" spans="1:6">
      <c r="A24" s="7" t="s">
        <v>130</v>
      </c>
      <c r="B24" s="45" t="s">
        <v>137</v>
      </c>
      <c r="C24" s="42" t="s">
        <v>10</v>
      </c>
      <c r="D24" s="3">
        <f>Results!K30/(Results!$D30*Results!$F30*'raw yield pp'!$D30)*'Jpsi RAA'!$B$21/Results!$B$21*'efficiency (pp)'!$D25/efficiency!D25</f>
        <v>0.52309956042121086</v>
      </c>
      <c r="E24" s="3">
        <f>SQRT( POWER(Results!L30/Results!K30,2) + POWER('raw yield pp'!E30/'raw yield pp'!D30,2))*'Upsilon RAA'!D24</f>
        <v>0.12057575165285704</v>
      </c>
      <c r="F24" s="3">
        <f>SQRT(POWER('final systematics'!$J34,2)+POWER('final systematics'!$D34,2)+POWER('[3]final systematics (pp)'!$D34,2)+POWER(0.02,2)+POWER(0.136*(1-efficiency!$D25/'efficiency (pp)'!$D25),2))*D24</f>
        <v>8.1667401861327371E-2</v>
      </c>
    </row>
    <row r="25" spans="1:6">
      <c r="A25" s="40" t="s">
        <v>138</v>
      </c>
      <c r="B25" s="45"/>
      <c r="C25" s="42"/>
      <c r="D25" s="3">
        <f>Results!K31/(Results!$D31*Results!$F31*'raw yield pp'!$D31)*'Jpsi RAA'!$B$21/Results!$B$21*'efficiency (pp)'!$D26/efficiency!D26</f>
        <v>0.82615592704849639</v>
      </c>
      <c r="E25" s="3">
        <f>SQRT( POWER(Results!L31/Results!K31,2) + POWER('raw yield pp'!E31/'raw yield pp'!D31,2))*'Upsilon RAA'!D25</f>
        <v>0.23853882655235434</v>
      </c>
      <c r="F25" s="3">
        <f>SQRT(POWER('final systematics'!$J35,2)+POWER('final systematics'!$D35,2)+POWER('[3]final systematics (pp)'!$D35,2)+POWER(0.02,2)+POWER(0.136*(1-efficiency!$D26/'efficiency (pp)'!$D26),2))*D25</f>
        <v>0.12916576577262068</v>
      </c>
    </row>
    <row r="26" spans="1:6">
      <c r="A26" s="44" t="s">
        <v>126</v>
      </c>
      <c r="B26" s="45" t="s">
        <v>137</v>
      </c>
      <c r="C26" s="8" t="s">
        <v>18</v>
      </c>
      <c r="D26" s="3">
        <f>Results!K32/(Results!$D32*Results!$F32*'raw yield pp'!$D32)*'Jpsi RAA'!$B$21/Results!$B$21*'efficiency (pp)'!$D27/efficiency!D27</f>
        <v>0.44132632659441856</v>
      </c>
      <c r="E26" s="3">
        <f>SQRT( POWER(Results!L32/Results!K32,2) + POWER('raw yield pp'!E32/'raw yield pp'!D32,2))*'Upsilon RAA'!D26</f>
        <v>0.13224172281306515</v>
      </c>
      <c r="F26" s="3">
        <f>SQRT(POWER('final systematics'!$J36,2)+POWER('final systematics'!$D36,2)+POWER('[3]final systematics (pp)'!$D36,2)+POWER(0.02,2)+POWER(0.136*(1-efficiency!$D27/'efficiency (pp)'!$D27),2))*D26</f>
        <v>7.6608685644632996E-2</v>
      </c>
    </row>
    <row r="27" spans="1:6">
      <c r="A27" s="44"/>
      <c r="B27" s="45"/>
      <c r="C27" s="8" t="s">
        <v>19</v>
      </c>
      <c r="D27" s="3">
        <f>Results!K33/(Results!$D33*Results!$F33*'raw yield pp'!$D33)*'Jpsi RAA'!$B$21/Results!$B$21*'efficiency (pp)'!$D28/efficiency!D28</f>
        <v>0.81919548205117254</v>
      </c>
      <c r="E27" s="3">
        <f>SQRT( POWER(Results!L33/Results!K33,2) + POWER('raw yield pp'!E33/'raw yield pp'!D33,2))*'Upsilon RAA'!D27</f>
        <v>0.20670213458655193</v>
      </c>
      <c r="F27" s="3">
        <f>SQRT(POWER('final systematics'!$J37,2)+POWER('final systematics'!$D37,2)+POWER('[3]final systematics (pp)'!$D37,2)+POWER(0.02,2)+POWER(0.136*(1-efficiency!$D28/'efficiency (pp)'!$D28),2))*D27</f>
        <v>0.12601657055858759</v>
      </c>
    </row>
    <row r="28" spans="1:6">
      <c r="A28" s="44"/>
      <c r="B28" s="45"/>
      <c r="C28" s="8" t="s">
        <v>25</v>
      </c>
      <c r="D28" s="3">
        <f>Results!K34/(Results!$D34*Results!$F34*'raw yield pp'!$D34)*'Jpsi RAA'!$B$21/Results!$B$21*'efficiency (pp)'!$D29/efficiency!D29</f>
        <v>0.65877684861746733</v>
      </c>
      <c r="E28" s="3">
        <f>SQRT( POWER(Results!L34/Results!K34,2) + POWER('raw yield pp'!E34/'raw yield pp'!D34,2))*'Upsilon RAA'!D28</f>
        <v>0.14995874897924646</v>
      </c>
      <c r="F28" s="3">
        <f>SQRT(POWER('final systematics'!$J38,2)+POWER('final systematics'!$D38,2)+POWER('[3]final systematics (pp)'!$D38,2)+POWER(0.02,2)+POWER(0.136*(1-efficiency!$D29/'efficiency (pp)'!$D29),2))*D28</f>
        <v>0.11141541074224885</v>
      </c>
    </row>
    <row r="29" spans="1:6">
      <c r="C29" s="8" t="s">
        <v>24</v>
      </c>
      <c r="D29" s="3">
        <f>Results!K35/(Results!$D35*Results!$F35*'raw yield pp'!$D35)*'Jpsi RAA'!$B$21/Results!$B$21*'efficiency (pp)'!$D30/efficiency!D30</f>
        <v>0.59509286934717376</v>
      </c>
      <c r="E29" s="3">
        <f>SQRT( POWER(Results!L35/Results!K35,2) + POWER('raw yield pp'!E35/'raw yield pp'!D35,2))*'Upsilon RAA'!D29</f>
        <v>0.12432043475696687</v>
      </c>
      <c r="F29" s="3">
        <f>SQRT(POWER('final systematics'!$J39,2)+POWER('final systematics'!$D39,2)+POWER('[3]final systematics (pp)'!$D39,2)+POWER(0.02,2)+POWER(0.136*(1-efficiency!$D30/'efficiency (pp)'!$D30),2))*D29</f>
        <v>0.10366709583246664</v>
      </c>
    </row>
  </sheetData>
  <mergeCells count="7">
    <mergeCell ref="A26:A28"/>
    <mergeCell ref="B26:B28"/>
    <mergeCell ref="D16:R16"/>
    <mergeCell ref="A20:A23"/>
    <mergeCell ref="C20:C23"/>
    <mergeCell ref="B24:B25"/>
    <mergeCell ref="C24:C2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raw yield</vt:lpstr>
      <vt:lpstr>raw yield pp</vt:lpstr>
      <vt:lpstr>final systematics</vt:lpstr>
      <vt:lpstr>efficiency</vt:lpstr>
      <vt:lpstr>efficiency (pp)</vt:lpstr>
      <vt:lpstr>acceptance</vt:lpstr>
      <vt:lpstr>Results</vt:lpstr>
      <vt:lpstr>Jpsi RAA</vt:lpstr>
      <vt:lpstr>Upsilon RAA</vt:lpstr>
      <vt:lpstr>ReReco</vt:lpstr>
      <vt:lpstr>Results (HX trans)</vt:lpstr>
      <vt:lpstr>Results (HX long)</vt:lpstr>
      <vt:lpstr>Results (CS trans)</vt:lpstr>
      <vt:lpstr>Results (CS long)</vt:lpstr>
      <vt:lpstr>efficiency HX trans</vt:lpstr>
      <vt:lpstr>efficiency HX long</vt:lpstr>
      <vt:lpstr>efficiency CS trans</vt:lpstr>
      <vt:lpstr>efficiency CS long</vt:lpstr>
      <vt:lpstr>acceptance HX trans</vt:lpstr>
      <vt:lpstr>acceptance HX long</vt:lpstr>
      <vt:lpstr>acceptance CS trans</vt:lpstr>
      <vt:lpstr>acceptance CS long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Dahms</dc:creator>
  <cp:lastModifiedBy>Torsten Dahms</cp:lastModifiedBy>
  <dcterms:created xsi:type="dcterms:W3CDTF">2011-04-30T04:12:31Z</dcterms:created>
  <dcterms:modified xsi:type="dcterms:W3CDTF">2011-05-20T04:20:10Z</dcterms:modified>
</cp:coreProperties>
</file>