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yrill Marti\Desktop\PhysikLaborMotoren\"/>
    </mc:Choice>
  </mc:AlternateContent>
  <xr:revisionPtr revIDLastSave="0" documentId="13_ncr:1_{63EA09EF-B836-4FC0-B480-352BE76C2E7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2" i="1" l="1"/>
  <c r="L121" i="1"/>
  <c r="L120" i="1"/>
  <c r="L119" i="1"/>
  <c r="L118" i="1"/>
  <c r="L117" i="1"/>
  <c r="L116" i="1"/>
  <c r="L115" i="1"/>
  <c r="L114" i="1"/>
  <c r="L113" i="1"/>
  <c r="L109" i="1"/>
  <c r="L108" i="1"/>
  <c r="L107" i="1"/>
  <c r="L106" i="1"/>
  <c r="L105" i="1"/>
  <c r="L104" i="1"/>
  <c r="L103" i="1"/>
  <c r="L102" i="1"/>
  <c r="L101" i="1"/>
  <c r="L100" i="1"/>
  <c r="L94" i="1"/>
  <c r="L93" i="1"/>
  <c r="L92" i="1"/>
  <c r="L91" i="1"/>
  <c r="L90" i="1"/>
  <c r="L89" i="1"/>
  <c r="L88" i="1"/>
  <c r="L87" i="1"/>
  <c r="L86" i="1"/>
  <c r="L85" i="1"/>
  <c r="L79" i="1"/>
  <c r="L78" i="1"/>
  <c r="L77" i="1"/>
  <c r="L76" i="1"/>
  <c r="L75" i="1"/>
  <c r="L74" i="1"/>
  <c r="L73" i="1"/>
  <c r="L72" i="1"/>
  <c r="L71" i="1"/>
  <c r="L70" i="1"/>
  <c r="L65" i="1"/>
  <c r="L64" i="1"/>
  <c r="L63" i="1"/>
  <c r="L62" i="1"/>
  <c r="L61" i="1"/>
  <c r="L60" i="1"/>
  <c r="L59" i="1"/>
  <c r="L58" i="1"/>
  <c r="L57" i="1"/>
  <c r="L56" i="1"/>
  <c r="L42" i="1"/>
  <c r="L43" i="1"/>
  <c r="L44" i="1"/>
  <c r="L45" i="1"/>
  <c r="L46" i="1"/>
  <c r="L47" i="1"/>
  <c r="L48" i="1"/>
  <c r="L49" i="1"/>
  <c r="L50" i="1"/>
  <c r="L41" i="1"/>
  <c r="K122" i="1"/>
  <c r="K121" i="1"/>
  <c r="K120" i="1"/>
  <c r="K119" i="1"/>
  <c r="K118" i="1"/>
  <c r="K117" i="1"/>
  <c r="K116" i="1"/>
  <c r="K115" i="1"/>
  <c r="K114" i="1"/>
  <c r="K113" i="1"/>
  <c r="K109" i="1"/>
  <c r="K108" i="1"/>
  <c r="K107" i="1"/>
  <c r="K106" i="1"/>
  <c r="K105" i="1"/>
  <c r="K104" i="1"/>
  <c r="K103" i="1"/>
  <c r="K102" i="1"/>
  <c r="K101" i="1"/>
  <c r="K100" i="1"/>
  <c r="K94" i="1"/>
  <c r="K93" i="1"/>
  <c r="K92" i="1"/>
  <c r="K91" i="1"/>
  <c r="K90" i="1"/>
  <c r="K89" i="1"/>
  <c r="K88" i="1"/>
  <c r="K87" i="1"/>
  <c r="K86" i="1"/>
  <c r="K85" i="1"/>
  <c r="K79" i="1"/>
  <c r="K78" i="1"/>
  <c r="K77" i="1"/>
  <c r="K76" i="1"/>
  <c r="K75" i="1"/>
  <c r="K74" i="1"/>
  <c r="K73" i="1"/>
  <c r="K72" i="1"/>
  <c r="K71" i="1"/>
  <c r="K70" i="1"/>
  <c r="K65" i="1"/>
  <c r="K64" i="1"/>
  <c r="K63" i="1"/>
  <c r="K62" i="1"/>
  <c r="K61" i="1"/>
  <c r="K60" i="1"/>
  <c r="K59" i="1"/>
  <c r="K58" i="1"/>
  <c r="K57" i="1"/>
  <c r="K56" i="1"/>
  <c r="K42" i="1"/>
  <c r="K43" i="1"/>
  <c r="K44" i="1"/>
  <c r="K45" i="1"/>
  <c r="K46" i="1"/>
  <c r="K47" i="1"/>
  <c r="K48" i="1"/>
  <c r="K49" i="1"/>
  <c r="K50" i="1"/>
  <c r="K41" i="1"/>
  <c r="J122" i="1"/>
  <c r="J121" i="1"/>
  <c r="J120" i="1"/>
  <c r="J119" i="1"/>
  <c r="J118" i="1"/>
  <c r="J117" i="1"/>
  <c r="J116" i="1"/>
  <c r="J115" i="1"/>
  <c r="J114" i="1"/>
  <c r="J113" i="1"/>
  <c r="J112" i="1"/>
  <c r="J109" i="1"/>
  <c r="J108" i="1"/>
  <c r="J107" i="1"/>
  <c r="J106" i="1"/>
  <c r="J105" i="1"/>
  <c r="J104" i="1"/>
  <c r="J103" i="1"/>
  <c r="J102" i="1"/>
  <c r="J101" i="1"/>
  <c r="J100" i="1"/>
  <c r="J99" i="1"/>
  <c r="J94" i="1"/>
  <c r="J93" i="1"/>
  <c r="J92" i="1"/>
  <c r="J91" i="1"/>
  <c r="J90" i="1"/>
  <c r="J89" i="1"/>
  <c r="J88" i="1"/>
  <c r="J87" i="1"/>
  <c r="J86" i="1"/>
  <c r="J85" i="1"/>
  <c r="J84" i="1"/>
  <c r="J79" i="1"/>
  <c r="J78" i="1"/>
  <c r="J77" i="1"/>
  <c r="J76" i="1"/>
  <c r="J75" i="1"/>
  <c r="J74" i="1"/>
  <c r="J73" i="1"/>
  <c r="J72" i="1"/>
  <c r="J71" i="1"/>
  <c r="J70" i="1"/>
  <c r="J69" i="1"/>
  <c r="J65" i="1"/>
  <c r="J64" i="1"/>
  <c r="J63" i="1"/>
  <c r="J62" i="1"/>
  <c r="J61" i="1"/>
  <c r="J60" i="1"/>
  <c r="J59" i="1"/>
  <c r="J58" i="1"/>
  <c r="J57" i="1"/>
  <c r="J56" i="1"/>
  <c r="J55" i="1"/>
  <c r="J41" i="1"/>
  <c r="J42" i="1"/>
  <c r="J43" i="1"/>
  <c r="J44" i="1"/>
  <c r="J45" i="1"/>
  <c r="J46" i="1"/>
  <c r="J47" i="1"/>
  <c r="J48" i="1"/>
  <c r="J49" i="1"/>
  <c r="J50" i="1"/>
  <c r="J40" i="1"/>
  <c r="I122" i="1"/>
  <c r="I121" i="1"/>
  <c r="I120" i="1"/>
  <c r="I119" i="1"/>
  <c r="I118" i="1"/>
  <c r="I117" i="1"/>
  <c r="I116" i="1"/>
  <c r="I115" i="1"/>
  <c r="I114" i="1"/>
  <c r="I113" i="1"/>
  <c r="I112" i="1"/>
  <c r="I109" i="1"/>
  <c r="I108" i="1"/>
  <c r="I107" i="1"/>
  <c r="I106" i="1"/>
  <c r="I105" i="1"/>
  <c r="I104" i="1"/>
  <c r="I103" i="1"/>
  <c r="I102" i="1"/>
  <c r="I101" i="1"/>
  <c r="I100" i="1"/>
  <c r="I99" i="1"/>
  <c r="I94" i="1"/>
  <c r="I93" i="1"/>
  <c r="I92" i="1"/>
  <c r="I91" i="1"/>
  <c r="I90" i="1"/>
  <c r="I89" i="1"/>
  <c r="I88" i="1"/>
  <c r="I87" i="1"/>
  <c r="I86" i="1"/>
  <c r="I85" i="1"/>
  <c r="I84" i="1"/>
  <c r="I69" i="1"/>
  <c r="I79" i="1"/>
  <c r="I78" i="1"/>
  <c r="I77" i="1"/>
  <c r="I76" i="1"/>
  <c r="I75" i="1"/>
  <c r="I74" i="1"/>
  <c r="I73" i="1"/>
  <c r="I72" i="1"/>
  <c r="I71" i="1"/>
  <c r="I70" i="1"/>
  <c r="I56" i="1"/>
  <c r="I57" i="1"/>
  <c r="I58" i="1"/>
  <c r="I59" i="1"/>
  <c r="I60" i="1"/>
  <c r="I61" i="1"/>
  <c r="I62" i="1"/>
  <c r="I63" i="1"/>
  <c r="I64" i="1"/>
  <c r="I65" i="1"/>
  <c r="I55" i="1"/>
  <c r="I41" i="1"/>
  <c r="I42" i="1"/>
  <c r="I43" i="1"/>
  <c r="I44" i="1"/>
  <c r="I45" i="1"/>
  <c r="I46" i="1"/>
  <c r="I47" i="1"/>
  <c r="I48" i="1"/>
  <c r="I49" i="1"/>
  <c r="I50" i="1"/>
  <c r="I40" i="1"/>
  <c r="E85" i="1"/>
  <c r="E86" i="1"/>
  <c r="E87" i="1"/>
  <c r="E88" i="1"/>
  <c r="E89" i="1"/>
  <c r="E90" i="1"/>
  <c r="E91" i="1"/>
  <c r="E92" i="1"/>
  <c r="E93" i="1"/>
  <c r="E94" i="1"/>
  <c r="E84" i="1"/>
  <c r="D94" i="1"/>
  <c r="D93" i="1"/>
  <c r="D92" i="1"/>
  <c r="D91" i="1"/>
  <c r="D90" i="1"/>
  <c r="D89" i="1"/>
  <c r="D88" i="1"/>
  <c r="D87" i="1"/>
  <c r="D86" i="1"/>
  <c r="D85" i="1"/>
  <c r="E70" i="1"/>
  <c r="E71" i="1"/>
  <c r="E72" i="1"/>
  <c r="E73" i="1"/>
  <c r="E74" i="1"/>
  <c r="E75" i="1"/>
  <c r="E76" i="1"/>
  <c r="E77" i="1"/>
  <c r="E78" i="1"/>
  <c r="E79" i="1"/>
  <c r="E69" i="1"/>
  <c r="D79" i="1"/>
  <c r="D78" i="1"/>
  <c r="D77" i="1"/>
  <c r="D76" i="1"/>
  <c r="D75" i="1"/>
  <c r="D74" i="1"/>
  <c r="D73" i="1"/>
  <c r="D72" i="1"/>
  <c r="D71" i="1"/>
  <c r="D70" i="1"/>
  <c r="E56" i="1"/>
  <c r="E57" i="1"/>
  <c r="E58" i="1"/>
  <c r="E59" i="1"/>
  <c r="E60" i="1"/>
  <c r="E61" i="1"/>
  <c r="E62" i="1"/>
  <c r="E63" i="1"/>
  <c r="E64" i="1"/>
  <c r="E65" i="1"/>
  <c r="E55" i="1"/>
  <c r="D65" i="1"/>
  <c r="D64" i="1"/>
  <c r="D63" i="1"/>
  <c r="D62" i="1"/>
  <c r="D61" i="1"/>
  <c r="D60" i="1"/>
  <c r="D59" i="1"/>
  <c r="D58" i="1"/>
  <c r="D57" i="1"/>
  <c r="D56" i="1"/>
  <c r="G41" i="1"/>
  <c r="G42" i="1"/>
  <c r="G43" i="1"/>
  <c r="G44" i="1"/>
  <c r="G45" i="1"/>
  <c r="G46" i="1"/>
  <c r="G47" i="1"/>
  <c r="G48" i="1"/>
  <c r="G49" i="1"/>
  <c r="G50" i="1"/>
  <c r="G40" i="1"/>
  <c r="F42" i="1"/>
  <c r="F43" i="1"/>
  <c r="F44" i="1"/>
  <c r="F45" i="1"/>
  <c r="F46" i="1"/>
  <c r="F47" i="1"/>
  <c r="F48" i="1"/>
  <c r="F49" i="1"/>
  <c r="F50" i="1"/>
  <c r="F41" i="1"/>
  <c r="F40" i="1"/>
  <c r="E50" i="1"/>
  <c r="E41" i="1"/>
  <c r="E42" i="1"/>
  <c r="E43" i="1"/>
  <c r="E44" i="1"/>
  <c r="E45" i="1"/>
  <c r="E46" i="1"/>
  <c r="E47" i="1"/>
  <c r="E48" i="1"/>
  <c r="E49" i="1"/>
  <c r="E40" i="1"/>
  <c r="D50" i="1"/>
  <c r="D49" i="1"/>
  <c r="D48" i="1"/>
  <c r="D47" i="1"/>
  <c r="D46" i="1"/>
  <c r="D45" i="1"/>
  <c r="D44" i="1"/>
  <c r="D43" i="1"/>
  <c r="D42" i="1"/>
  <c r="D41" i="1"/>
  <c r="C18" i="1"/>
  <c r="C19" i="1"/>
  <c r="C20" i="1"/>
  <c r="C21" i="1"/>
  <c r="C17" i="1"/>
</calcChain>
</file>

<file path=xl/sharedStrings.xml><?xml version="1.0" encoding="utf-8"?>
<sst xmlns="http://schemas.openxmlformats.org/spreadsheetml/2006/main" count="64" uniqueCount="33">
  <si>
    <t>Exp. 1</t>
  </si>
  <si>
    <t>Cutoff Geschwindigkeit</t>
  </si>
  <si>
    <t>v1</t>
  </si>
  <si>
    <t>v2</t>
  </si>
  <si>
    <t>v3</t>
  </si>
  <si>
    <t>Exp. 2</t>
  </si>
  <si>
    <t>Anfahrkurve</t>
  </si>
  <si>
    <t>total</t>
  </si>
  <si>
    <t>Duty Cycle</t>
  </si>
  <si>
    <t>Speisungsspannung</t>
  </si>
  <si>
    <t>Speed-Wert</t>
  </si>
  <si>
    <t>Gemessene Spannung</t>
  </si>
  <si>
    <t>Duty-Cycle</t>
  </si>
  <si>
    <t>Spannung bei Power-Input Motorshield</t>
  </si>
  <si>
    <t>Spannung bei connectors zu Motor</t>
  </si>
  <si>
    <t>Motorconnectors</t>
  </si>
  <si>
    <t>Power Input</t>
  </si>
  <si>
    <t>Exp. 3</t>
  </si>
  <si>
    <t>Frame-N°</t>
  </si>
  <si>
    <t>Angle (deg)</t>
  </si>
  <si>
    <t>Angle (rad)</t>
  </si>
  <si>
    <t>deltas (rad)</t>
  </si>
  <si>
    <t>omega (rad/frame)</t>
  </si>
  <si>
    <t xml:space="preserve"> </t>
  </si>
  <si>
    <t>Angle(deg)</t>
  </si>
  <si>
    <t>Angle(rad)</t>
  </si>
  <si>
    <t>Frame-Number</t>
  </si>
  <si>
    <t>Angle (degrees)</t>
  </si>
  <si>
    <t>2,79</t>
  </si>
  <si>
    <t>Time (ms)</t>
  </si>
  <si>
    <t>Winkelposition (rad)</t>
  </si>
  <si>
    <t>Winkelgeschwindigkeit (rad/ms)</t>
  </si>
  <si>
    <t>Winkelbeschleunigung (rad/ms^2)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</si>
</sst>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Duty Cycle über</a:t>
            </a:r>
            <a:r>
              <a:rPr lang="de-CH" baseline="0"/>
              <a:t> Speed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xVal>
          <c:yVal>
            <c:numRef>
              <c:f>Tabelle1!$C$17:$C$21</c:f>
              <c:numCache>
                <c:formatCode>General</c:formatCode>
                <c:ptCount val="5"/>
                <c:pt idx="0">
                  <c:v>0</c:v>
                </c:pt>
                <c:pt idx="1">
                  <c:v>24.404272801972063</c:v>
                </c:pt>
                <c:pt idx="2">
                  <c:v>48.890714872637638</c:v>
                </c:pt>
                <c:pt idx="3">
                  <c:v>73.78800328677076</c:v>
                </c:pt>
                <c:pt idx="4">
                  <c:v>98.274445357436321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810-B777-DDE25B52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09903"/>
        <c:axId val="1179304975"/>
      </c:scatterChart>
      <c:valAx>
        <c:axId val="99170990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Motor-Speed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9304975"/>
        <c:crosses val="autoZero"/>
        <c:crossBetween val="midCat"/>
      </c:valAx>
      <c:valAx>
        <c:axId val="11793049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 Duty</a:t>
                </a:r>
                <a:r>
                  <a:rPr lang="de-CH" baseline="0"/>
                  <a:t> Cycle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917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3200"/>
              <a:t>Anfahrkurven</a:t>
            </a:r>
            <a:r>
              <a:rPr lang="de-CH" sz="3200" baseline="0"/>
              <a:t> (Position über Zeit)</a:t>
            </a:r>
            <a:endParaRPr lang="de-CH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Run1_24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Tabelle1!$I$40:$I$50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Tabelle1!$J$40:$J$50</c:f>
              <c:numCache>
                <c:formatCode>General</c:formatCode>
                <c:ptCount val="11"/>
                <c:pt idx="0">
                  <c:v>0</c:v>
                </c:pt>
                <c:pt idx="1">
                  <c:v>1.1693705988362009E-2</c:v>
                </c:pt>
                <c:pt idx="2">
                  <c:v>0.28221974004748313</c:v>
                </c:pt>
                <c:pt idx="3">
                  <c:v>1.4135421611902075</c:v>
                </c:pt>
                <c:pt idx="4">
                  <c:v>2.3237313661052501</c:v>
                </c:pt>
                <c:pt idx="5">
                  <c:v>3.3833207549910078</c:v>
                </c:pt>
                <c:pt idx="6">
                  <c:v>4.8436377401346631</c:v>
                </c:pt>
                <c:pt idx="7">
                  <c:v>6.2896430254119657</c:v>
                </c:pt>
                <c:pt idx="8">
                  <c:v>7.9107048346642985</c:v>
                </c:pt>
                <c:pt idx="9">
                  <c:v>9.3048738411573684</c:v>
                </c:pt>
                <c:pt idx="10">
                  <c:v>10.947577733134432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2-4C54-97C8-914B54EE57FF}"/>
            </c:ext>
          </c:extLst>
        </c:ser>
        <c:ser>
          <c:idx val="1"/>
          <c:order val="1"/>
          <c:tx>
            <c:v>Run2_24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Tabelle1!$I$55:$I$65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Tabelle1!$J$55:$J$65</c:f>
              <c:numCache>
                <c:formatCode>General</c:formatCode>
                <c:ptCount val="11"/>
                <c:pt idx="0">
                  <c:v>0</c:v>
                </c:pt>
                <c:pt idx="1">
                  <c:v>0.10716321607245183</c:v>
                </c:pt>
                <c:pt idx="2">
                  <c:v>0.29077185338225531</c:v>
                </c:pt>
                <c:pt idx="3">
                  <c:v>0.56566121057136209</c:v>
                </c:pt>
                <c:pt idx="4">
                  <c:v>1.5940092058464213</c:v>
                </c:pt>
                <c:pt idx="5">
                  <c:v>2.8120744908132638</c:v>
                </c:pt>
                <c:pt idx="6">
                  <c:v>4.3577380763794418</c:v>
                </c:pt>
                <c:pt idx="7">
                  <c:v>6.1430353682444423</c:v>
                </c:pt>
                <c:pt idx="8">
                  <c:v>7.9072141761603101</c:v>
                </c:pt>
                <c:pt idx="9">
                  <c:v>9.7007145155096843</c:v>
                </c:pt>
                <c:pt idx="10">
                  <c:v>11.669794977609687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2-4C54-97C8-914B54EE57FF}"/>
            </c:ext>
          </c:extLst>
        </c:ser>
        <c:ser>
          <c:idx val="2"/>
          <c:order val="2"/>
          <c:tx>
            <c:v>Run1_30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Tabelle1!$I$69:$I$79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Tabelle1!$J$69:$J$79</c:f>
              <c:numCache>
                <c:formatCode>General</c:formatCode>
                <c:ptCount val="11"/>
                <c:pt idx="0">
                  <c:v>0</c:v>
                </c:pt>
                <c:pt idx="1">
                  <c:v>2.2689280275926284E-2</c:v>
                </c:pt>
                <c:pt idx="2">
                  <c:v>0.1937315469713706</c:v>
                </c:pt>
                <c:pt idx="3">
                  <c:v>0.97040306410884725</c:v>
                </c:pt>
                <c:pt idx="4">
                  <c:v>2.4513149344260357</c:v>
                </c:pt>
                <c:pt idx="5">
                  <c:v>4.2938590257564488</c:v>
                </c:pt>
                <c:pt idx="6">
                  <c:v>6.2035982932886453</c:v>
                </c:pt>
                <c:pt idx="7">
                  <c:v>8.4753188476844645</c:v>
                </c:pt>
                <c:pt idx="8">
                  <c:v>11.015471041037012</c:v>
                </c:pt>
                <c:pt idx="9">
                  <c:v>13.733123219317383</c:v>
                </c:pt>
                <c:pt idx="10">
                  <c:v>16.172395381904657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22-4C54-97C8-914B54EE57FF}"/>
            </c:ext>
          </c:extLst>
        </c:ser>
        <c:ser>
          <c:idx val="3"/>
          <c:order val="3"/>
          <c:tx>
            <c:v>Run2_30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Tabelle1!$I$84:$I$94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Tabelle1!$J$84:$J$94</c:f>
              <c:numCache>
                <c:formatCode>General</c:formatCode>
                <c:ptCount val="11"/>
                <c:pt idx="0">
                  <c:v>0</c:v>
                </c:pt>
                <c:pt idx="1">
                  <c:v>0.12426744274199626</c:v>
                </c:pt>
                <c:pt idx="2">
                  <c:v>0.61051617234761646</c:v>
                </c:pt>
                <c:pt idx="3">
                  <c:v>1.6866861891273199</c:v>
                </c:pt>
                <c:pt idx="4">
                  <c:v>3.2424726843550649</c:v>
                </c:pt>
                <c:pt idx="5">
                  <c:v>5.4234361176471788</c:v>
                </c:pt>
                <c:pt idx="6">
                  <c:v>7.6960293366689951</c:v>
                </c:pt>
                <c:pt idx="7">
                  <c:v>10.017317241821454</c:v>
                </c:pt>
                <c:pt idx="8">
                  <c:v>13.404128655316452</c:v>
                </c:pt>
                <c:pt idx="9">
                  <c:v>15.832056177765763</c:v>
                </c:pt>
                <c:pt idx="10">
                  <c:v>18.753911878529468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22-4C54-97C8-914B54EE57FF}"/>
            </c:ext>
          </c:extLst>
        </c:ser>
        <c:ser>
          <c:idx val="4"/>
          <c:order val="4"/>
          <c:tx>
            <c:v>Run1_35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Tabelle1!$I$99:$I$109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Tabelle1!$J$99:$J$109</c:f>
              <c:numCache>
                <c:formatCode>General</c:formatCode>
                <c:ptCount val="11"/>
                <c:pt idx="0">
                  <c:v>0</c:v>
                </c:pt>
                <c:pt idx="1">
                  <c:v>4.8694686000000001E-2</c:v>
                </c:pt>
                <c:pt idx="2">
                  <c:v>0.59149208399999997</c:v>
                </c:pt>
                <c:pt idx="3">
                  <c:v>2.05844132</c:v>
                </c:pt>
                <c:pt idx="4">
                  <c:v>4.1130429150000003</c:v>
                </c:pt>
                <c:pt idx="5">
                  <c:v>6.8149871299999996</c:v>
                </c:pt>
                <c:pt idx="6">
                  <c:v>9.4139569190000003</c:v>
                </c:pt>
                <c:pt idx="7">
                  <c:v>13.032897119999999</c:v>
                </c:pt>
                <c:pt idx="8">
                  <c:v>15.89855322</c:v>
                </c:pt>
                <c:pt idx="9">
                  <c:v>20.095895540000001</c:v>
                </c:pt>
                <c:pt idx="10">
                  <c:v>22.9067483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22-4C54-97C8-914B54EE57FF}"/>
            </c:ext>
          </c:extLst>
        </c:ser>
        <c:ser>
          <c:idx val="5"/>
          <c:order val="5"/>
          <c:tx>
            <c:v>Run2_35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Tabelle1!$I$112:$I$122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Tabelle1!$J$112:$J$122</c:f>
              <c:numCache>
                <c:formatCode>General</c:formatCode>
                <c:ptCount val="11"/>
                <c:pt idx="0">
                  <c:v>0</c:v>
                </c:pt>
                <c:pt idx="1">
                  <c:v>0.38641589599999998</c:v>
                </c:pt>
                <c:pt idx="2">
                  <c:v>1.3121385320000001</c:v>
                </c:pt>
                <c:pt idx="3">
                  <c:v>2.8017770479999999</c:v>
                </c:pt>
                <c:pt idx="4">
                  <c:v>5.140343713</c:v>
                </c:pt>
                <c:pt idx="5">
                  <c:v>7.5358081109999997</c:v>
                </c:pt>
                <c:pt idx="6">
                  <c:v>10.32641505</c:v>
                </c:pt>
                <c:pt idx="7">
                  <c:v>13.23308639</c:v>
                </c:pt>
                <c:pt idx="8">
                  <c:v>15.964352140000001</c:v>
                </c:pt>
                <c:pt idx="9">
                  <c:v>19.319573089999999</c:v>
                </c:pt>
                <c:pt idx="10">
                  <c:v>22.134963710000001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22-4C54-97C8-914B54EE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16751"/>
        <c:axId val="1138504207"/>
      </c:scatterChart>
      <c:valAx>
        <c:axId val="11436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/>
                  <a:t>Zeit</a:t>
                </a:r>
                <a:r>
                  <a:rPr lang="de-CH" sz="2000" baseline="0"/>
                  <a:t> [ms]</a:t>
                </a:r>
                <a:endParaRPr lang="de-CH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8504207"/>
        <c:crosses val="autoZero"/>
        <c:crossBetween val="midCat"/>
      </c:valAx>
      <c:valAx>
        <c:axId val="1138504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/>
                  <a:t>Winkeldistnaz</a:t>
                </a:r>
                <a:r>
                  <a:rPr lang="de-CH" sz="2000" baseline="0"/>
                  <a:t> [rad]</a:t>
                </a:r>
                <a:endParaRPr lang="de-CH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4361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3200"/>
              <a:t>Anfahrkurven</a:t>
            </a:r>
            <a:r>
              <a:rPr lang="de-CH" sz="3200" baseline="0"/>
              <a:t> (Geschwindigkeit über Zeit)</a:t>
            </a:r>
            <a:endParaRPr lang="de-CH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Run1_24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Tabelle1!$I$40:$I$50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Tabelle1!$K$40:$K$50</c:f>
              <c:numCache>
                <c:formatCode>General</c:formatCode>
                <c:ptCount val="11"/>
                <c:pt idx="0">
                  <c:v>0</c:v>
                </c:pt>
                <c:pt idx="1">
                  <c:v>5.6129788744137647E-3</c:v>
                </c:pt>
                <c:pt idx="2">
                  <c:v>0.12985249634837817</c:v>
                </c:pt>
                <c:pt idx="3">
                  <c:v>0.54303476214850754</c:v>
                </c:pt>
                <c:pt idx="4">
                  <c:v>0.43689081835922072</c:v>
                </c:pt>
                <c:pt idx="5">
                  <c:v>0.50860290666516317</c:v>
                </c:pt>
                <c:pt idx="6">
                  <c:v>0.70095215286895496</c:v>
                </c:pt>
                <c:pt idx="7">
                  <c:v>0.69408253693310507</c:v>
                </c:pt>
                <c:pt idx="8">
                  <c:v>0.77810966844112084</c:v>
                </c:pt>
                <c:pt idx="9">
                  <c:v>0.66920112311667279</c:v>
                </c:pt>
                <c:pt idx="10">
                  <c:v>0.7884978681489897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77-441E-9783-832186C5A11F}"/>
            </c:ext>
          </c:extLst>
        </c:ser>
        <c:ser>
          <c:idx val="1"/>
          <c:order val="1"/>
          <c:tx>
            <c:v>Run2_24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C77-441E-9783-832186C5A11F}"/>
              </c:ext>
            </c:extLst>
          </c:dPt>
          <c:xVal>
            <c:numRef>
              <c:f>Tabelle1!$I$55:$I$65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Tabelle1!$K$55:$K$65</c:f>
              <c:numCache>
                <c:formatCode>General</c:formatCode>
                <c:ptCount val="11"/>
                <c:pt idx="0">
                  <c:v>0</c:v>
                </c:pt>
                <c:pt idx="1">
                  <c:v>5.1438343714776888E-2</c:v>
                </c:pt>
                <c:pt idx="2">
                  <c:v>8.8132145908705689E-2</c:v>
                </c:pt>
                <c:pt idx="3">
                  <c:v>0.13194689145077121</c:v>
                </c:pt>
                <c:pt idx="4">
                  <c:v>0.49360703773202869</c:v>
                </c:pt>
                <c:pt idx="5">
                  <c:v>0.58467133678408378</c:v>
                </c:pt>
                <c:pt idx="6">
                  <c:v>0.74191852107176581</c:v>
                </c:pt>
                <c:pt idx="7">
                  <c:v>0.85694270009520002</c:v>
                </c:pt>
                <c:pt idx="8">
                  <c:v>0.84680582779961777</c:v>
                </c:pt>
                <c:pt idx="9">
                  <c:v>0.86088016288769864</c:v>
                </c:pt>
                <c:pt idx="10">
                  <c:v>0.94515862180800014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77-441E-9783-832186C5A11F}"/>
            </c:ext>
          </c:extLst>
        </c:ser>
        <c:ser>
          <c:idx val="2"/>
          <c:order val="2"/>
          <c:tx>
            <c:v>Run1_30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Tabelle1!$I$69:$I$79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Tabelle1!$K$69:$K$79</c:f>
              <c:numCache>
                <c:formatCode>General</c:formatCode>
                <c:ptCount val="11"/>
                <c:pt idx="0">
                  <c:v>0</c:v>
                </c:pt>
                <c:pt idx="1">
                  <c:v>1.0890854532444618E-2</c:v>
                </c:pt>
                <c:pt idx="2">
                  <c:v>8.2100288013813277E-2</c:v>
                </c:pt>
                <c:pt idx="3">
                  <c:v>0.37280232822598869</c:v>
                </c:pt>
                <c:pt idx="4">
                  <c:v>0.71083769775225081</c:v>
                </c:pt>
                <c:pt idx="5">
                  <c:v>0.88442116383859737</c:v>
                </c:pt>
                <c:pt idx="6">
                  <c:v>0.91667484841545488</c:v>
                </c:pt>
                <c:pt idx="7">
                  <c:v>1.0904258661099928</c:v>
                </c:pt>
                <c:pt idx="8">
                  <c:v>1.2192730528092244</c:v>
                </c:pt>
                <c:pt idx="9">
                  <c:v>1.3044730455745766</c:v>
                </c:pt>
                <c:pt idx="10">
                  <c:v>1.1708506380418904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77-441E-9783-832186C5A11F}"/>
            </c:ext>
          </c:extLst>
        </c:ser>
        <c:ser>
          <c:idx val="3"/>
          <c:order val="3"/>
          <c:tx>
            <c:v>Run2_30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Tabelle1!$I$84:$I$94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Tabelle1!$K$84:$K$94</c:f>
              <c:numCache>
                <c:formatCode>General</c:formatCode>
                <c:ptCount val="11"/>
                <c:pt idx="0">
                  <c:v>0</c:v>
                </c:pt>
                <c:pt idx="1">
                  <c:v>5.9648372516158212E-2</c:v>
                </c:pt>
                <c:pt idx="2">
                  <c:v>0.23339939021069772</c:v>
                </c:pt>
                <c:pt idx="3">
                  <c:v>0.51656160805425755</c:v>
                </c:pt>
                <c:pt idx="4">
                  <c:v>0.746777517709318</c:v>
                </c:pt>
                <c:pt idx="5">
                  <c:v>1.0468624479802136</c:v>
                </c:pt>
                <c:pt idx="6">
                  <c:v>1.0908447451304724</c:v>
                </c:pt>
                <c:pt idx="7">
                  <c:v>1.1142181944731799</c:v>
                </c:pt>
                <c:pt idx="8">
                  <c:v>1.6256694784776013</c:v>
                </c:pt>
                <c:pt idx="9">
                  <c:v>1.1654052107756678</c:v>
                </c:pt>
                <c:pt idx="10">
                  <c:v>1.4024907363665771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77-441E-9783-832186C5A11F}"/>
            </c:ext>
          </c:extLst>
        </c:ser>
        <c:ser>
          <c:idx val="4"/>
          <c:order val="4"/>
          <c:tx>
            <c:v>Run1_35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Tabelle1!$I$99:$I$109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Tabelle1!$K$99:$K$109</c:f>
              <c:numCache>
                <c:formatCode>General</c:formatCode>
                <c:ptCount val="11"/>
                <c:pt idx="0">
                  <c:v>0</c:v>
                </c:pt>
                <c:pt idx="1">
                  <c:v>2.3373449280000003E-2</c:v>
                </c:pt>
                <c:pt idx="2">
                  <c:v>0.26054275104000002</c:v>
                </c:pt>
                <c:pt idx="3">
                  <c:v>0.70413563327999984</c:v>
                </c:pt>
                <c:pt idx="4">
                  <c:v>0.9862087656000007</c:v>
                </c:pt>
                <c:pt idx="5">
                  <c:v>1.2969332231999982</c:v>
                </c:pt>
                <c:pt idx="6">
                  <c:v>1.2475054987200012</c:v>
                </c:pt>
                <c:pt idx="7">
                  <c:v>1.7370912964799992</c:v>
                </c:pt>
                <c:pt idx="8">
                  <c:v>1.3755149280000023</c:v>
                </c:pt>
                <c:pt idx="9">
                  <c:v>2.0147243135999982</c:v>
                </c:pt>
                <c:pt idx="10">
                  <c:v>1.3492093247999983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77-441E-9783-832186C5A11F}"/>
            </c:ext>
          </c:extLst>
        </c:ser>
        <c:ser>
          <c:idx val="5"/>
          <c:order val="5"/>
          <c:tx>
            <c:v>Run2_35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Tabelle1!$I$112:$I$122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Tabelle1!$K$112:$K$122</c:f>
              <c:numCache>
                <c:formatCode>General</c:formatCode>
                <c:ptCount val="11"/>
                <c:pt idx="0">
                  <c:v>0</c:v>
                </c:pt>
                <c:pt idx="1">
                  <c:v>0.18547963008000001</c:v>
                </c:pt>
                <c:pt idx="2">
                  <c:v>0.44434686528000011</c:v>
                </c:pt>
                <c:pt idx="3">
                  <c:v>0.71502648767999977</c:v>
                </c:pt>
                <c:pt idx="4">
                  <c:v>1.1225119992000008</c:v>
                </c:pt>
                <c:pt idx="5">
                  <c:v>1.1498229110399985</c:v>
                </c:pt>
                <c:pt idx="6">
                  <c:v>1.3394913307200007</c:v>
                </c:pt>
                <c:pt idx="7">
                  <c:v>1.3952022432</c:v>
                </c:pt>
                <c:pt idx="8">
                  <c:v>1.311007560000002</c:v>
                </c:pt>
                <c:pt idx="9">
                  <c:v>1.6105060559999971</c:v>
                </c:pt>
                <c:pt idx="10">
                  <c:v>1.3513874975999995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C77-441E-9783-832186C5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16751"/>
        <c:axId val="1138504207"/>
      </c:scatterChart>
      <c:valAx>
        <c:axId val="11436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/>
                  <a:t>Zeit</a:t>
                </a:r>
                <a:r>
                  <a:rPr lang="de-CH" sz="2000" baseline="0"/>
                  <a:t> [ms]</a:t>
                </a:r>
                <a:endParaRPr lang="de-CH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8504207"/>
        <c:crosses val="autoZero"/>
        <c:crossBetween val="midCat"/>
      </c:valAx>
      <c:valAx>
        <c:axId val="11385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/>
                  <a:t>Winkelgeschwindigkeit</a:t>
                </a:r>
                <a:r>
                  <a:rPr lang="de-CH" sz="2000" baseline="0"/>
                  <a:t> [rad/ms]</a:t>
                </a:r>
                <a:endParaRPr lang="de-CH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4361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3200"/>
              <a:t>Anfahrkurven</a:t>
            </a:r>
            <a:r>
              <a:rPr lang="de-CH" sz="3200" baseline="0"/>
              <a:t> (Beschleunigung über Zeit)</a:t>
            </a:r>
            <a:endParaRPr lang="de-CH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Run1_24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Tabelle1!$I$40:$I$50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Tabelle1!$L$40:$L$50</c:f>
              <c:numCache>
                <c:formatCode>General</c:formatCode>
                <c:ptCount val="11"/>
                <c:pt idx="0">
                  <c:v>0</c:v>
                </c:pt>
                <c:pt idx="1">
                  <c:v>2.6942298597186073E-3</c:v>
                </c:pt>
                <c:pt idx="2">
                  <c:v>5.9634968387502922E-2</c:v>
                </c:pt>
                <c:pt idx="3">
                  <c:v>0.19832748758406205</c:v>
                </c:pt>
                <c:pt idx="4">
                  <c:v>-5.0949093018857701E-2</c:v>
                </c:pt>
                <c:pt idx="5">
                  <c:v>3.4421802386852336E-2</c:v>
                </c:pt>
                <c:pt idx="6">
                  <c:v>9.2327638177820109E-2</c:v>
                </c:pt>
                <c:pt idx="7">
                  <c:v>-3.297415649207948E-3</c:v>
                </c:pt>
                <c:pt idx="8">
                  <c:v>4.0333023123847629E-2</c:v>
                </c:pt>
                <c:pt idx="9">
                  <c:v>-5.2276101755735001E-2</c:v>
                </c:pt>
                <c:pt idx="10">
                  <c:v>5.726243761551205E-2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3-4D7C-9065-FF04E9AEC21F}"/>
            </c:ext>
          </c:extLst>
        </c:ser>
        <c:ser>
          <c:idx val="1"/>
          <c:order val="1"/>
          <c:tx>
            <c:v>Run2_24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Tabelle1!$I$55:$I$65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Tabelle1!$L$55:$L$65</c:f>
              <c:numCache>
                <c:formatCode>General</c:formatCode>
                <c:ptCount val="11"/>
                <c:pt idx="0">
                  <c:v>0</c:v>
                </c:pt>
                <c:pt idx="1">
                  <c:v>2.4690404983092908E-2</c:v>
                </c:pt>
                <c:pt idx="2">
                  <c:v>1.7613025053085828E-2</c:v>
                </c:pt>
                <c:pt idx="3">
                  <c:v>2.1031077860191445E-2</c:v>
                </c:pt>
                <c:pt idx="4">
                  <c:v>0.1735968702150037</c:v>
                </c:pt>
                <c:pt idx="5">
                  <c:v>4.3710863544986399E-2</c:v>
                </c:pt>
                <c:pt idx="6">
                  <c:v>7.5478648458087411E-2</c:v>
                </c:pt>
                <c:pt idx="7">
                  <c:v>5.5211605931248402E-2</c:v>
                </c:pt>
                <c:pt idx="8">
                  <c:v>-4.8656987018794841E-3</c:v>
                </c:pt>
                <c:pt idx="9">
                  <c:v>6.7556808422788092E-3</c:v>
                </c:pt>
                <c:pt idx="10">
                  <c:v>4.0453660281744672E-2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3-4D7C-9065-FF04E9AEC21F}"/>
            </c:ext>
          </c:extLst>
        </c:ser>
        <c:ser>
          <c:idx val="2"/>
          <c:order val="2"/>
          <c:tx>
            <c:v>Run1_30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Tabelle1!$I$69:$I$79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Tabelle1!$L$69:$L$79</c:f>
              <c:numCache>
                <c:formatCode>General</c:formatCode>
                <c:ptCount val="11"/>
                <c:pt idx="0">
                  <c:v>0</c:v>
                </c:pt>
                <c:pt idx="1">
                  <c:v>5.2276101755734175E-3</c:v>
                </c:pt>
                <c:pt idx="2">
                  <c:v>3.4180528071056961E-2</c:v>
                </c:pt>
                <c:pt idx="3">
                  <c:v>0.13953697930184414</c:v>
                </c:pt>
                <c:pt idx="4">
                  <c:v>0.16225697737260592</c:v>
                </c:pt>
                <c:pt idx="5">
                  <c:v>8.332006372144625E-2</c:v>
                </c:pt>
                <c:pt idx="6">
                  <c:v>1.5481768596891614E-2</c:v>
                </c:pt>
                <c:pt idx="7">
                  <c:v>8.340048849337818E-2</c:v>
                </c:pt>
                <c:pt idx="8">
                  <c:v>6.1846649615631237E-2</c:v>
                </c:pt>
                <c:pt idx="9">
                  <c:v>4.0895996527369E-2</c:v>
                </c:pt>
                <c:pt idx="10">
                  <c:v>-6.4138755615689283E-2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3-4D7C-9065-FF04E9AEC21F}"/>
            </c:ext>
          </c:extLst>
        </c:ser>
        <c:ser>
          <c:idx val="3"/>
          <c:order val="3"/>
          <c:tx>
            <c:v>Run2_30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Tabelle1!$I$84:$I$94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Tabelle1!$L$84:$L$94</c:f>
              <c:numCache>
                <c:formatCode>General</c:formatCode>
                <c:ptCount val="11"/>
                <c:pt idx="0">
                  <c:v>0</c:v>
                </c:pt>
                <c:pt idx="1">
                  <c:v>2.8631218807755945E-2</c:v>
                </c:pt>
                <c:pt idx="2">
                  <c:v>8.3400488493378985E-2</c:v>
                </c:pt>
                <c:pt idx="3">
                  <c:v>0.13591786456490867</c:v>
                </c:pt>
                <c:pt idx="4">
                  <c:v>0.11050363663442908</c:v>
                </c:pt>
                <c:pt idx="5">
                  <c:v>0.1440407665300297</c:v>
                </c:pt>
                <c:pt idx="6">
                  <c:v>2.1111502632124239E-2</c:v>
                </c:pt>
                <c:pt idx="7">
                  <c:v>1.1219255684499633E-2</c:v>
                </c:pt>
                <c:pt idx="8">
                  <c:v>0.24549661632212263</c:v>
                </c:pt>
                <c:pt idx="9">
                  <c:v>-0.22092684849692784</c:v>
                </c:pt>
                <c:pt idx="10">
                  <c:v>0.11380105228363629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3-4D7C-9065-FF04E9AEC21F}"/>
            </c:ext>
          </c:extLst>
        </c:ser>
        <c:ser>
          <c:idx val="4"/>
          <c:order val="4"/>
          <c:tx>
            <c:v>Run1_35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Tabelle1!$I$99:$I$109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Tabelle1!$L$99:$L$109</c:f>
              <c:numCache>
                <c:formatCode>General</c:formatCode>
                <c:ptCount val="11"/>
                <c:pt idx="0">
                  <c:v>0</c:v>
                </c:pt>
                <c:pt idx="1">
                  <c:v>1.1219255654400004E-2</c:v>
                </c:pt>
                <c:pt idx="2">
                  <c:v>0.11384126484480002</c:v>
                </c:pt>
                <c:pt idx="3">
                  <c:v>0.21292458347519985</c:v>
                </c:pt>
                <c:pt idx="4">
                  <c:v>0.13539510351360048</c:v>
                </c:pt>
                <c:pt idx="5">
                  <c:v>0.1491477396479986</c:v>
                </c:pt>
                <c:pt idx="6">
                  <c:v>-2.3725307750398571E-2</c:v>
                </c:pt>
                <c:pt idx="7">
                  <c:v>0.23500118292479896</c:v>
                </c:pt>
                <c:pt idx="8">
                  <c:v>-0.17355665687039873</c:v>
                </c:pt>
                <c:pt idx="9">
                  <c:v>0.30682050508799769</c:v>
                </c:pt>
                <c:pt idx="10">
                  <c:v>-0.31944719462399956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3-4D7C-9065-FF04E9AEC21F}"/>
            </c:ext>
          </c:extLst>
        </c:ser>
        <c:ser>
          <c:idx val="5"/>
          <c:order val="5"/>
          <c:tx>
            <c:v>Run2_35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Tabelle1!$I$112:$I$122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</c:v>
                </c:pt>
                <c:pt idx="2">
                  <c:v>4.1666666666666661</c:v>
                </c:pt>
                <c:pt idx="3">
                  <c:v>6.25</c:v>
                </c:pt>
                <c:pt idx="4">
                  <c:v>8.3333333333333321</c:v>
                </c:pt>
                <c:pt idx="5">
                  <c:v>10.416666666666668</c:v>
                </c:pt>
                <c:pt idx="6">
                  <c:v>12.5</c:v>
                </c:pt>
                <c:pt idx="7">
                  <c:v>14.583333333333334</c:v>
                </c:pt>
                <c:pt idx="8">
                  <c:v>16.666666666666664</c:v>
                </c:pt>
                <c:pt idx="9">
                  <c:v>18.75</c:v>
                </c:pt>
                <c:pt idx="10">
                  <c:v>20.833333333333336</c:v>
                </c:pt>
              </c:numCache>
            </c:numRef>
          </c:xVal>
          <c:yVal>
            <c:numRef>
              <c:f>Tabelle1!$L$112:$L$122</c:f>
              <c:numCache>
                <c:formatCode>General</c:formatCode>
                <c:ptCount val="11"/>
                <c:pt idx="0">
                  <c:v>0</c:v>
                </c:pt>
                <c:pt idx="1">
                  <c:v>8.9030222438400017E-2</c:v>
                </c:pt>
                <c:pt idx="2">
                  <c:v>0.12425627289600007</c:v>
                </c:pt>
                <c:pt idx="3">
                  <c:v>0.12992621875199981</c:v>
                </c:pt>
                <c:pt idx="4">
                  <c:v>0.19559304552960061</c:v>
                </c:pt>
                <c:pt idx="5">
                  <c:v>1.310923768319887E-2</c:v>
                </c:pt>
                <c:pt idx="6">
                  <c:v>9.1040841446401136E-2</c:v>
                </c:pt>
                <c:pt idx="7">
                  <c:v>2.6741237990399638E-2</c:v>
                </c:pt>
                <c:pt idx="8">
                  <c:v>-4.0413447935999103E-2</c:v>
                </c:pt>
                <c:pt idx="9">
                  <c:v>0.1437592780799975</c:v>
                </c:pt>
                <c:pt idx="10">
                  <c:v>-0.12437690803199868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3-4D7C-9065-FF04E9AE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16751"/>
        <c:axId val="1138504207"/>
      </c:scatterChart>
      <c:valAx>
        <c:axId val="11436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/>
                  <a:t>Zeit</a:t>
                </a:r>
                <a:r>
                  <a:rPr lang="de-CH" sz="2000" baseline="0"/>
                  <a:t> [ms]</a:t>
                </a:r>
                <a:endParaRPr lang="de-CH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8504207"/>
        <c:crosses val="autoZero"/>
        <c:crossBetween val="midCat"/>
      </c:valAx>
      <c:valAx>
        <c:axId val="11385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/>
                  <a:t>Winkelbeschleunigung</a:t>
                </a:r>
                <a:r>
                  <a:rPr lang="de-CH" sz="2000" baseline="0"/>
                  <a:t> [rad/ms^2]</a:t>
                </a:r>
                <a:endParaRPr lang="de-CH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4361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17</xdr:row>
      <xdr:rowOff>42862</xdr:rowOff>
    </xdr:from>
    <xdr:to>
      <xdr:col>11</xdr:col>
      <xdr:colOff>328612</xdr:colOff>
      <xdr:row>31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F8E2E8-EF9B-F95E-2648-C714D824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48986</xdr:colOff>
      <xdr:row>1</xdr:row>
      <xdr:rowOff>46264</xdr:rowOff>
    </xdr:from>
    <xdr:to>
      <xdr:col>19</xdr:col>
      <xdr:colOff>268012</xdr:colOff>
      <xdr:row>16</xdr:row>
      <xdr:rowOff>95250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0CDD5C5-5D9F-68B9-6954-549A41363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9165" y="236764"/>
          <a:ext cx="3892954" cy="2906486"/>
        </a:xfrm>
        <a:prstGeom prst="rect">
          <a:avLst/>
        </a:prstGeom>
      </xdr:spPr>
    </xdr:pic>
    <xdr:clientData/>
  </xdr:twoCellAnchor>
  <xdr:twoCellAnchor editAs="oneCell">
    <xdr:from>
      <xdr:col>13</xdr:col>
      <xdr:colOff>76522</xdr:colOff>
      <xdr:row>16</xdr:row>
      <xdr:rowOff>169050</xdr:rowOff>
    </xdr:from>
    <xdr:to>
      <xdr:col>19</xdr:col>
      <xdr:colOff>295548</xdr:colOff>
      <xdr:row>32</xdr:row>
      <xdr:rowOff>27536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4062232-095D-0502-0645-8EC5003D1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701" y="3217050"/>
          <a:ext cx="3892954" cy="2906486"/>
        </a:xfrm>
        <a:prstGeom prst="rect">
          <a:avLst/>
        </a:prstGeom>
      </xdr:spPr>
    </xdr:pic>
    <xdr:clientData/>
  </xdr:twoCellAnchor>
  <xdr:twoCellAnchor>
    <xdr:from>
      <xdr:col>15</xdr:col>
      <xdr:colOff>576513</xdr:colOff>
      <xdr:row>6</xdr:row>
      <xdr:rowOff>110289</xdr:rowOff>
    </xdr:from>
    <xdr:to>
      <xdr:col>20</xdr:col>
      <xdr:colOff>586540</xdr:colOff>
      <xdr:row>6</xdr:row>
      <xdr:rowOff>135355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773029B3-98F4-7D83-C77D-01D04BB3A4D6}"/>
            </a:ext>
          </a:extLst>
        </xdr:cNvPr>
        <xdr:cNvCxnSpPr/>
      </xdr:nvCxnSpPr>
      <xdr:spPr>
        <a:xfrm flipH="1">
          <a:off x="9750592" y="1253289"/>
          <a:ext cx="3068053" cy="250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173934</xdr:colOff>
      <xdr:row>6</xdr:row>
      <xdr:rowOff>47625</xdr:rowOff>
    </xdr:from>
    <xdr:to>
      <xdr:col>15</xdr:col>
      <xdr:colOff>85725</xdr:colOff>
      <xdr:row>7</xdr:row>
      <xdr:rowOff>99391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9BD346C-D76C-4918-A497-5AA18F5EB039}"/>
            </a:ext>
          </a:extLst>
        </xdr:cNvPr>
        <xdr:cNvCxnSpPr/>
      </xdr:nvCxnSpPr>
      <xdr:spPr>
        <a:xfrm flipV="1">
          <a:off x="7528891" y="1190625"/>
          <a:ext cx="1750530" cy="2422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299358</xdr:colOff>
      <xdr:row>41</xdr:row>
      <xdr:rowOff>13608</xdr:rowOff>
    </xdr:from>
    <xdr:to>
      <xdr:col>31</xdr:col>
      <xdr:colOff>387803</xdr:colOff>
      <xdr:row>74</xdr:row>
      <xdr:rowOff>24494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5E303-E29B-0B2F-0391-365F44995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312965</xdr:colOff>
      <xdr:row>74</xdr:row>
      <xdr:rowOff>108858</xdr:rowOff>
    </xdr:from>
    <xdr:to>
      <xdr:col>31</xdr:col>
      <xdr:colOff>401410</xdr:colOff>
      <xdr:row>107</xdr:row>
      <xdr:rowOff>119744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6C8ADF-96D8-414E-8760-5023D4374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340179</xdr:colOff>
      <xdr:row>108</xdr:row>
      <xdr:rowOff>0</xdr:rowOff>
    </xdr:from>
    <xdr:to>
      <xdr:col>31</xdr:col>
      <xdr:colOff>428624</xdr:colOff>
      <xdr:row>141</xdr:row>
      <xdr:rowOff>10886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B6C51-824B-4C51-911B-DC784E5A4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tabSelected="1" zoomScale="145" zoomScaleNormal="145" workbookViewId="0">
      <selection activeCell="C9" sqref="C9"/>
    </sheetView>
  </sheetViews>
  <sheetFormatPr defaultColWidth="9.140625" defaultRowHeight="1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B3" t="s">
        <v>2</v>
      </c>
      <c r="C3" t="s">
        <v>3</v>
      </c>
      <c r="D3" t="s">
        <v>4</v>
      </c>
      <c r="F3" t="s">
        <v>7</v>
      </c>
    </row>
    <row r="4" spans="1:22" x14ac:dyDescent="0.25">
      <c r="A4">
        <v>20</v>
      </c>
      <c r="B4" s="1"/>
      <c r="C4" s="1"/>
      <c r="D4" s="1"/>
      <c r="F4" s="1"/>
    </row>
    <row r="5" spans="1:22" x14ac:dyDescent="0.25">
      <c r="A5">
        <v>21</v>
      </c>
      <c r="B5" s="2"/>
      <c r="C5" s="1"/>
      <c r="D5" s="2"/>
      <c r="F5" s="3"/>
    </row>
    <row r="6" spans="1:22" x14ac:dyDescent="0.25">
      <c r="A6">
        <v>22</v>
      </c>
      <c r="B6" s="2"/>
      <c r="C6" s="1"/>
      <c r="D6" s="1"/>
      <c r="F6" s="3"/>
    </row>
    <row r="7" spans="1:22" x14ac:dyDescent="0.25">
      <c r="A7">
        <v>23</v>
      </c>
      <c r="B7" s="1"/>
      <c r="C7" s="1"/>
      <c r="D7" s="2"/>
      <c r="F7" s="3"/>
      <c r="V7" t="s">
        <v>15</v>
      </c>
    </row>
    <row r="8" spans="1:22" x14ac:dyDescent="0.25">
      <c r="A8">
        <v>24</v>
      </c>
      <c r="B8" s="2"/>
      <c r="C8" s="2"/>
      <c r="D8" s="2"/>
      <c r="F8" s="2"/>
      <c r="L8" t="s">
        <v>16</v>
      </c>
    </row>
    <row r="9" spans="1:22" x14ac:dyDescent="0.25">
      <c r="A9">
        <v>25</v>
      </c>
      <c r="B9" s="2"/>
      <c r="C9" s="2"/>
      <c r="D9" s="2"/>
      <c r="F9" s="2"/>
    </row>
    <row r="11" spans="1:22" x14ac:dyDescent="0.25">
      <c r="A11" t="s">
        <v>5</v>
      </c>
    </row>
    <row r="12" spans="1:22" x14ac:dyDescent="0.25">
      <c r="A12" t="s">
        <v>8</v>
      </c>
    </row>
    <row r="14" spans="1:22" x14ac:dyDescent="0.25">
      <c r="A14" t="s">
        <v>9</v>
      </c>
      <c r="C14">
        <v>12.17</v>
      </c>
      <c r="E14" t="s">
        <v>13</v>
      </c>
    </row>
    <row r="16" spans="1:22" x14ac:dyDescent="0.25">
      <c r="A16" t="s">
        <v>10</v>
      </c>
      <c r="B16" t="s">
        <v>11</v>
      </c>
      <c r="C16" t="s">
        <v>12</v>
      </c>
      <c r="E16" t="s">
        <v>14</v>
      </c>
    </row>
    <row r="17" spans="1:3" x14ac:dyDescent="0.25">
      <c r="A17">
        <v>0</v>
      </c>
      <c r="B17">
        <v>0</v>
      </c>
      <c r="C17">
        <f>B17/C$14 * 100</f>
        <v>0</v>
      </c>
    </row>
    <row r="18" spans="1:3" x14ac:dyDescent="0.25">
      <c r="A18">
        <v>63</v>
      </c>
      <c r="B18">
        <v>2.97</v>
      </c>
      <c r="C18">
        <f t="shared" ref="C18:C21" si="0">B18/C$14 * 100</f>
        <v>24.404272801972063</v>
      </c>
    </row>
    <row r="19" spans="1:3" x14ac:dyDescent="0.25">
      <c r="A19">
        <v>127</v>
      </c>
      <c r="B19">
        <v>5.95</v>
      </c>
      <c r="C19">
        <f t="shared" si="0"/>
        <v>48.890714872637638</v>
      </c>
    </row>
    <row r="20" spans="1:3" x14ac:dyDescent="0.25">
      <c r="A20">
        <v>191</v>
      </c>
      <c r="B20">
        <v>8.98</v>
      </c>
      <c r="C20">
        <f t="shared" si="0"/>
        <v>73.78800328677076</v>
      </c>
    </row>
    <row r="21" spans="1:3" x14ac:dyDescent="0.25">
      <c r="A21">
        <v>255</v>
      </c>
      <c r="B21">
        <v>11.96</v>
      </c>
      <c r="C21">
        <f t="shared" si="0"/>
        <v>98.274445357436321</v>
      </c>
    </row>
    <row r="36" spans="1:12" x14ac:dyDescent="0.25">
      <c r="A36" t="s">
        <v>17</v>
      </c>
    </row>
    <row r="37" spans="1:12" x14ac:dyDescent="0.25">
      <c r="A37" t="s">
        <v>6</v>
      </c>
    </row>
    <row r="39" spans="1:12" x14ac:dyDescent="0.25">
      <c r="A39">
        <v>24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I39" s="5" t="s">
        <v>29</v>
      </c>
      <c r="J39" s="5" t="s">
        <v>30</v>
      </c>
      <c r="K39" s="5" t="s">
        <v>31</v>
      </c>
      <c r="L39" s="5" t="s">
        <v>32</v>
      </c>
    </row>
    <row r="40" spans="1:12" x14ac:dyDescent="0.25">
      <c r="C40">
        <v>0</v>
      </c>
      <c r="D40">
        <v>0</v>
      </c>
      <c r="E40">
        <f>D40*(PI()/180)</f>
        <v>0</v>
      </c>
      <c r="F40">
        <f>0</f>
        <v>0</v>
      </c>
      <c r="G40">
        <f>F40/5</f>
        <v>0</v>
      </c>
      <c r="I40" s="5">
        <f>C40/240 * 100</f>
        <v>0</v>
      </c>
      <c r="J40" s="5">
        <f>E40</f>
        <v>0</v>
      </c>
      <c r="K40" s="5">
        <v>0</v>
      </c>
      <c r="L40" s="5">
        <v>0</v>
      </c>
    </row>
    <row r="41" spans="1:12" x14ac:dyDescent="0.25">
      <c r="C41">
        <v>5</v>
      </c>
      <c r="D41">
        <f>D40+0.67</f>
        <v>0.67</v>
      </c>
      <c r="E41">
        <f t="shared" ref="E41:E49" si="1">D41*(PI()/180)</f>
        <v>1.1693705988362009E-2</v>
      </c>
      <c r="F41">
        <f>E41-E40</f>
        <v>1.1693705988362009E-2</v>
      </c>
      <c r="G41">
        <f t="shared" ref="G41:G50" si="2">F41/5</f>
        <v>2.338741197672402E-3</v>
      </c>
      <c r="I41" s="5">
        <f t="shared" ref="I41:I50" si="3">C41/240 * 100</f>
        <v>2.083333333333333</v>
      </c>
      <c r="J41" s="5">
        <f t="shared" ref="J41:J50" si="4">E41</f>
        <v>1.1693705988362009E-2</v>
      </c>
      <c r="K41" s="5">
        <f>(J41-J40)/(I41-I40)</f>
        <v>5.6129788744137647E-3</v>
      </c>
      <c r="L41" s="5">
        <f>(K41-K40)/(I41-I40)</f>
        <v>2.6942298597186073E-3</v>
      </c>
    </row>
    <row r="42" spans="1:12" x14ac:dyDescent="0.25">
      <c r="C42">
        <v>10</v>
      </c>
      <c r="D42">
        <f>D41+15.5</f>
        <v>16.170000000000002</v>
      </c>
      <c r="E42">
        <f t="shared" si="1"/>
        <v>0.28221974004748313</v>
      </c>
      <c r="F42">
        <f t="shared" ref="F42:F50" si="5">E42-E41</f>
        <v>0.27052603405912112</v>
      </c>
      <c r="G42">
        <f t="shared" si="2"/>
        <v>5.4105206811824222E-2</v>
      </c>
      <c r="I42" s="5">
        <f t="shared" si="3"/>
        <v>4.1666666666666661</v>
      </c>
      <c r="J42" s="5">
        <f t="shared" si="4"/>
        <v>0.28221974004748313</v>
      </c>
      <c r="K42" s="5">
        <f t="shared" ref="K42:K50" si="6">(J42-J41)/(I42-I41)</f>
        <v>0.12985249634837817</v>
      </c>
      <c r="L42" s="5">
        <f t="shared" ref="L42:L50" si="7">(K42-K41)/(I42-I41)</f>
        <v>5.9634968387502922E-2</v>
      </c>
    </row>
    <row r="43" spans="1:12" x14ac:dyDescent="0.25">
      <c r="C43">
        <v>15</v>
      </c>
      <c r="D43">
        <f>64.82+D42</f>
        <v>80.989999999999995</v>
      </c>
      <c r="E43">
        <f t="shared" si="1"/>
        <v>1.4135421611902075</v>
      </c>
      <c r="F43">
        <f t="shared" si="5"/>
        <v>1.1313224211427244</v>
      </c>
      <c r="G43">
        <f t="shared" si="2"/>
        <v>0.22626448422854489</v>
      </c>
      <c r="I43" s="5">
        <f t="shared" si="3"/>
        <v>6.25</v>
      </c>
      <c r="J43" s="5">
        <f t="shared" si="4"/>
        <v>1.4135421611902075</v>
      </c>
      <c r="K43" s="5">
        <f t="shared" si="6"/>
        <v>0.54303476214850754</v>
      </c>
      <c r="L43" s="5">
        <f t="shared" si="7"/>
        <v>0.19832748758406205</v>
      </c>
    </row>
    <row r="44" spans="1:12" x14ac:dyDescent="0.25">
      <c r="C44">
        <v>20</v>
      </c>
      <c r="D44">
        <f>52.15+D43</f>
        <v>133.13999999999999</v>
      </c>
      <c r="E44">
        <f t="shared" si="1"/>
        <v>2.3237313661052501</v>
      </c>
      <c r="F44">
        <f t="shared" si="5"/>
        <v>0.91018920491504263</v>
      </c>
      <c r="G44">
        <f t="shared" si="2"/>
        <v>0.18203784098300851</v>
      </c>
      <c r="I44" s="5">
        <f t="shared" si="3"/>
        <v>8.3333333333333321</v>
      </c>
      <c r="J44" s="5">
        <f t="shared" si="4"/>
        <v>2.3237313661052501</v>
      </c>
      <c r="K44" s="5">
        <f t="shared" si="6"/>
        <v>0.43689081835922072</v>
      </c>
      <c r="L44" s="5">
        <f t="shared" si="7"/>
        <v>-5.0949093018857701E-2</v>
      </c>
    </row>
    <row r="45" spans="1:12" x14ac:dyDescent="0.25">
      <c r="C45">
        <v>25</v>
      </c>
      <c r="D45">
        <f>60.71+D44</f>
        <v>193.85</v>
      </c>
      <c r="E45">
        <f t="shared" si="1"/>
        <v>3.3833207549910078</v>
      </c>
      <c r="F45">
        <f t="shared" si="5"/>
        <v>1.0595893888857577</v>
      </c>
      <c r="G45">
        <f t="shared" si="2"/>
        <v>0.21191787777715154</v>
      </c>
      <c r="I45" s="5">
        <f t="shared" si="3"/>
        <v>10.416666666666668</v>
      </c>
      <c r="J45" s="5">
        <f t="shared" si="4"/>
        <v>3.3833207549910078</v>
      </c>
      <c r="K45" s="5">
        <f t="shared" si="6"/>
        <v>0.50860290666516317</v>
      </c>
      <c r="L45" s="5">
        <f t="shared" si="7"/>
        <v>3.4421802386852336E-2</v>
      </c>
    </row>
    <row r="46" spans="1:12" x14ac:dyDescent="0.25">
      <c r="C46">
        <v>30</v>
      </c>
      <c r="D46">
        <f>83.67+D45</f>
        <v>277.52</v>
      </c>
      <c r="E46">
        <f t="shared" si="1"/>
        <v>4.8436377401346631</v>
      </c>
      <c r="F46">
        <f t="shared" si="5"/>
        <v>1.4603169851436553</v>
      </c>
      <c r="G46">
        <f t="shared" si="2"/>
        <v>0.29206339702873108</v>
      </c>
      <c r="I46" s="5">
        <f t="shared" si="3"/>
        <v>12.5</v>
      </c>
      <c r="J46" s="5">
        <f t="shared" si="4"/>
        <v>4.8436377401346631</v>
      </c>
      <c r="K46" s="5">
        <f t="shared" si="6"/>
        <v>0.70095215286895496</v>
      </c>
      <c r="L46" s="5">
        <f t="shared" si="7"/>
        <v>9.2327638177820109E-2</v>
      </c>
    </row>
    <row r="47" spans="1:12" x14ac:dyDescent="0.25">
      <c r="C47">
        <v>35</v>
      </c>
      <c r="D47">
        <f>82.85+D46</f>
        <v>360.37</v>
      </c>
      <c r="E47">
        <f t="shared" si="1"/>
        <v>6.2896430254119657</v>
      </c>
      <c r="F47">
        <f t="shared" si="5"/>
        <v>1.4460052852773027</v>
      </c>
      <c r="G47">
        <f t="shared" si="2"/>
        <v>0.28920105705546051</v>
      </c>
      <c r="I47" s="5">
        <f t="shared" si="3"/>
        <v>14.583333333333334</v>
      </c>
      <c r="J47" s="5">
        <f t="shared" si="4"/>
        <v>6.2896430254119657</v>
      </c>
      <c r="K47" s="5">
        <f t="shared" si="6"/>
        <v>0.69408253693310507</v>
      </c>
      <c r="L47" s="5">
        <f t="shared" si="7"/>
        <v>-3.297415649207948E-3</v>
      </c>
    </row>
    <row r="48" spans="1:12" x14ac:dyDescent="0.25">
      <c r="C48">
        <v>40</v>
      </c>
      <c r="D48">
        <f>92.88+D47</f>
        <v>453.25</v>
      </c>
      <c r="E48">
        <f t="shared" si="1"/>
        <v>7.9107048346642985</v>
      </c>
      <c r="F48">
        <f t="shared" si="5"/>
        <v>1.6210618092523328</v>
      </c>
      <c r="G48">
        <f t="shared" si="2"/>
        <v>0.32421236185046653</v>
      </c>
      <c r="I48" s="5">
        <f t="shared" si="3"/>
        <v>16.666666666666664</v>
      </c>
      <c r="J48" s="5">
        <f t="shared" si="4"/>
        <v>7.9107048346642985</v>
      </c>
      <c r="K48" s="5">
        <f t="shared" si="6"/>
        <v>0.77810966844112084</v>
      </c>
      <c r="L48" s="5">
        <f t="shared" si="7"/>
        <v>4.0333023123847629E-2</v>
      </c>
    </row>
    <row r="49" spans="1:12" x14ac:dyDescent="0.25">
      <c r="C49">
        <v>45</v>
      </c>
      <c r="D49">
        <f>79.88+D48</f>
        <v>533.13</v>
      </c>
      <c r="E49">
        <f t="shared" si="1"/>
        <v>9.3048738411573684</v>
      </c>
      <c r="F49">
        <f t="shared" si="5"/>
        <v>1.3941690064930699</v>
      </c>
      <c r="G49">
        <f t="shared" si="2"/>
        <v>0.27883380129861396</v>
      </c>
      <c r="I49" s="5">
        <f t="shared" si="3"/>
        <v>18.75</v>
      </c>
      <c r="J49" s="5">
        <f t="shared" si="4"/>
        <v>9.3048738411573684</v>
      </c>
      <c r="K49" s="5">
        <f t="shared" si="6"/>
        <v>0.66920112311667279</v>
      </c>
      <c r="L49" s="5">
        <f t="shared" si="7"/>
        <v>-5.2276101755735001E-2</v>
      </c>
    </row>
    <row r="50" spans="1:12" x14ac:dyDescent="0.25">
      <c r="C50">
        <v>50</v>
      </c>
      <c r="D50">
        <f>94.12+D49</f>
        <v>627.25</v>
      </c>
      <c r="E50">
        <f>D50*(PI()/180)</f>
        <v>10.947577733134432</v>
      </c>
      <c r="F50">
        <f t="shared" si="5"/>
        <v>1.6427038919770638</v>
      </c>
      <c r="G50">
        <f t="shared" si="2"/>
        <v>0.32854077839541274</v>
      </c>
      <c r="I50" s="5">
        <f t="shared" si="3"/>
        <v>20.833333333333336</v>
      </c>
      <c r="J50" s="5">
        <f t="shared" si="4"/>
        <v>10.947577733134432</v>
      </c>
      <c r="K50" s="5">
        <f t="shared" si="6"/>
        <v>0.7884978681489897</v>
      </c>
      <c r="L50" s="5">
        <f t="shared" si="7"/>
        <v>5.726243761551205E-2</v>
      </c>
    </row>
    <row r="54" spans="1:12" x14ac:dyDescent="0.25">
      <c r="A54">
        <v>24</v>
      </c>
      <c r="C54" t="s">
        <v>18</v>
      </c>
      <c r="D54" t="s">
        <v>24</v>
      </c>
      <c r="E54" t="s">
        <v>25</v>
      </c>
      <c r="I54" s="5" t="s">
        <v>29</v>
      </c>
      <c r="J54" s="5" t="s">
        <v>30</v>
      </c>
      <c r="K54" s="5" t="s">
        <v>31</v>
      </c>
      <c r="L54" s="5" t="s">
        <v>32</v>
      </c>
    </row>
    <row r="55" spans="1:12" x14ac:dyDescent="0.25">
      <c r="C55">
        <v>0</v>
      </c>
      <c r="D55">
        <v>0</v>
      </c>
      <c r="E55">
        <f>D55*(PI()/180)</f>
        <v>0</v>
      </c>
      <c r="I55" s="5">
        <f>C55/240 * 100</f>
        <v>0</v>
      </c>
      <c r="J55" s="5">
        <f>E55</f>
        <v>0</v>
      </c>
      <c r="K55" s="5">
        <v>0</v>
      </c>
      <c r="L55" s="5">
        <v>0</v>
      </c>
    </row>
    <row r="56" spans="1:12" x14ac:dyDescent="0.25">
      <c r="C56">
        <v>5</v>
      </c>
      <c r="D56">
        <f>D55+6.14</f>
        <v>6.14</v>
      </c>
      <c r="E56">
        <f t="shared" ref="E56:E65" si="8">D56*(PI()/180)</f>
        <v>0.10716321607245183</v>
      </c>
      <c r="I56" s="5">
        <f t="shared" ref="I56:I65" si="9">C56/240 * 100</f>
        <v>2.083333333333333</v>
      </c>
      <c r="J56" s="5">
        <f t="shared" ref="J56:J65" si="10">E56</f>
        <v>0.10716321607245183</v>
      </c>
      <c r="K56" s="5">
        <f>(J56-J55)/(I56-I55)</f>
        <v>5.1438343714776888E-2</v>
      </c>
      <c r="L56" s="5">
        <f>(K56-K55)/(I56-I55)</f>
        <v>2.4690404983092908E-2</v>
      </c>
    </row>
    <row r="57" spans="1:12" x14ac:dyDescent="0.25">
      <c r="C57">
        <v>10</v>
      </c>
      <c r="D57">
        <f>D56+10.52</f>
        <v>16.66</v>
      </c>
      <c r="E57">
        <f t="shared" si="8"/>
        <v>0.29077185338225531</v>
      </c>
      <c r="I57" s="5">
        <f t="shared" si="9"/>
        <v>4.1666666666666661</v>
      </c>
      <c r="J57" s="5">
        <f t="shared" si="10"/>
        <v>0.29077185338225531</v>
      </c>
      <c r="K57" s="5">
        <f t="shared" ref="K57:K65" si="11">(J57-J56)/(I57-I56)</f>
        <v>8.8132145908705689E-2</v>
      </c>
      <c r="L57" s="5">
        <f t="shared" ref="L57:L65" si="12">(K57-K56)/(I57-I56)</f>
        <v>1.7613025053085828E-2</v>
      </c>
    </row>
    <row r="58" spans="1:12" x14ac:dyDescent="0.25">
      <c r="C58">
        <v>15</v>
      </c>
      <c r="D58">
        <f>D57+15.75</f>
        <v>32.409999999999997</v>
      </c>
      <c r="E58">
        <f t="shared" si="8"/>
        <v>0.56566121057136209</v>
      </c>
      <c r="I58" s="5">
        <f t="shared" si="9"/>
        <v>6.25</v>
      </c>
      <c r="J58" s="5">
        <f t="shared" si="10"/>
        <v>0.56566121057136209</v>
      </c>
      <c r="K58" s="5">
        <f t="shared" si="11"/>
        <v>0.13194689145077121</v>
      </c>
      <c r="L58" s="5">
        <f t="shared" si="12"/>
        <v>2.1031077860191445E-2</v>
      </c>
    </row>
    <row r="59" spans="1:12" x14ac:dyDescent="0.25">
      <c r="C59">
        <v>20</v>
      </c>
      <c r="D59">
        <f>D58+58.92</f>
        <v>91.33</v>
      </c>
      <c r="E59">
        <f t="shared" si="8"/>
        <v>1.5940092058464213</v>
      </c>
      <c r="I59" s="5">
        <f t="shared" si="9"/>
        <v>8.3333333333333321</v>
      </c>
      <c r="J59" s="5">
        <f t="shared" si="10"/>
        <v>1.5940092058464213</v>
      </c>
      <c r="K59" s="5">
        <f t="shared" si="11"/>
        <v>0.49360703773202869</v>
      </c>
      <c r="L59" s="5">
        <f t="shared" si="12"/>
        <v>0.1735968702150037</v>
      </c>
    </row>
    <row r="60" spans="1:12" x14ac:dyDescent="0.25">
      <c r="C60">
        <v>25</v>
      </c>
      <c r="D60">
        <f>D59+69.79</f>
        <v>161.12</v>
      </c>
      <c r="E60">
        <f t="shared" si="8"/>
        <v>2.8120744908132638</v>
      </c>
      <c r="I60" s="5">
        <f t="shared" si="9"/>
        <v>10.416666666666668</v>
      </c>
      <c r="J60" s="5">
        <f t="shared" si="10"/>
        <v>2.8120744908132638</v>
      </c>
      <c r="K60" s="5">
        <f t="shared" si="11"/>
        <v>0.58467133678408378</v>
      </c>
      <c r="L60" s="5">
        <f t="shared" si="12"/>
        <v>4.3710863544986399E-2</v>
      </c>
    </row>
    <row r="61" spans="1:12" x14ac:dyDescent="0.25">
      <c r="C61">
        <v>30</v>
      </c>
      <c r="D61">
        <f>D60+88.56</f>
        <v>249.68</v>
      </c>
      <c r="E61">
        <f t="shared" si="8"/>
        <v>4.3577380763794418</v>
      </c>
      <c r="I61" s="5">
        <f t="shared" si="9"/>
        <v>12.5</v>
      </c>
      <c r="J61" s="5">
        <f t="shared" si="10"/>
        <v>4.3577380763794418</v>
      </c>
      <c r="K61" s="5">
        <f t="shared" si="11"/>
        <v>0.74191852107176581</v>
      </c>
      <c r="L61" s="5">
        <f t="shared" si="12"/>
        <v>7.5478648458087411E-2</v>
      </c>
    </row>
    <row r="62" spans="1:12" x14ac:dyDescent="0.25">
      <c r="C62">
        <v>35</v>
      </c>
      <c r="D62">
        <f>D61+102.29</f>
        <v>351.97</v>
      </c>
      <c r="E62">
        <f t="shared" si="8"/>
        <v>6.1430353682444423</v>
      </c>
      <c r="I62" s="5">
        <f t="shared" si="9"/>
        <v>14.583333333333334</v>
      </c>
      <c r="J62" s="5">
        <f t="shared" si="10"/>
        <v>6.1430353682444423</v>
      </c>
      <c r="K62" s="5">
        <f t="shared" si="11"/>
        <v>0.85694270009520002</v>
      </c>
      <c r="L62" s="5">
        <f t="shared" si="12"/>
        <v>5.5211605931248402E-2</v>
      </c>
    </row>
    <row r="63" spans="1:12" x14ac:dyDescent="0.25">
      <c r="C63">
        <v>40</v>
      </c>
      <c r="D63">
        <f>D62+101.08</f>
        <v>453.05</v>
      </c>
      <c r="E63">
        <f t="shared" si="8"/>
        <v>7.9072141761603101</v>
      </c>
      <c r="I63" s="5">
        <f t="shared" si="9"/>
        <v>16.666666666666664</v>
      </c>
      <c r="J63" s="5">
        <f t="shared" si="10"/>
        <v>7.9072141761603101</v>
      </c>
      <c r="K63" s="5">
        <f t="shared" si="11"/>
        <v>0.84680582779961777</v>
      </c>
      <c r="L63" s="5">
        <f t="shared" si="12"/>
        <v>-4.8656987018794841E-3</v>
      </c>
    </row>
    <row r="64" spans="1:12" x14ac:dyDescent="0.25">
      <c r="C64">
        <v>45</v>
      </c>
      <c r="D64">
        <f>D63+102.76</f>
        <v>555.81000000000006</v>
      </c>
      <c r="E64">
        <f t="shared" si="8"/>
        <v>9.7007145155096843</v>
      </c>
      <c r="I64" s="5">
        <f t="shared" si="9"/>
        <v>18.75</v>
      </c>
      <c r="J64" s="5">
        <f t="shared" si="10"/>
        <v>9.7007145155096843</v>
      </c>
      <c r="K64" s="5">
        <f t="shared" si="11"/>
        <v>0.86088016288769864</v>
      </c>
      <c r="L64" s="5">
        <f t="shared" si="12"/>
        <v>6.7556808422788092E-3</v>
      </c>
    </row>
    <row r="65" spans="1:12" x14ac:dyDescent="0.25">
      <c r="C65">
        <v>50</v>
      </c>
      <c r="D65">
        <f>D64+112.82</f>
        <v>668.63000000000011</v>
      </c>
      <c r="E65">
        <f t="shared" si="8"/>
        <v>11.669794977609687</v>
      </c>
      <c r="I65" s="5">
        <f t="shared" si="9"/>
        <v>20.833333333333336</v>
      </c>
      <c r="J65" s="5">
        <f t="shared" si="10"/>
        <v>11.669794977609687</v>
      </c>
      <c r="K65" s="5">
        <f t="shared" si="11"/>
        <v>0.94515862180800014</v>
      </c>
      <c r="L65" s="5">
        <f t="shared" si="12"/>
        <v>4.0453660281744672E-2</v>
      </c>
    </row>
    <row r="68" spans="1:12" x14ac:dyDescent="0.25">
      <c r="A68">
        <v>30</v>
      </c>
      <c r="B68" t="s">
        <v>23</v>
      </c>
      <c r="C68" t="s">
        <v>18</v>
      </c>
      <c r="D68" t="s">
        <v>24</v>
      </c>
      <c r="E68" t="s">
        <v>25</v>
      </c>
      <c r="I68" s="5" t="s">
        <v>29</v>
      </c>
      <c r="J68" s="5" t="s">
        <v>30</v>
      </c>
      <c r="K68" s="5" t="s">
        <v>31</v>
      </c>
      <c r="L68" s="5" t="s">
        <v>32</v>
      </c>
    </row>
    <row r="69" spans="1:12" x14ac:dyDescent="0.25">
      <c r="C69">
        <v>0</v>
      </c>
      <c r="D69">
        <v>0</v>
      </c>
      <c r="E69">
        <f>D69*(PI()/180)</f>
        <v>0</v>
      </c>
      <c r="I69" s="5">
        <f>C69/240 * 100</f>
        <v>0</v>
      </c>
      <c r="J69" s="5">
        <f>E69</f>
        <v>0</v>
      </c>
      <c r="K69" s="5">
        <v>0</v>
      </c>
      <c r="L69" s="5">
        <v>0</v>
      </c>
    </row>
    <row r="70" spans="1:12" x14ac:dyDescent="0.25">
      <c r="C70">
        <v>5</v>
      </c>
      <c r="D70">
        <f>D69+1.3</f>
        <v>1.3</v>
      </c>
      <c r="E70">
        <f t="shared" ref="E70:E79" si="13">D70*(PI()/180)</f>
        <v>2.2689280275926284E-2</v>
      </c>
      <c r="I70" s="5">
        <f t="shared" ref="I70:I79" si="14">C70/240 * 100</f>
        <v>2.083333333333333</v>
      </c>
      <c r="J70" s="5">
        <f t="shared" ref="J70:J79" si="15">E70</f>
        <v>2.2689280275926284E-2</v>
      </c>
      <c r="K70" s="5">
        <f>(J70-J69)/(I70-I69)</f>
        <v>1.0890854532444618E-2</v>
      </c>
      <c r="L70" s="5">
        <f>(K70-K69)/(I70-I69)</f>
        <v>5.2276101755734175E-3</v>
      </c>
    </row>
    <row r="71" spans="1:12" x14ac:dyDescent="0.25">
      <c r="C71">
        <v>10</v>
      </c>
      <c r="D71">
        <f>D70+9.8</f>
        <v>11.100000000000001</v>
      </c>
      <c r="E71">
        <f t="shared" si="13"/>
        <v>0.1937315469713706</v>
      </c>
      <c r="I71" s="5">
        <f t="shared" si="14"/>
        <v>4.1666666666666661</v>
      </c>
      <c r="J71" s="5">
        <f t="shared" si="15"/>
        <v>0.1937315469713706</v>
      </c>
      <c r="K71" s="5">
        <f t="shared" ref="K71:K79" si="16">(J71-J70)/(I71-I70)</f>
        <v>8.2100288013813277E-2</v>
      </c>
      <c r="L71" s="5">
        <f t="shared" ref="L71:L79" si="17">(K71-K70)/(I71-I70)</f>
        <v>3.4180528071056961E-2</v>
      </c>
    </row>
    <row r="72" spans="1:12" x14ac:dyDescent="0.25">
      <c r="C72">
        <v>15</v>
      </c>
      <c r="D72">
        <f>D71+44.5</f>
        <v>55.6</v>
      </c>
      <c r="E72">
        <f t="shared" si="13"/>
        <v>0.97040306410884725</v>
      </c>
      <c r="I72" s="5">
        <f t="shared" si="14"/>
        <v>6.25</v>
      </c>
      <c r="J72" s="5">
        <f t="shared" si="15"/>
        <v>0.97040306410884725</v>
      </c>
      <c r="K72" s="5">
        <f t="shared" si="16"/>
        <v>0.37280232822598869</v>
      </c>
      <c r="L72" s="5">
        <f t="shared" si="17"/>
        <v>0.13953697930184414</v>
      </c>
    </row>
    <row r="73" spans="1:12" x14ac:dyDescent="0.25">
      <c r="C73">
        <v>20</v>
      </c>
      <c r="D73">
        <f>D72+84.85</f>
        <v>140.44999999999999</v>
      </c>
      <c r="E73">
        <f t="shared" si="13"/>
        <v>2.4513149344260357</v>
      </c>
      <c r="I73" s="5">
        <f t="shared" si="14"/>
        <v>8.3333333333333321</v>
      </c>
      <c r="J73" s="5">
        <f t="shared" si="15"/>
        <v>2.4513149344260357</v>
      </c>
      <c r="K73" s="5">
        <f t="shared" si="16"/>
        <v>0.71083769775225081</v>
      </c>
      <c r="L73" s="5">
        <f t="shared" si="17"/>
        <v>0.16225697737260592</v>
      </c>
    </row>
    <row r="74" spans="1:12" x14ac:dyDescent="0.25">
      <c r="C74">
        <v>25</v>
      </c>
      <c r="D74">
        <f>D73+105.57</f>
        <v>246.01999999999998</v>
      </c>
      <c r="E74">
        <f t="shared" si="13"/>
        <v>4.2938590257564488</v>
      </c>
      <c r="I74" s="5">
        <f t="shared" si="14"/>
        <v>10.416666666666668</v>
      </c>
      <c r="J74" s="5">
        <f t="shared" si="15"/>
        <v>4.2938590257564488</v>
      </c>
      <c r="K74" s="5">
        <f t="shared" si="16"/>
        <v>0.88442116383859737</v>
      </c>
      <c r="L74" s="5">
        <f t="shared" si="17"/>
        <v>8.332006372144625E-2</v>
      </c>
    </row>
    <row r="75" spans="1:12" x14ac:dyDescent="0.25">
      <c r="C75">
        <v>30</v>
      </c>
      <c r="D75">
        <f>D74+109.42</f>
        <v>355.44</v>
      </c>
      <c r="E75">
        <f t="shared" si="13"/>
        <v>6.2035982932886453</v>
      </c>
      <c r="I75" s="5">
        <f t="shared" si="14"/>
        <v>12.5</v>
      </c>
      <c r="J75" s="5">
        <f t="shared" si="15"/>
        <v>6.2035982932886453</v>
      </c>
      <c r="K75" s="5">
        <f t="shared" si="16"/>
        <v>0.91667484841545488</v>
      </c>
      <c r="L75" s="5">
        <f t="shared" si="17"/>
        <v>1.5481768596891614E-2</v>
      </c>
    </row>
    <row r="76" spans="1:12" x14ac:dyDescent="0.25">
      <c r="C76">
        <v>35</v>
      </c>
      <c r="D76">
        <f>D75+130.16</f>
        <v>485.6</v>
      </c>
      <c r="E76">
        <f t="shared" si="13"/>
        <v>8.4753188476844645</v>
      </c>
      <c r="I76" s="5">
        <f t="shared" si="14"/>
        <v>14.583333333333334</v>
      </c>
      <c r="J76" s="5">
        <f t="shared" si="15"/>
        <v>8.4753188476844645</v>
      </c>
      <c r="K76" s="5">
        <f t="shared" si="16"/>
        <v>1.0904258661099928</v>
      </c>
      <c r="L76" s="5">
        <f t="shared" si="17"/>
        <v>8.340048849337818E-2</v>
      </c>
    </row>
    <row r="77" spans="1:12" x14ac:dyDescent="0.25">
      <c r="C77">
        <v>40</v>
      </c>
      <c r="D77">
        <f>D76+145.54</f>
        <v>631.14</v>
      </c>
      <c r="E77">
        <f t="shared" si="13"/>
        <v>11.015471041037012</v>
      </c>
      <c r="I77" s="5">
        <f t="shared" si="14"/>
        <v>16.666666666666664</v>
      </c>
      <c r="J77" s="5">
        <f t="shared" si="15"/>
        <v>11.015471041037012</v>
      </c>
      <c r="K77" s="5">
        <f t="shared" si="16"/>
        <v>1.2192730528092244</v>
      </c>
      <c r="L77" s="5">
        <f t="shared" si="17"/>
        <v>6.1846649615631237E-2</v>
      </c>
    </row>
    <row r="78" spans="1:12" x14ac:dyDescent="0.25">
      <c r="C78">
        <v>45</v>
      </c>
      <c r="D78">
        <f>D77+155.71</f>
        <v>786.85</v>
      </c>
      <c r="E78">
        <f t="shared" si="13"/>
        <v>13.733123219317383</v>
      </c>
      <c r="I78" s="5">
        <f t="shared" si="14"/>
        <v>18.75</v>
      </c>
      <c r="J78" s="5">
        <f t="shared" si="15"/>
        <v>13.733123219317383</v>
      </c>
      <c r="K78" s="5">
        <f t="shared" si="16"/>
        <v>1.3044730455745766</v>
      </c>
      <c r="L78" s="5">
        <f t="shared" si="17"/>
        <v>4.0895996527369E-2</v>
      </c>
    </row>
    <row r="79" spans="1:12" x14ac:dyDescent="0.25">
      <c r="C79">
        <v>50</v>
      </c>
      <c r="D79">
        <f>D78+139.76</f>
        <v>926.61</v>
      </c>
      <c r="E79">
        <f t="shared" si="13"/>
        <v>16.172395381904657</v>
      </c>
      <c r="I79" s="5">
        <f t="shared" si="14"/>
        <v>20.833333333333336</v>
      </c>
      <c r="J79" s="5">
        <f t="shared" si="15"/>
        <v>16.172395381904657</v>
      </c>
      <c r="K79" s="5">
        <f t="shared" si="16"/>
        <v>1.1708506380418904</v>
      </c>
      <c r="L79" s="5">
        <f t="shared" si="17"/>
        <v>-6.4138755615689283E-2</v>
      </c>
    </row>
    <row r="83" spans="1:12" x14ac:dyDescent="0.25">
      <c r="A83">
        <v>30</v>
      </c>
      <c r="C83" t="s">
        <v>18</v>
      </c>
      <c r="D83" t="s">
        <v>24</v>
      </c>
      <c r="E83" t="s">
        <v>25</v>
      </c>
      <c r="I83" s="5" t="s">
        <v>29</v>
      </c>
      <c r="J83" s="5" t="s">
        <v>30</v>
      </c>
      <c r="K83" s="5" t="s">
        <v>31</v>
      </c>
      <c r="L83" s="5" t="s">
        <v>32</v>
      </c>
    </row>
    <row r="84" spans="1:12" x14ac:dyDescent="0.25">
      <c r="C84">
        <v>0</v>
      </c>
      <c r="D84">
        <v>0</v>
      </c>
      <c r="E84">
        <f>D84*(PI()/180)</f>
        <v>0</v>
      </c>
      <c r="I84" s="5">
        <f>C84/240 * 100</f>
        <v>0</v>
      </c>
      <c r="J84" s="5">
        <f>E84</f>
        <v>0</v>
      </c>
      <c r="K84" s="5">
        <v>0</v>
      </c>
      <c r="L84" s="5">
        <v>0</v>
      </c>
    </row>
    <row r="85" spans="1:12" x14ac:dyDescent="0.25">
      <c r="C85">
        <v>5</v>
      </c>
      <c r="D85">
        <f>D84+7.12</f>
        <v>7.12</v>
      </c>
      <c r="E85">
        <f t="shared" ref="E85:E94" si="18">D85*(PI()/180)</f>
        <v>0.12426744274199626</v>
      </c>
      <c r="I85" s="5">
        <f t="shared" ref="I85:I94" si="19">C85/240 * 100</f>
        <v>2.083333333333333</v>
      </c>
      <c r="J85" s="5">
        <f t="shared" ref="J85:J94" si="20">E85</f>
        <v>0.12426744274199626</v>
      </c>
      <c r="K85" s="5">
        <f>(J85-J84)/(I85-I84)</f>
        <v>5.9648372516158212E-2</v>
      </c>
      <c r="L85" s="5">
        <f>(K85-K84)/(I85-I84)</f>
        <v>2.8631218807755945E-2</v>
      </c>
    </row>
    <row r="86" spans="1:12" x14ac:dyDescent="0.25">
      <c r="C86">
        <v>10</v>
      </c>
      <c r="D86">
        <f>D85+27.86</f>
        <v>34.979999999999997</v>
      </c>
      <c r="E86">
        <f t="shared" si="18"/>
        <v>0.61051617234761646</v>
      </c>
      <c r="I86" s="5">
        <f t="shared" si="19"/>
        <v>4.1666666666666661</v>
      </c>
      <c r="J86" s="5">
        <f t="shared" si="20"/>
        <v>0.61051617234761646</v>
      </c>
      <c r="K86" s="5">
        <f t="shared" ref="K86:K94" si="21">(J86-J85)/(I86-I85)</f>
        <v>0.23339939021069772</v>
      </c>
      <c r="L86" s="5">
        <f t="shared" ref="L86:L94" si="22">(K86-K85)/(I86-I85)</f>
        <v>8.3400488493378985E-2</v>
      </c>
    </row>
    <row r="87" spans="1:12" x14ac:dyDescent="0.25">
      <c r="C87">
        <v>15</v>
      </c>
      <c r="D87">
        <f>D86+61.66</f>
        <v>96.639999999999986</v>
      </c>
      <c r="E87">
        <f t="shared" si="18"/>
        <v>1.6866861891273199</v>
      </c>
      <c r="I87" s="5">
        <f t="shared" si="19"/>
        <v>6.25</v>
      </c>
      <c r="J87" s="5">
        <f t="shared" si="20"/>
        <v>1.6866861891273199</v>
      </c>
      <c r="K87" s="5">
        <f t="shared" si="21"/>
        <v>0.51656160805425755</v>
      </c>
      <c r="L87" s="5">
        <f t="shared" si="22"/>
        <v>0.13591786456490867</v>
      </c>
    </row>
    <row r="88" spans="1:12" x14ac:dyDescent="0.25">
      <c r="C88">
        <v>20</v>
      </c>
      <c r="D88">
        <f>D87+89.14</f>
        <v>185.77999999999997</v>
      </c>
      <c r="E88">
        <f t="shared" si="18"/>
        <v>3.2424726843550649</v>
      </c>
      <c r="I88" s="5">
        <f t="shared" si="19"/>
        <v>8.3333333333333321</v>
      </c>
      <c r="J88" s="5">
        <f t="shared" si="20"/>
        <v>3.2424726843550649</v>
      </c>
      <c r="K88" s="5">
        <f t="shared" si="21"/>
        <v>0.746777517709318</v>
      </c>
      <c r="L88" s="5">
        <f t="shared" si="22"/>
        <v>0.11050363663442908</v>
      </c>
    </row>
    <row r="89" spans="1:12" x14ac:dyDescent="0.25">
      <c r="C89">
        <v>25</v>
      </c>
      <c r="D89">
        <f>D88+124.96</f>
        <v>310.73999999999995</v>
      </c>
      <c r="E89">
        <f t="shared" si="18"/>
        <v>5.4234361176471788</v>
      </c>
      <c r="I89" s="5">
        <f t="shared" si="19"/>
        <v>10.416666666666668</v>
      </c>
      <c r="J89" s="5">
        <f t="shared" si="20"/>
        <v>5.4234361176471788</v>
      </c>
      <c r="K89" s="5">
        <f t="shared" si="21"/>
        <v>1.0468624479802136</v>
      </c>
      <c r="L89" s="5">
        <f t="shared" si="22"/>
        <v>0.1440407665300297</v>
      </c>
    </row>
    <row r="90" spans="1:12" x14ac:dyDescent="0.25">
      <c r="C90">
        <v>30</v>
      </c>
      <c r="D90">
        <f>D89+130.21</f>
        <v>440.94999999999993</v>
      </c>
      <c r="E90">
        <f t="shared" si="18"/>
        <v>7.6960293366689951</v>
      </c>
      <c r="I90" s="5">
        <f t="shared" si="19"/>
        <v>12.5</v>
      </c>
      <c r="J90" s="5">
        <f t="shared" si="20"/>
        <v>7.6960293366689951</v>
      </c>
      <c r="K90" s="5">
        <f t="shared" si="21"/>
        <v>1.0908447451304724</v>
      </c>
      <c r="L90" s="5">
        <f t="shared" si="22"/>
        <v>2.1111502632124239E-2</v>
      </c>
    </row>
    <row r="91" spans="1:12" x14ac:dyDescent="0.25">
      <c r="C91">
        <v>35</v>
      </c>
      <c r="D91">
        <f>D90+133</f>
        <v>573.94999999999993</v>
      </c>
      <c r="E91">
        <f t="shared" si="18"/>
        <v>10.017317241821454</v>
      </c>
      <c r="I91" s="5">
        <f t="shared" si="19"/>
        <v>14.583333333333334</v>
      </c>
      <c r="J91" s="5">
        <f t="shared" si="20"/>
        <v>10.017317241821454</v>
      </c>
      <c r="K91" s="5">
        <f t="shared" si="21"/>
        <v>1.1142181944731799</v>
      </c>
      <c r="L91" s="5">
        <f t="shared" si="22"/>
        <v>1.1219255684499633E-2</v>
      </c>
    </row>
    <row r="92" spans="1:12" x14ac:dyDescent="0.25">
      <c r="C92">
        <v>40</v>
      </c>
      <c r="D92">
        <f>D91+194.05</f>
        <v>768</v>
      </c>
      <c r="E92">
        <f t="shared" si="18"/>
        <v>13.404128655316452</v>
      </c>
      <c r="I92" s="5">
        <f t="shared" si="19"/>
        <v>16.666666666666664</v>
      </c>
      <c r="J92" s="5">
        <f t="shared" si="20"/>
        <v>13.404128655316452</v>
      </c>
      <c r="K92" s="5">
        <f t="shared" si="21"/>
        <v>1.6256694784776013</v>
      </c>
      <c r="L92" s="5">
        <f t="shared" si="22"/>
        <v>0.24549661632212263</v>
      </c>
    </row>
    <row r="93" spans="1:12" x14ac:dyDescent="0.25">
      <c r="C93">
        <v>45</v>
      </c>
      <c r="D93">
        <f>D92+139.11</f>
        <v>907.11</v>
      </c>
      <c r="E93">
        <f t="shared" si="18"/>
        <v>15.832056177765763</v>
      </c>
      <c r="I93" s="5">
        <f t="shared" si="19"/>
        <v>18.75</v>
      </c>
      <c r="J93" s="5">
        <f t="shared" si="20"/>
        <v>15.832056177765763</v>
      </c>
      <c r="K93" s="5">
        <f t="shared" si="21"/>
        <v>1.1654052107756678</v>
      </c>
      <c r="L93" s="5">
        <f t="shared" si="22"/>
        <v>-0.22092684849692784</v>
      </c>
    </row>
    <row r="94" spans="1:12" x14ac:dyDescent="0.25">
      <c r="C94">
        <v>50</v>
      </c>
      <c r="D94">
        <f>D93+167.41</f>
        <v>1074.52</v>
      </c>
      <c r="E94">
        <f t="shared" si="18"/>
        <v>18.753911878529468</v>
      </c>
      <c r="I94" s="5">
        <f t="shared" si="19"/>
        <v>20.833333333333336</v>
      </c>
      <c r="J94" s="5">
        <f t="shared" si="20"/>
        <v>18.753911878529468</v>
      </c>
      <c r="K94" s="5">
        <f t="shared" si="21"/>
        <v>1.4024907363665771</v>
      </c>
      <c r="L94" s="5">
        <f t="shared" si="22"/>
        <v>0.11380105228363629</v>
      </c>
    </row>
    <row r="98" spans="1:12" x14ac:dyDescent="0.25">
      <c r="A98">
        <v>35</v>
      </c>
      <c r="C98" s="4" t="s">
        <v>26</v>
      </c>
      <c r="D98" s="4" t="s">
        <v>27</v>
      </c>
      <c r="E98" s="4" t="s">
        <v>20</v>
      </c>
      <c r="I98" s="5" t="s">
        <v>29</v>
      </c>
      <c r="J98" s="5" t="s">
        <v>30</v>
      </c>
      <c r="K98" s="5" t="s">
        <v>31</v>
      </c>
      <c r="L98" s="5" t="s">
        <v>32</v>
      </c>
    </row>
    <row r="99" spans="1:12" x14ac:dyDescent="0.25">
      <c r="C99" s="4">
        <v>0</v>
      </c>
      <c r="D99" s="4">
        <v>0</v>
      </c>
      <c r="E99" s="4">
        <v>0</v>
      </c>
      <c r="I99" s="5">
        <f>C99/240 * 100</f>
        <v>0</v>
      </c>
      <c r="J99" s="5">
        <f>E99</f>
        <v>0</v>
      </c>
      <c r="K99" s="5">
        <v>0</v>
      </c>
      <c r="L99" s="5">
        <v>0</v>
      </c>
    </row>
    <row r="100" spans="1:12" x14ac:dyDescent="0.25">
      <c r="C100" s="4">
        <v>5</v>
      </c>
      <c r="D100" s="4" t="s">
        <v>28</v>
      </c>
      <c r="E100" s="4">
        <v>4.8694686000000001E-2</v>
      </c>
      <c r="I100" s="5">
        <f t="shared" ref="I100:I109" si="23">C100/240 * 100</f>
        <v>2.083333333333333</v>
      </c>
      <c r="J100" s="5">
        <f t="shared" ref="J100:J109" si="24">E100</f>
        <v>4.8694686000000001E-2</v>
      </c>
      <c r="K100" s="5">
        <f>(J100-J99)/(I100-I99)</f>
        <v>2.3373449280000003E-2</v>
      </c>
      <c r="L100" s="5">
        <f>(K100-K99)/(I100-I99)</f>
        <v>1.1219255654400004E-2</v>
      </c>
    </row>
    <row r="101" spans="1:12" x14ac:dyDescent="0.25">
      <c r="C101" s="4">
        <v>10</v>
      </c>
      <c r="D101" s="4">
        <v>33.89</v>
      </c>
      <c r="E101" s="4">
        <v>0.59149208399999997</v>
      </c>
      <c r="I101" s="5">
        <f t="shared" si="23"/>
        <v>4.1666666666666661</v>
      </c>
      <c r="J101" s="5">
        <f t="shared" si="24"/>
        <v>0.59149208399999997</v>
      </c>
      <c r="K101" s="5">
        <f t="shared" ref="K101:K109" si="25">(J101-J100)/(I101-I100)</f>
        <v>0.26054275104000002</v>
      </c>
      <c r="L101" s="5">
        <f t="shared" ref="L101:L109" si="26">(K101-K100)/(I101-I100)</f>
        <v>0.11384126484480002</v>
      </c>
    </row>
    <row r="102" spans="1:12" x14ac:dyDescent="0.25">
      <c r="C102" s="4">
        <v>15</v>
      </c>
      <c r="D102" s="4">
        <v>117.94</v>
      </c>
      <c r="E102" s="4">
        <v>2.05844132</v>
      </c>
      <c r="I102" s="5">
        <f t="shared" si="23"/>
        <v>6.25</v>
      </c>
      <c r="J102" s="5">
        <f t="shared" si="24"/>
        <v>2.05844132</v>
      </c>
      <c r="K102" s="5">
        <f t="shared" si="25"/>
        <v>0.70413563327999984</v>
      </c>
      <c r="L102" s="5">
        <f t="shared" si="26"/>
        <v>0.21292458347519985</v>
      </c>
    </row>
    <row r="103" spans="1:12" x14ac:dyDescent="0.25">
      <c r="C103" s="4">
        <v>20</v>
      </c>
      <c r="D103" s="4">
        <v>235.66</v>
      </c>
      <c r="E103" s="4">
        <v>4.1130429150000003</v>
      </c>
      <c r="I103" s="5">
        <f t="shared" si="23"/>
        <v>8.3333333333333321</v>
      </c>
      <c r="J103" s="5">
        <f t="shared" si="24"/>
        <v>4.1130429150000003</v>
      </c>
      <c r="K103" s="5">
        <f t="shared" si="25"/>
        <v>0.9862087656000007</v>
      </c>
      <c r="L103" s="5">
        <f t="shared" si="26"/>
        <v>0.13539510351360048</v>
      </c>
    </row>
    <row r="104" spans="1:12" x14ac:dyDescent="0.25">
      <c r="C104" s="4">
        <v>25</v>
      </c>
      <c r="D104" s="4">
        <v>390.47</v>
      </c>
      <c r="E104" s="4">
        <v>6.8149871299999996</v>
      </c>
      <c r="I104" s="5">
        <f t="shared" si="23"/>
        <v>10.416666666666668</v>
      </c>
      <c r="J104" s="5">
        <f t="shared" si="24"/>
        <v>6.8149871299999996</v>
      </c>
      <c r="K104" s="5">
        <f t="shared" si="25"/>
        <v>1.2969332231999982</v>
      </c>
      <c r="L104" s="5">
        <f t="shared" si="26"/>
        <v>0.1491477396479986</v>
      </c>
    </row>
    <row r="105" spans="1:12" x14ac:dyDescent="0.25">
      <c r="C105" s="4">
        <v>30</v>
      </c>
      <c r="D105" s="4">
        <v>539.38</v>
      </c>
      <c r="E105" s="4">
        <v>9.4139569190000003</v>
      </c>
      <c r="I105" s="5">
        <f t="shared" si="23"/>
        <v>12.5</v>
      </c>
      <c r="J105" s="5">
        <f t="shared" si="24"/>
        <v>9.4139569190000003</v>
      </c>
      <c r="K105" s="5">
        <f t="shared" si="25"/>
        <v>1.2475054987200012</v>
      </c>
      <c r="L105" s="5">
        <f t="shared" si="26"/>
        <v>-2.3725307750398571E-2</v>
      </c>
    </row>
    <row r="106" spans="1:12" x14ac:dyDescent="0.25">
      <c r="C106" s="4">
        <v>35</v>
      </c>
      <c r="D106" s="4">
        <v>746.73</v>
      </c>
      <c r="E106" s="4">
        <v>13.032897119999999</v>
      </c>
      <c r="I106" s="5">
        <f t="shared" si="23"/>
        <v>14.583333333333334</v>
      </c>
      <c r="J106" s="5">
        <f t="shared" si="24"/>
        <v>13.032897119999999</v>
      </c>
      <c r="K106" s="5">
        <f t="shared" si="25"/>
        <v>1.7370912964799992</v>
      </c>
      <c r="L106" s="5">
        <f t="shared" si="26"/>
        <v>0.23500118292479896</v>
      </c>
    </row>
    <row r="107" spans="1:12" x14ac:dyDescent="0.25">
      <c r="C107" s="4">
        <v>40</v>
      </c>
      <c r="D107" s="4">
        <v>910.92</v>
      </c>
      <c r="E107" s="4">
        <v>15.89855322</v>
      </c>
      <c r="I107" s="5">
        <f t="shared" si="23"/>
        <v>16.666666666666664</v>
      </c>
      <c r="J107" s="5">
        <f t="shared" si="24"/>
        <v>15.89855322</v>
      </c>
      <c r="K107" s="5">
        <f t="shared" si="25"/>
        <v>1.3755149280000023</v>
      </c>
      <c r="L107" s="5">
        <f t="shared" si="26"/>
        <v>-0.17355665687039873</v>
      </c>
    </row>
    <row r="108" spans="1:12" x14ac:dyDescent="0.25">
      <c r="C108" s="4">
        <v>45</v>
      </c>
      <c r="D108" s="4">
        <v>1151.4100000000001</v>
      </c>
      <c r="E108" s="4">
        <v>20.095895540000001</v>
      </c>
      <c r="I108" s="5">
        <f t="shared" si="23"/>
        <v>18.75</v>
      </c>
      <c r="J108" s="5">
        <f t="shared" si="24"/>
        <v>20.095895540000001</v>
      </c>
      <c r="K108" s="5">
        <f t="shared" si="25"/>
        <v>2.0147243135999982</v>
      </c>
      <c r="L108" s="5">
        <f t="shared" si="26"/>
        <v>0.30682050508799769</v>
      </c>
    </row>
    <row r="109" spans="1:12" x14ac:dyDescent="0.25">
      <c r="C109" s="4">
        <v>50</v>
      </c>
      <c r="D109" s="4">
        <v>1312.46</v>
      </c>
      <c r="E109" s="4">
        <v>22.9067483</v>
      </c>
      <c r="I109" s="5">
        <f t="shared" si="23"/>
        <v>20.833333333333336</v>
      </c>
      <c r="J109" s="5">
        <f t="shared" si="24"/>
        <v>22.9067483</v>
      </c>
      <c r="K109" s="5">
        <f t="shared" si="25"/>
        <v>1.3492093247999983</v>
      </c>
      <c r="L109" s="5">
        <f t="shared" si="26"/>
        <v>-0.31944719462399956</v>
      </c>
    </row>
    <row r="110" spans="1:12" x14ac:dyDescent="0.25">
      <c r="C110" s="4"/>
      <c r="D110" s="4"/>
      <c r="E110" s="4"/>
    </row>
    <row r="111" spans="1:12" x14ac:dyDescent="0.25">
      <c r="A111">
        <v>35</v>
      </c>
      <c r="C111" s="4" t="s">
        <v>26</v>
      </c>
      <c r="D111" s="4" t="s">
        <v>27</v>
      </c>
      <c r="E111" s="4" t="s">
        <v>20</v>
      </c>
      <c r="I111" s="5" t="s">
        <v>29</v>
      </c>
      <c r="J111" s="5" t="s">
        <v>30</v>
      </c>
      <c r="K111" s="5" t="s">
        <v>31</v>
      </c>
      <c r="L111" s="5" t="s">
        <v>32</v>
      </c>
    </row>
    <row r="112" spans="1:12" x14ac:dyDescent="0.25">
      <c r="C112" s="4">
        <v>0</v>
      </c>
      <c r="D112" s="4">
        <v>0</v>
      </c>
      <c r="E112" s="4">
        <v>0</v>
      </c>
      <c r="I112" s="5">
        <f>C112/240 * 100</f>
        <v>0</v>
      </c>
      <c r="J112" s="5">
        <f>E112</f>
        <v>0</v>
      </c>
      <c r="K112" s="5">
        <v>0</v>
      </c>
      <c r="L112" s="5">
        <v>0</v>
      </c>
    </row>
    <row r="113" spans="3:12" x14ac:dyDescent="0.25">
      <c r="C113" s="4">
        <v>5</v>
      </c>
      <c r="D113" s="4">
        <v>22.14</v>
      </c>
      <c r="E113" s="4">
        <v>0.38641589599999998</v>
      </c>
      <c r="I113" s="5">
        <f t="shared" ref="I113:I122" si="27">C113/240 * 100</f>
        <v>2.083333333333333</v>
      </c>
      <c r="J113" s="5">
        <f t="shared" ref="J113:J122" si="28">E113</f>
        <v>0.38641589599999998</v>
      </c>
      <c r="K113" s="5">
        <f>(J113-J112)/(I113-I112)</f>
        <v>0.18547963008000001</v>
      </c>
      <c r="L113" s="5">
        <f>(K113-K112)/(I113-I112)</f>
        <v>8.9030222438400017E-2</v>
      </c>
    </row>
    <row r="114" spans="3:12" x14ac:dyDescent="0.25">
      <c r="C114" s="4">
        <v>10</v>
      </c>
      <c r="D114" s="4">
        <v>75.180000000000007</v>
      </c>
      <c r="E114" s="4">
        <v>1.3121385320000001</v>
      </c>
      <c r="I114" s="5">
        <f t="shared" si="27"/>
        <v>4.1666666666666661</v>
      </c>
      <c r="J114" s="5">
        <f t="shared" si="28"/>
        <v>1.3121385320000001</v>
      </c>
      <c r="K114" s="5">
        <f t="shared" ref="K114:K122" si="29">(J114-J113)/(I114-I113)</f>
        <v>0.44434686528000011</v>
      </c>
      <c r="L114" s="5">
        <f t="shared" ref="L114:L122" si="30">(K114-K113)/(I114-I113)</f>
        <v>0.12425627289600007</v>
      </c>
    </row>
    <row r="115" spans="3:12" x14ac:dyDescent="0.25">
      <c r="C115" s="4">
        <v>15</v>
      </c>
      <c r="D115" s="4">
        <v>160.53</v>
      </c>
      <c r="E115" s="4">
        <v>2.8017770479999999</v>
      </c>
      <c r="I115" s="5">
        <f t="shared" si="27"/>
        <v>6.25</v>
      </c>
      <c r="J115" s="5">
        <f t="shared" si="28"/>
        <v>2.8017770479999999</v>
      </c>
      <c r="K115" s="5">
        <f t="shared" si="29"/>
        <v>0.71502648767999977</v>
      </c>
      <c r="L115" s="5">
        <f t="shared" si="30"/>
        <v>0.12992621875199981</v>
      </c>
    </row>
    <row r="116" spans="3:12" x14ac:dyDescent="0.25">
      <c r="C116" s="4">
        <v>20</v>
      </c>
      <c r="D116" s="4">
        <v>294.52</v>
      </c>
      <c r="E116" s="4">
        <v>5.140343713</v>
      </c>
      <c r="I116" s="5">
        <f t="shared" si="27"/>
        <v>8.3333333333333321</v>
      </c>
      <c r="J116" s="5">
        <f t="shared" si="28"/>
        <v>5.140343713</v>
      </c>
      <c r="K116" s="5">
        <f t="shared" si="29"/>
        <v>1.1225119992000008</v>
      </c>
      <c r="L116" s="5">
        <f t="shared" si="30"/>
        <v>0.19559304552960061</v>
      </c>
    </row>
    <row r="117" spans="3:12" x14ac:dyDescent="0.25">
      <c r="C117" s="4">
        <v>25</v>
      </c>
      <c r="D117" s="4">
        <v>431.77</v>
      </c>
      <c r="E117" s="4">
        <v>7.5358081109999997</v>
      </c>
      <c r="I117" s="5">
        <f t="shared" si="27"/>
        <v>10.416666666666668</v>
      </c>
      <c r="J117" s="5">
        <f t="shared" si="28"/>
        <v>7.5358081109999997</v>
      </c>
      <c r="K117" s="5">
        <f t="shared" si="29"/>
        <v>1.1498229110399985</v>
      </c>
      <c r="L117" s="5">
        <f t="shared" si="30"/>
        <v>1.310923768319887E-2</v>
      </c>
    </row>
    <row r="118" spans="3:12" x14ac:dyDescent="0.25">
      <c r="C118" s="4">
        <v>30</v>
      </c>
      <c r="D118" s="4">
        <v>591.66</v>
      </c>
      <c r="E118" s="4">
        <v>10.32641505</v>
      </c>
      <c r="I118" s="5">
        <f t="shared" si="27"/>
        <v>12.5</v>
      </c>
      <c r="J118" s="5">
        <f t="shared" si="28"/>
        <v>10.32641505</v>
      </c>
      <c r="K118" s="5">
        <f t="shared" si="29"/>
        <v>1.3394913307200007</v>
      </c>
      <c r="L118" s="5">
        <f t="shared" si="30"/>
        <v>9.1040841446401136E-2</v>
      </c>
    </row>
    <row r="119" spans="3:12" x14ac:dyDescent="0.25">
      <c r="C119" s="4">
        <v>35</v>
      </c>
      <c r="D119" s="4">
        <v>758.2</v>
      </c>
      <c r="E119" s="4">
        <v>13.23308639</v>
      </c>
      <c r="I119" s="5">
        <f t="shared" si="27"/>
        <v>14.583333333333334</v>
      </c>
      <c r="J119" s="5">
        <f t="shared" si="28"/>
        <v>13.23308639</v>
      </c>
      <c r="K119" s="5">
        <f t="shared" si="29"/>
        <v>1.3952022432</v>
      </c>
      <c r="L119" s="5">
        <f t="shared" si="30"/>
        <v>2.6741237990399638E-2</v>
      </c>
    </row>
    <row r="120" spans="3:12" x14ac:dyDescent="0.25">
      <c r="C120" s="4">
        <v>40</v>
      </c>
      <c r="D120" s="4">
        <v>914.69</v>
      </c>
      <c r="E120" s="4">
        <v>15.964352140000001</v>
      </c>
      <c r="I120" s="5">
        <f t="shared" si="27"/>
        <v>16.666666666666664</v>
      </c>
      <c r="J120" s="5">
        <f t="shared" si="28"/>
        <v>15.964352140000001</v>
      </c>
      <c r="K120" s="5">
        <f t="shared" si="29"/>
        <v>1.311007560000002</v>
      </c>
      <c r="L120" s="5">
        <f t="shared" si="30"/>
        <v>-4.0413447935999103E-2</v>
      </c>
    </row>
    <row r="121" spans="3:12" x14ac:dyDescent="0.25">
      <c r="C121" s="4">
        <v>45</v>
      </c>
      <c r="D121" s="4">
        <v>1106.93</v>
      </c>
      <c r="E121" s="4">
        <v>19.319573089999999</v>
      </c>
      <c r="I121" s="5">
        <f t="shared" si="27"/>
        <v>18.75</v>
      </c>
      <c r="J121" s="5">
        <f t="shared" si="28"/>
        <v>19.319573089999999</v>
      </c>
      <c r="K121" s="5">
        <f t="shared" si="29"/>
        <v>1.6105060559999971</v>
      </c>
      <c r="L121" s="5">
        <f t="shared" si="30"/>
        <v>0.1437592780799975</v>
      </c>
    </row>
    <row r="122" spans="3:12" x14ac:dyDescent="0.25">
      <c r="C122" s="4">
        <v>50</v>
      </c>
      <c r="D122" s="4">
        <v>1268.24</v>
      </c>
      <c r="E122" s="4">
        <v>22.134963710000001</v>
      </c>
      <c r="I122" s="5">
        <f t="shared" si="27"/>
        <v>20.833333333333336</v>
      </c>
      <c r="J122" s="5">
        <f t="shared" si="28"/>
        <v>22.134963710000001</v>
      </c>
      <c r="K122" s="5">
        <f t="shared" si="29"/>
        <v>1.3513874975999995</v>
      </c>
      <c r="L122" s="5">
        <f t="shared" si="30"/>
        <v>-0.12437690803199868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 Marti S Kantonsschule Glarus</dc:creator>
  <cp:lastModifiedBy>Cyrill Marti S Kantonsschule Glarus</cp:lastModifiedBy>
  <dcterms:created xsi:type="dcterms:W3CDTF">2015-06-05T18:19:34Z</dcterms:created>
  <dcterms:modified xsi:type="dcterms:W3CDTF">2024-02-29T15:01:28Z</dcterms:modified>
</cp:coreProperties>
</file>