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ac/GitHub/groundstation/"/>
    </mc:Choice>
  </mc:AlternateContent>
  <bookViews>
    <workbookView xWindow="840" yWindow="460" windowWidth="24760" windowHeight="15260" activeTab="1"/>
  </bookViews>
  <sheets>
    <sheet name="Sprite Downlink Budget" sheetId="1" r:id="rId1"/>
    <sheet name="KickSat Bus Link Budget" sheetId="3" r:id="rId2"/>
  </sheets>
  <definedNames>
    <definedName name="_xlnm.Print_Area" localSheetId="1">'KickSat Bus Link Budget'!$A$1:$I$52</definedName>
    <definedName name="_xlnm.Print_Area" localSheetId="0">'Sprite Downlink Budget'!$A$1:$I$55</definedName>
  </definedNames>
  <calcPr calcId="150001" concurrentCalc="0"/>
  <customWorkbookViews>
    <customWorkbookView name="P - Personal View" guid="{56B56577-359B-4FEF-8511-5634C3B3AD8C}" mergeInterval="0" personalView="1" maximized="1" windowWidth="1017" windowHeight="629" activeSheetId="1"/>
    <customWorkbookView name="Justin Atchison - Personal View" guid="{DF438D20-ED32-4502-BBF3-1338727B4A2A}" mergeInterval="0" personalView="1" maximized="1" xWindow="1" yWindow="1" windowWidth="1011" windowHeight="646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3" l="1"/>
  <c r="C41" i="3"/>
  <c r="C40" i="3"/>
  <c r="C42" i="3"/>
  <c r="C26" i="1"/>
  <c r="C13" i="1"/>
  <c r="C17" i="1"/>
  <c r="C23" i="1"/>
  <c r="C29" i="1"/>
  <c r="C24" i="1"/>
  <c r="C33" i="1"/>
  <c r="C42" i="1"/>
  <c r="C28" i="1"/>
  <c r="C31" i="1"/>
  <c r="C40" i="1"/>
  <c r="C44" i="1"/>
  <c r="C45" i="1"/>
  <c r="C46" i="1"/>
  <c r="C26" i="3"/>
  <c r="C13" i="3"/>
  <c r="C17" i="3"/>
  <c r="C23" i="3"/>
  <c r="C29" i="3"/>
  <c r="C24" i="3"/>
  <c r="C33" i="3"/>
  <c r="C39" i="3"/>
  <c r="C28" i="3"/>
  <c r="C31" i="3"/>
  <c r="E41" i="3"/>
  <c r="E43" i="3"/>
  <c r="C43" i="3"/>
  <c r="E40" i="3"/>
  <c r="E34" i="3"/>
  <c r="E23" i="3"/>
  <c r="E35" i="3"/>
  <c r="C35" i="3"/>
  <c r="E7" i="3"/>
  <c r="E30" i="3"/>
  <c r="E27" i="3"/>
  <c r="E31" i="3"/>
  <c r="C19" i="3"/>
  <c r="C20" i="3"/>
  <c r="C21" i="3"/>
  <c r="C18" i="3"/>
  <c r="C38" i="1"/>
  <c r="E7" i="1"/>
  <c r="E34" i="1"/>
  <c r="E23" i="1"/>
  <c r="E42" i="1"/>
  <c r="E30" i="1"/>
  <c r="C18" i="1"/>
  <c r="C19" i="1"/>
  <c r="C20" i="1"/>
  <c r="C21" i="1"/>
  <c r="E40" i="1"/>
  <c r="E35" i="1"/>
  <c r="C35" i="1"/>
  <c r="E27" i="1"/>
  <c r="E31" i="1"/>
  <c r="E44" i="1"/>
  <c r="E46" i="1"/>
  <c r="C43" i="1"/>
  <c r="E43" i="1"/>
</calcChain>
</file>

<file path=xl/sharedStrings.xml><?xml version="1.0" encoding="utf-8"?>
<sst xmlns="http://schemas.openxmlformats.org/spreadsheetml/2006/main" count="189" uniqueCount="80">
  <si>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</si>
  <si>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</si>
  <si>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</si>
  <si>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</si>
  <si>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</si>
  <si>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</si>
  <si>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</si>
  <si>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</si>
  <si>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</si>
  <si>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</si>
  <si>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</si>
  <si>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</si>
  <si>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</si>
  <si>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</si>
  <si>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</si>
  <si>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</si>
  <si>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</si>
  <si>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</si>
  <si>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</si>
  <si>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</si>
  <si>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</si>
  <si>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</si>
  <si>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</si>
  <si>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</si>
  <si>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</si>
  <si>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</si>
  <si>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</si>
  <si>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</si>
  <si>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</si>
  <si>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</si>
  <si>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Signal Processing Gain, Gsp</t>
  </si>
  <si>
    <t>Effective Data Rate, R</t>
  </si>
  <si>
    <t>Chip Rate, Rc</t>
  </si>
  <si>
    <t>Margin, M</t>
  </si>
  <si>
    <t>Transmitter Power, P</t>
  </si>
  <si>
    <t>Carrier to Noise, C/N</t>
  </si>
  <si>
    <t>Standard</t>
  </si>
  <si>
    <t>Polarization Losses, Lp</t>
  </si>
  <si>
    <t>dBK</t>
  </si>
  <si>
    <t>Transmitter</t>
  </si>
  <si>
    <t>Link Quality</t>
  </si>
  <si>
    <t>Link Budget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</si>
  <si>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</si>
  <si>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</si>
  <si>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</si>
  <si>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</si>
  <si>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</si>
  <si>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</si>
  <si>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</si>
  <si>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</si>
  <si>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</si>
  <si>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</si>
  <si>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</si>
  <si>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</si>
  <si>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</si>
  <si>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</si>
  <si>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Received Power, Carrier Power, C</t>
  </si>
  <si>
    <t>Cornell University SSDS</t>
  </si>
  <si>
    <t>Manchester, ZRM3@Cornell.Edu, Atchison, JAA73@Cornell.Edu</t>
  </si>
  <si>
    <t>Chips/Bit</t>
  </si>
  <si>
    <t>bps</t>
  </si>
  <si>
    <t>Sprite Spacecraft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</si>
  <si>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</si>
  <si>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</si>
  <si>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</si>
  <si>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</si>
  <si>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Reciever bandwidth goes here</t>
  </si>
  <si>
    <t>&lt;- Transmitter antenna gain goes here</t>
  </si>
  <si>
    <t>&lt;- Transmitter power goes here</t>
  </si>
  <si>
    <t>&lt;- Chipping rate goes here</t>
  </si>
  <si>
    <t>&lt;- Code Length goes here</t>
  </si>
  <si>
    <t>*Boxes with black outlines are inputs</t>
  </si>
  <si>
    <t>Receiver Noise Factor/Figure</t>
  </si>
  <si>
    <t>&lt;- Receiver system noise temperature goes here</t>
  </si>
  <si>
    <t>&lt;- Receiver noise figure goes here</t>
  </si>
  <si>
    <t>Eb/N0</t>
  </si>
  <si>
    <t>KickSat Bus</t>
  </si>
  <si>
    <t>Minimum Elevation Angle, φ</t>
  </si>
  <si>
    <t>Minimum Eb/N0</t>
  </si>
  <si>
    <t>Baud Rate,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</si>
</sst>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21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  <font>
      <sz val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14" fontId="9" fillId="0" borderId="0" xfId="0" applyNumberFormat="1" applyFont="1" applyBorder="1" applyAlignment="1"/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11" fontId="4" fillId="0" borderId="0" xfId="0" applyNumberFormat="1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2" fontId="4" fillId="0" borderId="0" xfId="0" applyNumberFormat="1" applyFont="1" applyBorder="1"/>
    <xf numFmtId="167" fontId="10" fillId="0" borderId="0" xfId="0" applyNumberFormat="1" applyFont="1" applyBorder="1"/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left"/>
    </xf>
    <xf numFmtId="165" fontId="4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166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67" fontId="5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5" fontId="4" fillId="0" borderId="0" xfId="0" applyNumberFormat="1" applyFont="1" applyAlignment="1">
      <alignment horizontal="left"/>
    </xf>
    <xf numFmtId="0" fontId="15" fillId="0" borderId="6" xfId="0" applyFont="1" applyBorder="1" applyAlignment="1"/>
    <xf numFmtId="0" fontId="15" fillId="0" borderId="8" xfId="0" applyFont="1" applyBorder="1" applyAlignment="1"/>
    <xf numFmtId="0" fontId="15" fillId="0" borderId="9" xfId="0" applyFont="1" applyBorder="1" applyAlignment="1"/>
    <xf numFmtId="14" fontId="15" fillId="0" borderId="8" xfId="0" applyNumberFormat="1" applyFont="1" applyBorder="1" applyAlignment="1"/>
    <xf numFmtId="14" fontId="15" fillId="0" borderId="9" xfId="0" applyNumberFormat="1" applyFont="1" applyBorder="1" applyAlignment="1"/>
    <xf numFmtId="0" fontId="16" fillId="0" borderId="10" xfId="0" applyFont="1" applyBorder="1" applyAlignment="1">
      <alignment horizontal="left"/>
    </xf>
    <xf numFmtId="164" fontId="16" fillId="0" borderId="2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2" fontId="16" fillId="0" borderId="2" xfId="0" applyNumberFormat="1" applyFont="1" applyFill="1" applyBorder="1" applyAlignment="1">
      <alignment horizontal="center"/>
    </xf>
    <xf numFmtId="11" fontId="16" fillId="0" borderId="2" xfId="0" applyNumberFormat="1" applyFont="1" applyFill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1" fontId="16" fillId="0" borderId="7" xfId="0" applyNumberFormat="1" applyFont="1" applyFill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166" fontId="16" fillId="0" borderId="2" xfId="0" applyNumberFormat="1" applyFont="1" applyFill="1" applyBorder="1" applyAlignment="1">
      <alignment horizontal="center"/>
    </xf>
    <xf numFmtId="0" fontId="16" fillId="0" borderId="7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6" fillId="0" borderId="2" xfId="0" applyNumberFormat="1" applyFont="1" applyFill="1" applyBorder="1" applyAlignment="1">
      <alignment horizontal="center"/>
    </xf>
    <xf numFmtId="168" fontId="16" fillId="0" borderId="2" xfId="0" applyNumberFormat="1" applyFont="1" applyFill="1" applyBorder="1" applyAlignment="1">
      <alignment horizontal="center"/>
    </xf>
    <xf numFmtId="165" fontId="16" fillId="0" borderId="2" xfId="0" applyNumberFormat="1" applyFont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165" fontId="16" fillId="0" borderId="7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65" fontId="16" fillId="0" borderId="1" xfId="0" applyNumberFormat="1" applyFont="1" applyFill="1" applyBorder="1" applyAlignment="1">
      <alignment horizontal="center"/>
    </xf>
    <xf numFmtId="11" fontId="16" fillId="0" borderId="0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166" fontId="16" fillId="0" borderId="7" xfId="0" applyNumberFormat="1" applyFont="1" applyFill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11" fontId="18" fillId="0" borderId="0" xfId="0" applyNumberFormat="1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18" fillId="0" borderId="3" xfId="0" applyNumberFormat="1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2" fontId="18" fillId="0" borderId="12" xfId="0" applyNumberFormat="1" applyFont="1" applyFill="1" applyBorder="1" applyAlignment="1">
      <alignment horizontal="center"/>
    </xf>
    <xf numFmtId="14" fontId="17" fillId="0" borderId="5" xfId="0" applyNumberFormat="1" applyFont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" fillId="0" borderId="0" xfId="0" applyFont="1"/>
    <xf numFmtId="14" fontId="6" fillId="0" borderId="0" xfId="0" applyNumberFormat="1" applyFont="1" applyBorder="1" applyAlignment="1">
      <alignment horizontal="left"/>
    </xf>
    <xf numFmtId="0" fontId="16" fillId="0" borderId="1" xfId="0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5" fontId="16" fillId="0" borderId="14" xfId="0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0" xfId="0" applyFont="1"/>
    <xf numFmtId="166" fontId="19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" fillId="0" borderId="0" xfId="0" applyFont="1"/>
    <xf numFmtId="2" fontId="15" fillId="0" borderId="0" xfId="0" applyNumberFormat="1" applyFont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3"/>
  <sheetViews>
    <sheetView topLeftCell="A12" workbookViewId="0">
      <selection activeCell="C38" sqref="C38"/>
    </sheetView>
  </sheetViews>
  <sheetFormatPr baseColWidth="10" defaultColWidth="8.83203125" defaultRowHeight="14" x14ac:dyDescent="0.2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6" x14ac:dyDescent="0.2">
      <c r="B1" s="42" t="s">
        <v>57</v>
      </c>
      <c r="C1" s="8"/>
      <c r="D1" s="5"/>
      <c r="G1" s="1" t="s">
        <v>71</v>
      </c>
    </row>
    <row r="2" spans="2:16" ht="16" x14ac:dyDescent="0.2">
      <c r="B2" s="88" t="s">
        <v>61</v>
      </c>
      <c r="C2" s="8"/>
      <c r="D2" s="5"/>
    </row>
    <row r="3" spans="2:16" ht="16" x14ac:dyDescent="0.2">
      <c r="B3" s="42" t="s">
        <v>41</v>
      </c>
      <c r="C3" s="43"/>
      <c r="D3" s="44"/>
      <c r="H3" s="16"/>
      <c r="I3" s="4"/>
      <c r="J3" s="17"/>
      <c r="K3" s="17"/>
    </row>
    <row r="4" spans="2:16" x14ac:dyDescent="0.2">
      <c r="B4" s="6" t="s">
        <v>58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 x14ac:dyDescent="0.25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 x14ac:dyDescent="0.25">
      <c r="B6" s="46" t="s">
        <v>14</v>
      </c>
      <c r="C6" s="47" t="s">
        <v>36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 x14ac:dyDescent="0.2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 x14ac:dyDescent="0.2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 x14ac:dyDescent="0.2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 x14ac:dyDescent="0.25">
      <c r="B10" s="51" t="s">
        <v>45</v>
      </c>
      <c r="C10" s="55">
        <v>398658.36599999998</v>
      </c>
      <c r="D10" s="53" t="s">
        <v>46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 x14ac:dyDescent="0.25">
      <c r="B11" s="46" t="s">
        <v>43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 x14ac:dyDescent="0.2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 x14ac:dyDescent="0.25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 x14ac:dyDescent="0.25">
      <c r="B14" s="46" t="s">
        <v>44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 x14ac:dyDescent="0.2">
      <c r="B15" s="51" t="s">
        <v>18</v>
      </c>
      <c r="C15" s="60">
        <v>325</v>
      </c>
      <c r="D15" s="53" t="s">
        <v>12</v>
      </c>
      <c r="E15" s="58"/>
      <c r="F15" s="53"/>
      <c r="G15" s="89" t="s">
        <v>64</v>
      </c>
      <c r="H15" s="101"/>
      <c r="I15" s="17"/>
      <c r="J15" s="16"/>
      <c r="K15" s="16"/>
      <c r="L15" s="16"/>
      <c r="M15" s="21"/>
    </row>
    <row r="16" spans="2:16" x14ac:dyDescent="0.2">
      <c r="B16" s="51" t="s">
        <v>77</v>
      </c>
      <c r="C16" s="61">
        <v>30</v>
      </c>
      <c r="D16" s="53" t="s">
        <v>17</v>
      </c>
      <c r="E16" s="62"/>
      <c r="F16" s="53"/>
      <c r="G16" s="4" t="s">
        <v>63</v>
      </c>
      <c r="H16" s="101"/>
      <c r="I16" s="17"/>
      <c r="J16" s="16"/>
      <c r="K16" s="16"/>
      <c r="L16" s="16"/>
      <c r="M16" s="21"/>
    </row>
    <row r="17" spans="2:13" x14ac:dyDescent="0.2">
      <c r="B17" s="51" t="s">
        <v>23</v>
      </c>
      <c r="C17" s="63">
        <f>C9*(((((C9+C15)^2/C9^2)-(COS(C16/57.2958))^2)^0.5)-SIN(C16/57.2958))</f>
        <v>608.5061642730509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 x14ac:dyDescent="0.2">
      <c r="B18" s="51" t="s">
        <v>53</v>
      </c>
      <c r="C18" s="63">
        <f>2*PI()*SQRT((C9+C15)^3/C10)/60</f>
        <v>91.021840287839041</v>
      </c>
      <c r="D18" s="53" t="s">
        <v>54</v>
      </c>
      <c r="E18" s="62"/>
      <c r="F18" s="53"/>
      <c r="G18" s="4"/>
      <c r="H18" s="16"/>
      <c r="J18" s="16"/>
      <c r="K18" s="16"/>
      <c r="L18" s="16"/>
      <c r="M18" s="21"/>
    </row>
    <row r="19" spans="2:13" x14ac:dyDescent="0.2">
      <c r="B19" s="51" t="s">
        <v>52</v>
      </c>
      <c r="C19" s="63">
        <f>SQRT(C10/(C9+C15))</f>
        <v>7.711898343441649</v>
      </c>
      <c r="D19" s="53" t="s">
        <v>47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 x14ac:dyDescent="0.2">
      <c r="B20" s="51" t="s">
        <v>51</v>
      </c>
      <c r="C20" s="63">
        <f>C19*COS(C16*PI()/180)</f>
        <v>6.6786998768235977</v>
      </c>
      <c r="D20" s="53" t="s">
        <v>47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 x14ac:dyDescent="0.25">
      <c r="B21" s="51" t="s">
        <v>50</v>
      </c>
      <c r="C21" s="63">
        <f>C20/(C8/1000)*(C12*1000000)/1000</f>
        <v>9.7286394872397075</v>
      </c>
      <c r="D21" s="53" t="s">
        <v>48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 x14ac:dyDescent="0.25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 x14ac:dyDescent="0.2">
      <c r="B23" s="51" t="s">
        <v>10</v>
      </c>
      <c r="C23" s="64">
        <f>C13^2/(16*PI()^2*(C17*1000)^2)</f>
        <v>8.059905378618776E-15</v>
      </c>
      <c r="D23" s="53"/>
      <c r="E23" s="65">
        <f>-(22+20*LOG10(C17*1000/C13))</f>
        <v>-140.952503286352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 x14ac:dyDescent="0.25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65</v>
      </c>
      <c r="H24" s="16"/>
      <c r="I24" s="16"/>
      <c r="J24" s="17"/>
      <c r="K24" s="16"/>
      <c r="L24" s="16"/>
      <c r="M24" s="21"/>
    </row>
    <row r="25" spans="2:13" ht="15" thickBot="1" x14ac:dyDescent="0.25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 x14ac:dyDescent="0.2">
      <c r="B26" s="51" t="s">
        <v>9</v>
      </c>
      <c r="C26" s="68">
        <f>10^(E26/10)</f>
        <v>10</v>
      </c>
      <c r="D26" s="95"/>
      <c r="E26" s="99">
        <v>10</v>
      </c>
      <c r="F26" s="96" t="s">
        <v>2</v>
      </c>
      <c r="G26" s="4" t="s">
        <v>62</v>
      </c>
      <c r="H26" s="16"/>
      <c r="I26" s="11"/>
      <c r="J26" s="17"/>
      <c r="K26" s="16"/>
      <c r="L26" s="16"/>
      <c r="M26" s="21"/>
    </row>
    <row r="27" spans="2:13" x14ac:dyDescent="0.2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38</v>
      </c>
      <c r="G27" s="89" t="s">
        <v>73</v>
      </c>
      <c r="H27" s="16"/>
      <c r="I27" s="16"/>
      <c r="J27" s="16"/>
      <c r="K27" s="16"/>
      <c r="L27" s="17"/>
      <c r="M27" s="21"/>
    </row>
    <row r="28" spans="2:13" x14ac:dyDescent="0.2">
      <c r="B28" s="51" t="s">
        <v>72</v>
      </c>
      <c r="C28" s="108">
        <f>10^(E28/10)</f>
        <v>25.118864315095799</v>
      </c>
      <c r="D28" s="109"/>
      <c r="E28" s="110">
        <v>14</v>
      </c>
      <c r="F28" s="106" t="s">
        <v>2</v>
      </c>
      <c r="G28" s="104" t="s">
        <v>74</v>
      </c>
      <c r="H28" s="103"/>
      <c r="I28" s="103"/>
      <c r="J28" s="103"/>
      <c r="K28" s="103"/>
      <c r="L28" s="102"/>
      <c r="M28" s="107"/>
    </row>
    <row r="29" spans="2:13" x14ac:dyDescent="0.2">
      <c r="B29" s="51" t="s">
        <v>37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 x14ac:dyDescent="0.2">
      <c r="B30" s="51" t="s">
        <v>28</v>
      </c>
      <c r="C30" s="70">
        <v>64</v>
      </c>
      <c r="D30" s="94" t="s">
        <v>48</v>
      </c>
      <c r="E30" s="65">
        <f>10*LOG10(C30*1000)</f>
        <v>48.061799739838875</v>
      </c>
      <c r="F30" s="53" t="s">
        <v>8</v>
      </c>
      <c r="G30" s="89" t="s">
        <v>66</v>
      </c>
      <c r="H30" s="16"/>
      <c r="I30" s="16"/>
      <c r="J30" s="16"/>
      <c r="K30" s="16"/>
      <c r="L30" s="17"/>
      <c r="M30" s="21"/>
    </row>
    <row r="31" spans="2:13" ht="15" thickBot="1" x14ac:dyDescent="0.25">
      <c r="B31" s="51" t="s">
        <v>29</v>
      </c>
      <c r="C31" s="71">
        <f>$C$7*C27*(C30*1000)*C28</f>
        <v>6.4366762177061954E-15</v>
      </c>
      <c r="D31" s="94" t="s">
        <v>7</v>
      </c>
      <c r="E31" s="97">
        <f>$E$7+E30+E27</f>
        <v>-155.91338336513439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 x14ac:dyDescent="0.25">
      <c r="B32" s="46" t="s">
        <v>39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 x14ac:dyDescent="0.2">
      <c r="B33" s="51" t="s">
        <v>26</v>
      </c>
      <c r="C33" s="68">
        <f>10^(E33/10)</f>
        <v>1</v>
      </c>
      <c r="D33" s="69"/>
      <c r="E33" s="72">
        <v>0</v>
      </c>
      <c r="F33" s="53" t="s">
        <v>2</v>
      </c>
      <c r="G33" s="89" t="s">
        <v>67</v>
      </c>
      <c r="H33" s="16"/>
      <c r="I33" s="16"/>
      <c r="J33" s="16"/>
      <c r="K33" s="16"/>
      <c r="L33" s="17"/>
      <c r="M33" s="21"/>
    </row>
    <row r="34" spans="2:13" x14ac:dyDescent="0.2">
      <c r="B34" s="51" t="s">
        <v>34</v>
      </c>
      <c r="C34" s="73">
        <v>0.01</v>
      </c>
      <c r="D34" s="53" t="s">
        <v>7</v>
      </c>
      <c r="E34" s="62">
        <f>10*LOG10(C34)</f>
        <v>-20</v>
      </c>
      <c r="F34" s="53" t="s">
        <v>15</v>
      </c>
      <c r="G34" s="89" t="s">
        <v>68</v>
      </c>
      <c r="H34" s="16"/>
      <c r="I34" s="16"/>
      <c r="J34" s="16"/>
      <c r="K34" s="16"/>
      <c r="L34" s="17"/>
      <c r="M34" s="21"/>
    </row>
    <row r="35" spans="2:13" ht="15" thickBot="1" x14ac:dyDescent="0.25">
      <c r="B35" s="51" t="s">
        <v>42</v>
      </c>
      <c r="C35" s="59">
        <f>C33*C34</f>
        <v>0.01</v>
      </c>
      <c r="D35" s="53" t="s">
        <v>7</v>
      </c>
      <c r="E35" s="58">
        <f>E33+E34</f>
        <v>-20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 x14ac:dyDescent="0.25">
      <c r="B36" s="46" t="s">
        <v>55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 x14ac:dyDescent="0.2">
      <c r="B37" s="51" t="s">
        <v>32</v>
      </c>
      <c r="C37" s="74">
        <v>64</v>
      </c>
      <c r="D37" s="53" t="s">
        <v>49</v>
      </c>
      <c r="E37" s="54"/>
      <c r="F37" s="53"/>
      <c r="G37" s="89" t="s">
        <v>69</v>
      </c>
      <c r="H37" s="16"/>
      <c r="I37" s="16"/>
      <c r="J37" s="16"/>
      <c r="K37" s="16"/>
      <c r="L37" s="17"/>
      <c r="M37" s="21"/>
    </row>
    <row r="38" spans="2:13" x14ac:dyDescent="0.2">
      <c r="B38" s="51" t="s">
        <v>31</v>
      </c>
      <c r="C38" s="54">
        <f>C37*1000/C39</f>
        <v>125</v>
      </c>
      <c r="D38" s="75" t="s">
        <v>60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 x14ac:dyDescent="0.2">
      <c r="B39" s="51" t="s">
        <v>59</v>
      </c>
      <c r="C39" s="90">
        <v>512</v>
      </c>
      <c r="D39" s="75"/>
      <c r="E39" s="54"/>
      <c r="F39" s="53"/>
      <c r="G39" s="1" t="s">
        <v>70</v>
      </c>
      <c r="H39" s="16"/>
      <c r="I39" s="11"/>
      <c r="J39" s="17"/>
      <c r="K39" s="16"/>
      <c r="L39" s="16"/>
      <c r="M39" s="21"/>
    </row>
    <row r="40" spans="2:13" ht="15" thickBot="1" x14ac:dyDescent="0.25">
      <c r="B40" s="51" t="s">
        <v>30</v>
      </c>
      <c r="C40" s="54">
        <f>C39</f>
        <v>512</v>
      </c>
      <c r="D40" s="53"/>
      <c r="E40" s="54">
        <f>10*LOG10(C40)</f>
        <v>27.092699609758309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 x14ac:dyDescent="0.25">
      <c r="B41" s="46" t="s">
        <v>40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 x14ac:dyDescent="0.2">
      <c r="B42" s="76" t="s">
        <v>56</v>
      </c>
      <c r="C42" s="77">
        <f>$C$34*$C$23*C29*$C$24*C26*C33</f>
        <v>2.5487658721877117E-16</v>
      </c>
      <c r="D42" s="78" t="s">
        <v>7</v>
      </c>
      <c r="E42" s="79">
        <f>$E$34+$E$23+$E$24+E29+E26+E33</f>
        <v>-155.952503286352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 x14ac:dyDescent="0.2">
      <c r="B43" s="76" t="s">
        <v>35</v>
      </c>
      <c r="C43" s="80">
        <f>C42/C31</f>
        <v>3.9597546714816766E-2</v>
      </c>
      <c r="D43" s="78"/>
      <c r="E43" s="79">
        <f>10*LOG10(C43)</f>
        <v>-14.023317201659552</v>
      </c>
      <c r="F43" s="78" t="s">
        <v>2</v>
      </c>
      <c r="G43" s="4"/>
      <c r="H43" s="16"/>
      <c r="I43" s="11"/>
      <c r="J43" s="17"/>
      <c r="K43" s="16"/>
      <c r="L43" s="16"/>
      <c r="M43" s="21"/>
    </row>
    <row r="44" spans="2:13" x14ac:dyDescent="0.2">
      <c r="B44" s="76" t="s">
        <v>75</v>
      </c>
      <c r="C44" s="81">
        <f>C42*C40/C31</f>
        <v>20.273943917986184</v>
      </c>
      <c r="D44" s="78"/>
      <c r="E44" s="79">
        <f>10*LOG10(C44)</f>
        <v>13.069382408098756</v>
      </c>
      <c r="F44" s="82" t="s">
        <v>2</v>
      </c>
      <c r="G44" s="32"/>
      <c r="H44" s="16"/>
      <c r="I44" s="11"/>
      <c r="J44" s="17"/>
      <c r="K44" s="16"/>
      <c r="L44" s="16"/>
      <c r="M44" s="21"/>
    </row>
    <row r="45" spans="2:13" x14ac:dyDescent="0.2">
      <c r="B45" s="76" t="s">
        <v>78</v>
      </c>
      <c r="C45" s="81">
        <f>10*LOG10(E45)</f>
        <v>10</v>
      </c>
      <c r="D45" s="78"/>
      <c r="E45" s="79">
        <v>10</v>
      </c>
      <c r="F45" s="82" t="s">
        <v>2</v>
      </c>
      <c r="G45" s="32"/>
      <c r="H45" s="16"/>
      <c r="I45" s="11"/>
      <c r="J45" s="17"/>
      <c r="K45" s="16"/>
      <c r="L45" s="16"/>
      <c r="M45" s="21"/>
    </row>
    <row r="46" spans="2:13" ht="15" thickBot="1" x14ac:dyDescent="0.25">
      <c r="B46" s="83" t="s">
        <v>33</v>
      </c>
      <c r="C46" s="84">
        <f>C44-C45</f>
        <v>10.273943917986184</v>
      </c>
      <c r="D46" s="85"/>
      <c r="E46" s="86">
        <f>E44-10</f>
        <v>3.0693824080987557</v>
      </c>
      <c r="F46" s="87" t="s">
        <v>2</v>
      </c>
      <c r="H46" s="16"/>
      <c r="I46" s="11"/>
      <c r="J46" s="17"/>
      <c r="K46" s="16"/>
      <c r="L46" s="16"/>
      <c r="M46" s="21"/>
    </row>
    <row r="47" spans="2:13" x14ac:dyDescent="0.2">
      <c r="B47"/>
      <c r="C47"/>
      <c r="D47"/>
      <c r="E47"/>
      <c r="F47"/>
      <c r="G47" s="30"/>
      <c r="H47" s="16"/>
      <c r="I47" s="11"/>
      <c r="J47" s="17"/>
      <c r="K47" s="16"/>
      <c r="L47" s="16"/>
      <c r="M47" s="21"/>
    </row>
    <row r="48" spans="2:13" x14ac:dyDescent="0.2">
      <c r="B48"/>
      <c r="C48"/>
      <c r="D48"/>
      <c r="E48"/>
      <c r="F48"/>
      <c r="G48" s="91"/>
      <c r="H48" s="16"/>
      <c r="I48" s="11"/>
      <c r="J48" s="17"/>
      <c r="K48" s="16"/>
      <c r="L48" s="16"/>
      <c r="M48" s="21"/>
    </row>
    <row r="49" spans="2:14" x14ac:dyDescent="0.2">
      <c r="B49"/>
      <c r="C49"/>
      <c r="D49"/>
      <c r="E49"/>
      <c r="F49"/>
      <c r="H49" s="16"/>
      <c r="I49" s="11"/>
      <c r="J49" s="17"/>
      <c r="K49" s="16"/>
      <c r="L49" s="16"/>
      <c r="M49" s="21"/>
    </row>
    <row r="50" spans="2:14" x14ac:dyDescent="0.2">
      <c r="G50" s="32"/>
      <c r="H50" s="16"/>
      <c r="I50" s="11"/>
      <c r="J50" s="17"/>
      <c r="K50" s="16"/>
      <c r="L50" s="16"/>
      <c r="M50" s="21"/>
    </row>
    <row r="51" spans="2:14" x14ac:dyDescent="0.2">
      <c r="G51" s="4"/>
      <c r="H51" s="16"/>
      <c r="I51" s="11"/>
      <c r="J51" s="17"/>
      <c r="K51" s="16"/>
      <c r="L51" s="16"/>
      <c r="M51" s="21"/>
    </row>
    <row r="52" spans="2:14" x14ac:dyDescent="0.2">
      <c r="G52" s="4"/>
      <c r="H52" s="16"/>
      <c r="I52" s="11"/>
      <c r="J52" s="17"/>
      <c r="K52" s="16"/>
      <c r="L52" s="16"/>
      <c r="M52" s="21"/>
    </row>
    <row r="53" spans="2:14" x14ac:dyDescent="0.2">
      <c r="G53" s="4"/>
      <c r="H53" s="16"/>
      <c r="I53" s="11"/>
      <c r="J53" s="17"/>
      <c r="K53" s="16"/>
      <c r="L53" s="16"/>
      <c r="M53" s="21"/>
    </row>
    <row r="54" spans="2:14" x14ac:dyDescent="0.2">
      <c r="B54" s="36"/>
      <c r="C54" s="35"/>
      <c r="D54" s="38"/>
      <c r="E54" s="25"/>
      <c r="F54" s="38"/>
      <c r="H54" s="16"/>
      <c r="I54" s="11"/>
      <c r="J54" s="17"/>
      <c r="K54" s="16"/>
      <c r="L54" s="16"/>
      <c r="M54" s="21"/>
    </row>
    <row r="55" spans="2:14" x14ac:dyDescent="0.2">
      <c r="B55" s="4"/>
      <c r="C55" s="33"/>
      <c r="D55" s="16"/>
      <c r="E55" s="13"/>
      <c r="F55" s="16"/>
      <c r="G55" s="4"/>
      <c r="H55" s="16"/>
      <c r="I55" s="11"/>
      <c r="J55" s="17"/>
      <c r="K55" s="16"/>
      <c r="L55" s="16"/>
      <c r="M55" s="21"/>
    </row>
    <row r="56" spans="2:14" x14ac:dyDescent="0.2">
      <c r="B56" s="4"/>
      <c r="C56" s="33"/>
      <c r="D56" s="16"/>
      <c r="E56" s="13"/>
      <c r="F56" s="16"/>
      <c r="G56" s="4"/>
      <c r="H56" s="16"/>
      <c r="I56" s="11"/>
      <c r="J56" s="17"/>
      <c r="K56" s="16"/>
      <c r="L56" s="16"/>
      <c r="M56" s="21"/>
      <c r="N56" s="37"/>
    </row>
    <row r="57" spans="2:14" x14ac:dyDescent="0.2">
      <c r="B57" s="10"/>
      <c r="C57" s="13"/>
      <c r="D57" s="11"/>
      <c r="E57" s="11"/>
      <c r="F57" s="13"/>
      <c r="G57" s="4"/>
      <c r="H57" s="16"/>
      <c r="I57" s="11"/>
      <c r="J57" s="17"/>
      <c r="K57" s="16"/>
      <c r="L57" s="16"/>
      <c r="M57" s="21"/>
      <c r="N57" s="37"/>
    </row>
    <row r="58" spans="2:14" x14ac:dyDescent="0.2">
      <c r="B58" s="4"/>
      <c r="C58" s="16"/>
      <c r="D58" s="14"/>
      <c r="E58" s="17"/>
      <c r="F58" s="16"/>
      <c r="G58" s="4"/>
      <c r="H58" s="13"/>
      <c r="I58" s="11"/>
      <c r="J58" s="11"/>
      <c r="K58" s="13"/>
      <c r="L58" s="16"/>
      <c r="M58" s="21"/>
      <c r="N58" s="37"/>
    </row>
    <row r="59" spans="2:14" x14ac:dyDescent="0.2">
      <c r="B59" s="4"/>
      <c r="C59" s="22"/>
      <c r="D59" s="22"/>
      <c r="E59" s="17"/>
      <c r="F59" s="22"/>
      <c r="G59" s="4"/>
      <c r="H59" s="12"/>
      <c r="I59" s="12"/>
      <c r="J59" s="17"/>
      <c r="K59" s="12"/>
      <c r="L59" s="16"/>
      <c r="M59" s="21"/>
      <c r="N59" s="37"/>
    </row>
    <row r="60" spans="2:14" x14ac:dyDescent="0.2">
      <c r="B60" s="4"/>
      <c r="C60" s="22"/>
      <c r="D60" s="22"/>
      <c r="E60" s="22"/>
      <c r="F60" s="22"/>
      <c r="G60" s="4"/>
      <c r="H60" s="13"/>
      <c r="I60" s="13"/>
      <c r="J60" s="17"/>
      <c r="K60" s="13"/>
      <c r="L60" s="16"/>
      <c r="M60" s="17"/>
      <c r="N60" s="37"/>
    </row>
    <row r="61" spans="2:14" x14ac:dyDescent="0.2">
      <c r="B61" s="10"/>
      <c r="C61" s="16"/>
      <c r="D61" s="14"/>
      <c r="E61" s="17"/>
      <c r="F61" s="16"/>
      <c r="G61" s="4"/>
      <c r="H61" s="13"/>
      <c r="I61" s="13"/>
      <c r="J61" s="13"/>
      <c r="K61" s="13"/>
      <c r="L61" s="16"/>
      <c r="M61" s="21"/>
      <c r="N61" s="37"/>
    </row>
    <row r="62" spans="2:14" x14ac:dyDescent="0.2">
      <c r="B62" s="4"/>
      <c r="C62" s="11"/>
      <c r="D62" s="11"/>
      <c r="E62" s="17"/>
      <c r="F62" s="11"/>
      <c r="G62" s="92"/>
      <c r="H62" s="16"/>
      <c r="I62" s="14"/>
      <c r="J62" s="17"/>
      <c r="K62" s="16"/>
      <c r="L62" s="16"/>
      <c r="M62" s="21"/>
      <c r="N62" s="37"/>
    </row>
    <row r="63" spans="2:14" x14ac:dyDescent="0.2">
      <c r="B63" s="4"/>
      <c r="C63" s="23"/>
      <c r="D63" s="23"/>
      <c r="E63" s="17"/>
      <c r="F63" s="23"/>
      <c r="G63" s="92"/>
      <c r="H63" s="13"/>
      <c r="I63" s="11"/>
      <c r="J63" s="17"/>
      <c r="K63" s="13"/>
      <c r="L63" s="16"/>
      <c r="M63" s="28"/>
      <c r="N63" s="37"/>
    </row>
    <row r="64" spans="2:14" x14ac:dyDescent="0.2">
      <c r="B64" s="4"/>
      <c r="C64" s="23"/>
      <c r="D64" s="23"/>
      <c r="E64" s="17"/>
      <c r="F64" s="23"/>
      <c r="G64" s="4"/>
      <c r="H64" s="25"/>
      <c r="I64" s="25"/>
      <c r="J64" s="17"/>
      <c r="K64" s="25"/>
      <c r="L64" s="16"/>
      <c r="M64" s="17"/>
      <c r="N64" s="37"/>
    </row>
    <row r="65" spans="2:14" x14ac:dyDescent="0.2">
      <c r="B65" s="4"/>
      <c r="C65" s="35"/>
      <c r="D65" s="35"/>
      <c r="E65" s="17"/>
      <c r="F65" s="35"/>
      <c r="G65" s="4"/>
      <c r="H65" s="25"/>
      <c r="I65" s="25"/>
      <c r="J65" s="17"/>
      <c r="K65" s="25"/>
      <c r="L65" s="16"/>
      <c r="M65" s="17"/>
      <c r="N65" s="37"/>
    </row>
    <row r="66" spans="2:14" x14ac:dyDescent="0.2">
      <c r="B66" s="4"/>
      <c r="C66" s="24"/>
      <c r="D66" s="24"/>
      <c r="E66" s="17"/>
      <c r="F66" s="24"/>
      <c r="G66" s="36"/>
      <c r="H66" s="25"/>
      <c r="I66" s="25"/>
      <c r="J66" s="17"/>
      <c r="K66" s="25"/>
      <c r="L66" s="16"/>
      <c r="M66" s="17"/>
      <c r="N66" s="37"/>
    </row>
    <row r="67" spans="2:14" x14ac:dyDescent="0.2">
      <c r="B67" s="4"/>
      <c r="C67" s="24"/>
      <c r="D67" s="24"/>
      <c r="E67" s="17"/>
      <c r="F67" s="24"/>
      <c r="G67" s="93"/>
      <c r="H67" s="24"/>
      <c r="I67" s="24"/>
      <c r="J67" s="17"/>
      <c r="K67" s="24"/>
      <c r="L67" s="16"/>
      <c r="M67" s="17"/>
      <c r="N67" s="37"/>
    </row>
    <row r="68" spans="2:14" x14ac:dyDescent="0.2">
      <c r="B68" s="36"/>
      <c r="C68" s="39"/>
      <c r="D68" s="39"/>
      <c r="E68" s="39"/>
      <c r="F68" s="39"/>
      <c r="G68" s="36"/>
      <c r="H68" s="25"/>
      <c r="I68" s="25"/>
      <c r="J68" s="17"/>
      <c r="K68" s="25"/>
      <c r="L68" s="16"/>
      <c r="M68" s="17"/>
      <c r="N68" s="37"/>
    </row>
    <row r="69" spans="2:14" x14ac:dyDescent="0.2">
      <c r="B69" s="40"/>
      <c r="C69" s="9"/>
      <c r="D69" s="4"/>
      <c r="E69" s="16"/>
      <c r="F69" s="16"/>
      <c r="G69" s="36"/>
      <c r="H69" s="39"/>
      <c r="I69" s="39"/>
      <c r="J69" s="39"/>
      <c r="K69" s="39"/>
      <c r="L69" s="38"/>
      <c r="M69" s="17"/>
      <c r="N69" s="37"/>
    </row>
    <row r="70" spans="2:14" x14ac:dyDescent="0.2">
      <c r="B70" s="34"/>
      <c r="C70" s="16"/>
      <c r="D70" s="14"/>
      <c r="E70" s="17"/>
      <c r="F70" s="16"/>
      <c r="G70" s="4"/>
      <c r="H70" s="16"/>
      <c r="I70" s="17"/>
      <c r="J70" s="17"/>
      <c r="K70" s="17"/>
      <c r="L70" s="16"/>
      <c r="M70" s="17"/>
      <c r="N70" s="37"/>
    </row>
    <row r="71" spans="2:14" x14ac:dyDescent="0.2">
      <c r="B71" s="10"/>
      <c r="C71" s="16"/>
      <c r="D71" s="9"/>
      <c r="E71" s="17"/>
      <c r="F71" s="16"/>
      <c r="G71" s="4"/>
      <c r="H71" s="16"/>
      <c r="I71" s="14"/>
      <c r="J71" s="17"/>
      <c r="K71" s="16"/>
      <c r="L71" s="16"/>
      <c r="M71" s="21"/>
      <c r="N71" s="37"/>
    </row>
    <row r="72" spans="2:14" x14ac:dyDescent="0.2">
      <c r="B72" s="4"/>
      <c r="C72" s="16"/>
      <c r="D72" s="4"/>
      <c r="E72" s="17"/>
      <c r="F72" s="16"/>
      <c r="G72" s="4"/>
      <c r="H72" s="31"/>
      <c r="I72" s="16"/>
      <c r="J72" s="17"/>
      <c r="K72" s="16"/>
      <c r="L72" s="16"/>
      <c r="M72" s="21"/>
      <c r="N72" s="37"/>
    </row>
    <row r="73" spans="2:14" x14ac:dyDescent="0.2">
      <c r="B73" s="4"/>
      <c r="C73" s="9"/>
      <c r="D73" s="4"/>
      <c r="E73" s="17"/>
      <c r="F73" s="17"/>
      <c r="G73" s="4"/>
      <c r="H73" s="16"/>
      <c r="I73" s="17"/>
      <c r="J73" s="17"/>
      <c r="K73" s="16"/>
      <c r="L73" s="16"/>
      <c r="M73" s="21"/>
      <c r="N73" s="37"/>
    </row>
    <row r="74" spans="2:14" x14ac:dyDescent="0.2">
      <c r="B74" s="26"/>
      <c r="C74" s="9"/>
      <c r="D74" s="16"/>
      <c r="E74" s="16"/>
      <c r="F74" s="16"/>
      <c r="G74" s="4"/>
      <c r="H74" s="16"/>
      <c r="I74" s="17"/>
      <c r="J74" s="17"/>
      <c r="K74" s="17"/>
      <c r="L74" s="16"/>
      <c r="M74" s="17"/>
      <c r="N74" s="37"/>
    </row>
    <row r="75" spans="2:14" x14ac:dyDescent="0.2">
      <c r="B75" s="26"/>
      <c r="C75" s="9"/>
      <c r="D75" s="16"/>
      <c r="E75" s="16"/>
      <c r="F75" s="16"/>
      <c r="G75" s="4"/>
      <c r="H75" s="16"/>
      <c r="I75" s="16"/>
      <c r="J75" s="17"/>
      <c r="K75" s="16"/>
      <c r="L75" s="16"/>
      <c r="M75" s="21"/>
      <c r="N75" s="37"/>
    </row>
    <row r="76" spans="2:14" x14ac:dyDescent="0.2">
      <c r="B76" s="26"/>
      <c r="C76" s="27"/>
      <c r="D76" s="27"/>
      <c r="E76" s="27"/>
      <c r="F76" s="27"/>
      <c r="G76" s="4"/>
      <c r="H76" s="16"/>
      <c r="I76" s="16"/>
      <c r="J76" s="17"/>
      <c r="K76" s="16"/>
      <c r="L76" s="16"/>
      <c r="M76" s="21"/>
      <c r="N76" s="37"/>
    </row>
    <row r="77" spans="2:14" x14ac:dyDescent="0.2">
      <c r="B77" s="4"/>
      <c r="C77" s="9"/>
      <c r="D77" s="4"/>
      <c r="E77" s="17"/>
      <c r="F77" s="17"/>
      <c r="G77" s="4"/>
      <c r="H77" s="16"/>
      <c r="I77" s="17"/>
      <c r="J77" s="17"/>
      <c r="K77" s="17"/>
      <c r="L77" s="16"/>
      <c r="M77" s="21"/>
      <c r="N77" s="37"/>
    </row>
    <row r="78" spans="2:14" x14ac:dyDescent="0.2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21"/>
      <c r="N78" s="37"/>
    </row>
    <row r="79" spans="2:14" x14ac:dyDescent="0.2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17"/>
      <c r="N79" s="37"/>
    </row>
    <row r="80" spans="2:14" x14ac:dyDescent="0.2">
      <c r="B80" s="4"/>
      <c r="C80" s="9"/>
      <c r="D80" s="4"/>
      <c r="E80" s="17"/>
      <c r="F80" s="17"/>
      <c r="G80" s="4"/>
      <c r="H80" s="41"/>
      <c r="I80" s="41"/>
      <c r="J80" s="41"/>
      <c r="K80" s="41"/>
      <c r="L80" s="16"/>
      <c r="M80" s="17"/>
      <c r="N80" s="37"/>
    </row>
    <row r="81" spans="2:14" x14ac:dyDescent="0.2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 x14ac:dyDescent="0.2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 x14ac:dyDescent="0.2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 x14ac:dyDescent="0.2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 x14ac:dyDescent="0.2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 x14ac:dyDescent="0.2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 x14ac:dyDescent="0.2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 x14ac:dyDescent="0.2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 x14ac:dyDescent="0.2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 x14ac:dyDescent="0.2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 x14ac:dyDescent="0.2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 x14ac:dyDescent="0.2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 x14ac:dyDescent="0.2">
      <c r="G93" s="4"/>
      <c r="H93" s="16"/>
      <c r="I93" s="17"/>
      <c r="J93" s="17"/>
      <c r="K93" s="17"/>
      <c r="L93" s="16"/>
      <c r="M93" s="17"/>
      <c r="N93" s="37"/>
    </row>
  </sheetData>
  <customSheetViews>
    <customSheetView guid="{56B56577-359B-4FEF-8511-5634C3B3AD8C}" showRuler="0">
      <selection activeCell="L18" sqref="L18"/>
      <pageMargins left="0.7" right="0.7" top="0.75" bottom="0.75" header="0.3" footer="0.3"/>
      <pageSetup orientation="portrait"/>
      <headerFooter alignWithMargins="0"/>
    </customSheetView>
    <customSheetView guid="{DF438D20-ED32-4502-BBF3-1338727B4A2A}" showRuler="0">
      <selection activeCell="D24" sqref="D24"/>
      <pageMargins left="0.7" right="0.7" top="0.75" bottom="0.75" header="0.3" footer="0.3"/>
      <pageSetup orientation="portrait"/>
      <headerFooter alignWithMargins="0"/>
    </customSheetView>
  </customSheetViews>
  <phoneticPr fontId="3" type="noConversion"/>
  <conditionalFormatting sqref="C63:D65 F63:F65 H64:I66 K64:K66 H68:I68 K68 E54 C54 C42 E42:E45">
    <cfRule type="cellIs" dxfId="5" priority="15" operator="lessThan">
      <formula>0</formula>
    </cfRule>
  </conditionalFormatting>
  <conditionalFormatting sqref="C65:D67 F65:F67 C54 C44:C45">
    <cfRule type="cellIs" dxfId="4" priority="8" operator="lessThan">
      <formula>5</formula>
    </cfRule>
  </conditionalFormatting>
  <conditionalFormatting sqref="C30">
    <cfRule type="cellIs" dxfId="3" priority="32" operator="lessThan">
      <formula>2*($C$37)</formula>
    </cfRule>
  </conditionalFormatting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0"/>
  <sheetViews>
    <sheetView tabSelected="1" topLeftCell="A19" zoomScale="97" workbookViewId="0">
      <selection activeCell="G41" sqref="G41"/>
    </sheetView>
  </sheetViews>
  <sheetFormatPr baseColWidth="10" defaultColWidth="8.83203125" defaultRowHeight="14" x14ac:dyDescent="0.2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6" x14ac:dyDescent="0.2">
      <c r="B1" s="42" t="s">
        <v>57</v>
      </c>
      <c r="C1" s="8"/>
      <c r="D1" s="5"/>
      <c r="G1" s="1" t="s">
        <v>71</v>
      </c>
    </row>
    <row r="2" spans="2:16" ht="16" x14ac:dyDescent="0.2">
      <c r="B2" s="111" t="s">
        <v>76</v>
      </c>
      <c r="C2" s="8"/>
      <c r="D2" s="5"/>
    </row>
    <row r="3" spans="2:16" ht="16" x14ac:dyDescent="0.2">
      <c r="B3" s="42" t="s">
        <v>41</v>
      </c>
      <c r="C3" s="43"/>
      <c r="D3" s="44"/>
      <c r="H3" s="16"/>
      <c r="I3" s="4"/>
      <c r="J3" s="17"/>
      <c r="K3" s="17"/>
    </row>
    <row r="4" spans="2:16" x14ac:dyDescent="0.2">
      <c r="B4" s="6" t="s">
        <v>58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 x14ac:dyDescent="0.25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 x14ac:dyDescent="0.25">
      <c r="B6" s="46" t="s">
        <v>14</v>
      </c>
      <c r="C6" s="47" t="s">
        <v>36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 x14ac:dyDescent="0.2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 x14ac:dyDescent="0.2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 x14ac:dyDescent="0.2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 x14ac:dyDescent="0.25">
      <c r="B10" s="51" t="s">
        <v>45</v>
      </c>
      <c r="C10" s="55">
        <v>398658.36599999998</v>
      </c>
      <c r="D10" s="53" t="s">
        <v>46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 x14ac:dyDescent="0.25">
      <c r="B11" s="46" t="s">
        <v>43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 x14ac:dyDescent="0.2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 x14ac:dyDescent="0.25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 x14ac:dyDescent="0.25">
      <c r="B14" s="46" t="s">
        <v>44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 x14ac:dyDescent="0.2">
      <c r="B15" s="51" t="s">
        <v>18</v>
      </c>
      <c r="C15" s="60">
        <v>415</v>
      </c>
      <c r="D15" s="53" t="s">
        <v>12</v>
      </c>
      <c r="E15" s="58"/>
      <c r="F15" s="53"/>
      <c r="G15" s="89" t="s">
        <v>64</v>
      </c>
      <c r="H15" s="101"/>
      <c r="I15" s="17"/>
      <c r="J15" s="16"/>
      <c r="K15" s="16"/>
      <c r="L15" s="16"/>
      <c r="M15" s="21"/>
    </row>
    <row r="16" spans="2:16" x14ac:dyDescent="0.2">
      <c r="B16" s="51" t="s">
        <v>77</v>
      </c>
      <c r="C16" s="61">
        <v>15</v>
      </c>
      <c r="D16" s="53" t="s">
        <v>17</v>
      </c>
      <c r="E16" s="62"/>
      <c r="F16" s="53"/>
      <c r="G16" s="4" t="s">
        <v>63</v>
      </c>
      <c r="H16" s="101"/>
      <c r="I16" s="17"/>
      <c r="J16" s="16"/>
      <c r="K16" s="16"/>
      <c r="L16" s="16"/>
      <c r="M16" s="21"/>
    </row>
    <row r="17" spans="2:13" x14ac:dyDescent="0.2">
      <c r="B17" s="51" t="s">
        <v>23</v>
      </c>
      <c r="C17" s="63">
        <f>C9*(((((C9+C15)^2/C9^2)-(COS(C16/57.2958))^2)^0.5)-SIN(C16/57.2958))</f>
        <v>1211.2380402704493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 x14ac:dyDescent="0.2">
      <c r="B18" s="51" t="s">
        <v>53</v>
      </c>
      <c r="C18" s="63">
        <f>2*PI()*SQRT((C9+C15)^3/C10)/60</f>
        <v>92.861142878828829</v>
      </c>
      <c r="D18" s="53" t="s">
        <v>54</v>
      </c>
      <c r="E18" s="62"/>
      <c r="F18" s="53"/>
      <c r="G18" s="4"/>
      <c r="H18" s="16"/>
      <c r="J18" s="16"/>
      <c r="K18" s="16"/>
      <c r="L18" s="16"/>
      <c r="M18" s="21"/>
    </row>
    <row r="19" spans="2:13" x14ac:dyDescent="0.2">
      <c r="B19" s="51" t="s">
        <v>52</v>
      </c>
      <c r="C19" s="63">
        <f>SQRT(C10/(C9+C15))</f>
        <v>7.6606418491081305</v>
      </c>
      <c r="D19" s="53" t="s">
        <v>47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 x14ac:dyDescent="0.2">
      <c r="B20" s="51" t="s">
        <v>51</v>
      </c>
      <c r="C20" s="63">
        <f>C19*COS(C16*PI()/180)</f>
        <v>7.3996118080043871</v>
      </c>
      <c r="D20" s="53" t="s">
        <v>47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 x14ac:dyDescent="0.25">
      <c r="B21" s="51" t="s">
        <v>50</v>
      </c>
      <c r="C21" s="63">
        <f>C20/(C8/1000)*(C12*1000000)/1000</f>
        <v>10.778767866993057</v>
      </c>
      <c r="D21" s="53" t="s">
        <v>48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 x14ac:dyDescent="0.25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 x14ac:dyDescent="0.2">
      <c r="B23" s="51" t="s">
        <v>10</v>
      </c>
      <c r="C23" s="64">
        <f>C13^2/(16*PI()^2*(C17*1000)^2)</f>
        <v>2.0342339762136444E-15</v>
      </c>
      <c r="D23" s="53"/>
      <c r="E23" s="65">
        <f>-(22+20*LOG10(C17*1000/C13))</f>
        <v>-146.93179368239072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 x14ac:dyDescent="0.25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65</v>
      </c>
      <c r="H24" s="16"/>
      <c r="I24" s="16"/>
      <c r="J24" s="17"/>
      <c r="K24" s="16"/>
      <c r="L24" s="16"/>
      <c r="M24" s="21"/>
    </row>
    <row r="25" spans="2:13" ht="15" thickBot="1" x14ac:dyDescent="0.25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 x14ac:dyDescent="0.2">
      <c r="B26" s="51" t="s">
        <v>9</v>
      </c>
      <c r="C26" s="68">
        <f>10^(E26/10)</f>
        <v>50.118723362727238</v>
      </c>
      <c r="D26" s="95"/>
      <c r="E26" s="99">
        <v>17</v>
      </c>
      <c r="F26" s="96" t="s">
        <v>2</v>
      </c>
      <c r="G26" s="4" t="s">
        <v>62</v>
      </c>
      <c r="H26" s="16"/>
      <c r="I26" s="11"/>
      <c r="J26" s="17"/>
      <c r="K26" s="16"/>
      <c r="L26" s="16"/>
      <c r="M26" s="21"/>
    </row>
    <row r="27" spans="2:13" x14ac:dyDescent="0.2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38</v>
      </c>
      <c r="G27" s="89" t="s">
        <v>73</v>
      </c>
      <c r="H27" s="16"/>
      <c r="I27" s="16"/>
      <c r="J27" s="16"/>
      <c r="K27" s="16"/>
      <c r="L27" s="17"/>
      <c r="M27" s="21"/>
    </row>
    <row r="28" spans="2:13" x14ac:dyDescent="0.2">
      <c r="B28" s="105" t="s">
        <v>72</v>
      </c>
      <c r="C28" s="108">
        <f>10^(E28/10)</f>
        <v>3.1622776601683795</v>
      </c>
      <c r="D28" s="109"/>
      <c r="E28" s="110">
        <v>5</v>
      </c>
      <c r="F28" s="106" t="s">
        <v>2</v>
      </c>
      <c r="G28" s="104" t="s">
        <v>74</v>
      </c>
      <c r="H28" s="103"/>
      <c r="I28" s="103"/>
      <c r="J28" s="103"/>
      <c r="K28" s="103"/>
      <c r="L28" s="102"/>
      <c r="M28" s="107"/>
    </row>
    <row r="29" spans="2:13" x14ac:dyDescent="0.2">
      <c r="B29" s="51" t="s">
        <v>37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 x14ac:dyDescent="0.2">
      <c r="B30" s="51" t="s">
        <v>28</v>
      </c>
      <c r="C30" s="70">
        <v>10</v>
      </c>
      <c r="D30" s="94" t="s">
        <v>48</v>
      </c>
      <c r="E30" s="65">
        <f>10*LOG10(C30*1000)</f>
        <v>40</v>
      </c>
      <c r="F30" s="53" t="s">
        <v>8</v>
      </c>
      <c r="G30" s="89" t="s">
        <v>66</v>
      </c>
      <c r="H30" s="16"/>
      <c r="I30" s="16"/>
      <c r="J30" s="16"/>
      <c r="K30" s="16"/>
      <c r="L30" s="17"/>
      <c r="M30" s="21"/>
    </row>
    <row r="31" spans="2:13" ht="15" thickBot="1" x14ac:dyDescent="0.25">
      <c r="B31" s="51" t="s">
        <v>29</v>
      </c>
      <c r="C31" s="71">
        <f>$C$7*C27*(C30*1000)*C28</f>
        <v>1.2661398840564838E-16</v>
      </c>
      <c r="D31" s="94" t="s">
        <v>7</v>
      </c>
      <c r="E31" s="97">
        <f>$E$7+E30+E27</f>
        <v>-163.97518310497327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 x14ac:dyDescent="0.25">
      <c r="B32" s="46" t="s">
        <v>39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 x14ac:dyDescent="0.2">
      <c r="B33" s="51" t="s">
        <v>26</v>
      </c>
      <c r="C33" s="68">
        <f>10^(E33/10)</f>
        <v>1.2589254117941673</v>
      </c>
      <c r="D33" s="69"/>
      <c r="E33" s="72">
        <v>1</v>
      </c>
      <c r="F33" s="53" t="s">
        <v>2</v>
      </c>
      <c r="G33" s="89" t="s">
        <v>67</v>
      </c>
      <c r="H33" s="16"/>
      <c r="I33" s="16"/>
      <c r="J33" s="16"/>
      <c r="K33" s="16"/>
      <c r="L33" s="17"/>
      <c r="M33" s="21"/>
    </row>
    <row r="34" spans="2:13" x14ac:dyDescent="0.2">
      <c r="B34" s="51" t="s">
        <v>34</v>
      </c>
      <c r="C34" s="73">
        <v>1</v>
      </c>
      <c r="D34" s="53" t="s">
        <v>7</v>
      </c>
      <c r="E34" s="62">
        <f>10*LOG10(C34)</f>
        <v>0</v>
      </c>
      <c r="F34" s="53" t="s">
        <v>15</v>
      </c>
      <c r="G34" s="89" t="s">
        <v>68</v>
      </c>
      <c r="H34" s="16"/>
      <c r="I34" s="16"/>
      <c r="J34" s="16"/>
      <c r="K34" s="16"/>
      <c r="L34" s="17"/>
      <c r="M34" s="21"/>
    </row>
    <row r="35" spans="2:13" ht="15" thickBot="1" x14ac:dyDescent="0.25">
      <c r="B35" s="51" t="s">
        <v>42</v>
      </c>
      <c r="C35" s="59">
        <f>C33*C34</f>
        <v>1.2589254117941673</v>
      </c>
      <c r="D35" s="53" t="s">
        <v>7</v>
      </c>
      <c r="E35" s="58">
        <f>E33+E34</f>
        <v>1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 x14ac:dyDescent="0.25">
      <c r="B36" s="46" t="s">
        <v>55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 ht="15" thickBot="1" x14ac:dyDescent="0.25">
      <c r="B37" s="51" t="s">
        <v>79</v>
      </c>
      <c r="C37" s="54">
        <v>1200</v>
      </c>
      <c r="D37" s="75" t="s">
        <v>60</v>
      </c>
      <c r="E37" s="54"/>
      <c r="F37" s="53"/>
      <c r="G37" s="32"/>
      <c r="H37" s="16"/>
      <c r="I37" s="11"/>
      <c r="J37" s="17"/>
      <c r="K37" s="16"/>
      <c r="L37" s="16"/>
      <c r="M37" s="21"/>
    </row>
    <row r="38" spans="2:13" ht="15" thickBot="1" x14ac:dyDescent="0.25">
      <c r="B38" s="46" t="s">
        <v>40</v>
      </c>
      <c r="C38" s="47"/>
      <c r="D38" s="48"/>
      <c r="E38" s="49"/>
      <c r="F38" s="50"/>
      <c r="G38" s="30"/>
      <c r="H38" s="16"/>
      <c r="I38" s="11"/>
      <c r="J38" s="17"/>
      <c r="K38" s="16"/>
      <c r="L38" s="16"/>
      <c r="M38" s="21"/>
    </row>
    <row r="39" spans="2:13" x14ac:dyDescent="0.2">
      <c r="B39" s="76" t="s">
        <v>56</v>
      </c>
      <c r="C39" s="77">
        <f>$C$34*$C$23*C29*$C$24*C26*C33</f>
        <v>4.0588303925683847E-14</v>
      </c>
      <c r="D39" s="78" t="s">
        <v>7</v>
      </c>
      <c r="E39" s="112">
        <f>$E$34+$E$23+$E$24+E29+E26+E33</f>
        <v>-133.93179368239072</v>
      </c>
      <c r="F39" s="78" t="s">
        <v>6</v>
      </c>
      <c r="G39" s="30"/>
      <c r="H39" s="16"/>
      <c r="I39" s="11"/>
      <c r="J39" s="17"/>
      <c r="K39" s="16"/>
      <c r="L39" s="16"/>
      <c r="M39" s="21"/>
    </row>
    <row r="40" spans="2:13" x14ac:dyDescent="0.2">
      <c r="B40" s="76" t="s">
        <v>35</v>
      </c>
      <c r="C40" s="80">
        <f>C39/C31</f>
        <v>320.56729621095451</v>
      </c>
      <c r="D40" s="78"/>
      <c r="E40" s="79">
        <f>10*LOG10(C40)</f>
        <v>25.05919214214061</v>
      </c>
      <c r="F40" s="78" t="s">
        <v>2</v>
      </c>
      <c r="G40" s="32"/>
      <c r="H40" s="16"/>
      <c r="I40" s="11"/>
      <c r="J40" s="17"/>
      <c r="K40" s="16"/>
      <c r="L40" s="16"/>
      <c r="M40" s="21"/>
    </row>
    <row r="41" spans="2:13" x14ac:dyDescent="0.2">
      <c r="B41" s="76" t="s">
        <v>75</v>
      </c>
      <c r="C41" s="81">
        <f>C40*C30*1000/C37</f>
        <v>2671.3941350912878</v>
      </c>
      <c r="D41" s="78"/>
      <c r="E41" s="79">
        <f>10*LOG10(C41)</f>
        <v>34.267379681664359</v>
      </c>
      <c r="F41" s="82" t="s">
        <v>2</v>
      </c>
      <c r="H41" s="16"/>
      <c r="I41" s="11"/>
      <c r="J41" s="17"/>
      <c r="K41" s="16"/>
      <c r="L41" s="16"/>
      <c r="M41" s="21"/>
    </row>
    <row r="42" spans="2:13" x14ac:dyDescent="0.2">
      <c r="B42" s="76" t="s">
        <v>78</v>
      </c>
      <c r="C42" s="81">
        <f>10*LOG10(E42)</f>
        <v>10</v>
      </c>
      <c r="D42" s="78"/>
      <c r="E42" s="79">
        <v>10</v>
      </c>
      <c r="F42" s="82" t="s">
        <v>2</v>
      </c>
      <c r="H42" s="16"/>
      <c r="I42" s="11"/>
      <c r="J42" s="17"/>
      <c r="K42" s="16"/>
      <c r="L42" s="16"/>
      <c r="M42" s="21"/>
    </row>
    <row r="43" spans="2:13" ht="15" thickBot="1" x14ac:dyDescent="0.25">
      <c r="B43" s="83" t="s">
        <v>33</v>
      </c>
      <c r="C43" s="84">
        <f>C41-10^(E43/10)</f>
        <v>2404.2547215821592</v>
      </c>
      <c r="D43" s="85"/>
      <c r="E43" s="86">
        <f>E41-10</f>
        <v>24.267379681664359</v>
      </c>
      <c r="F43" s="87" t="s">
        <v>2</v>
      </c>
      <c r="H43" s="16"/>
      <c r="I43" s="11"/>
      <c r="J43" s="17"/>
      <c r="K43" s="16"/>
      <c r="L43" s="16"/>
      <c r="M43" s="21"/>
    </row>
    <row r="44" spans="2:13" x14ac:dyDescent="0.2">
      <c r="B44"/>
      <c r="C44"/>
      <c r="D44"/>
      <c r="E44"/>
      <c r="F44"/>
      <c r="G44" s="30"/>
      <c r="H44" s="16"/>
      <c r="I44" s="11"/>
      <c r="J44" s="17"/>
      <c r="K44" s="16"/>
      <c r="L44" s="16"/>
      <c r="M44" s="21"/>
    </row>
    <row r="45" spans="2:13" x14ac:dyDescent="0.2">
      <c r="B45"/>
      <c r="C45"/>
      <c r="D45"/>
      <c r="E45"/>
      <c r="F45"/>
      <c r="G45" s="91"/>
      <c r="H45" s="16"/>
      <c r="I45" s="11"/>
      <c r="J45" s="17"/>
      <c r="K45" s="16"/>
      <c r="L45" s="16"/>
      <c r="M45" s="21"/>
    </row>
    <row r="46" spans="2:13" x14ac:dyDescent="0.2">
      <c r="B46"/>
      <c r="C46"/>
      <c r="D46"/>
      <c r="E46"/>
      <c r="F46"/>
      <c r="H46" s="16"/>
      <c r="I46" s="11"/>
      <c r="J46" s="17"/>
      <c r="K46" s="16"/>
      <c r="L46" s="16"/>
      <c r="M46" s="21"/>
    </row>
    <row r="47" spans="2:13" x14ac:dyDescent="0.2">
      <c r="B47"/>
      <c r="C47"/>
      <c r="D47"/>
      <c r="E47"/>
      <c r="F47"/>
      <c r="G47" s="32"/>
      <c r="H47" s="16"/>
      <c r="I47" s="11"/>
      <c r="J47" s="17"/>
      <c r="K47" s="16"/>
      <c r="L47" s="16"/>
      <c r="M47" s="21"/>
    </row>
    <row r="48" spans="2:13" x14ac:dyDescent="0.2">
      <c r="G48" s="4"/>
      <c r="H48" s="16"/>
      <c r="I48" s="11"/>
      <c r="J48" s="17"/>
      <c r="K48" s="16"/>
      <c r="L48" s="16"/>
      <c r="M48" s="21"/>
    </row>
    <row r="49" spans="2:14" x14ac:dyDescent="0.2">
      <c r="G49" s="4"/>
      <c r="H49" s="16"/>
      <c r="I49" s="11"/>
      <c r="J49" s="17"/>
      <c r="K49" s="16"/>
      <c r="L49" s="16"/>
      <c r="M49" s="21"/>
    </row>
    <row r="50" spans="2:14" x14ac:dyDescent="0.2">
      <c r="G50" s="4"/>
      <c r="H50" s="16"/>
      <c r="I50" s="11"/>
      <c r="J50" s="17"/>
      <c r="K50" s="16"/>
      <c r="L50" s="16"/>
      <c r="M50" s="21"/>
    </row>
    <row r="51" spans="2:14" x14ac:dyDescent="0.2">
      <c r="H51" s="16"/>
      <c r="I51" s="11"/>
      <c r="J51" s="17"/>
      <c r="K51" s="16"/>
      <c r="L51" s="16"/>
      <c r="M51" s="21"/>
    </row>
    <row r="52" spans="2:14" x14ac:dyDescent="0.2">
      <c r="B52" s="36"/>
      <c r="C52" s="35"/>
      <c r="D52" s="38"/>
      <c r="E52" s="25"/>
      <c r="F52" s="38"/>
      <c r="G52" s="4"/>
      <c r="H52" s="16"/>
      <c r="I52" s="11"/>
      <c r="J52" s="17"/>
      <c r="K52" s="16"/>
      <c r="L52" s="16"/>
      <c r="M52" s="21"/>
    </row>
    <row r="53" spans="2:14" x14ac:dyDescent="0.2">
      <c r="B53" s="4"/>
      <c r="C53" s="33"/>
      <c r="D53" s="16"/>
      <c r="E53" s="13"/>
      <c r="F53" s="16"/>
      <c r="G53" s="4"/>
      <c r="H53" s="16"/>
      <c r="I53" s="11"/>
      <c r="J53" s="17"/>
      <c r="K53" s="16"/>
      <c r="L53" s="16"/>
      <c r="M53" s="21"/>
      <c r="N53" s="37"/>
    </row>
    <row r="54" spans="2:14" x14ac:dyDescent="0.2">
      <c r="B54" s="4"/>
      <c r="C54" s="33"/>
      <c r="D54" s="16"/>
      <c r="E54" s="13"/>
      <c r="F54" s="16"/>
      <c r="G54" s="4"/>
      <c r="H54" s="16"/>
      <c r="I54" s="11"/>
      <c r="J54" s="17"/>
      <c r="K54" s="16"/>
      <c r="L54" s="16"/>
      <c r="M54" s="21"/>
      <c r="N54" s="37"/>
    </row>
    <row r="55" spans="2:14" x14ac:dyDescent="0.2">
      <c r="B55" s="10"/>
      <c r="C55" s="13"/>
      <c r="D55" s="11"/>
      <c r="E55" s="11"/>
      <c r="F55" s="13"/>
      <c r="G55" s="4"/>
      <c r="H55" s="13"/>
      <c r="I55" s="11"/>
      <c r="J55" s="11"/>
      <c r="K55" s="13"/>
      <c r="L55" s="16"/>
      <c r="M55" s="21"/>
      <c r="N55" s="37"/>
    </row>
    <row r="56" spans="2:14" x14ac:dyDescent="0.2">
      <c r="B56" s="4"/>
      <c r="C56" s="16"/>
      <c r="D56" s="14"/>
      <c r="E56" s="17"/>
      <c r="F56" s="16"/>
      <c r="G56" s="4"/>
      <c r="H56" s="12"/>
      <c r="I56" s="12"/>
      <c r="J56" s="17"/>
      <c r="K56" s="12"/>
      <c r="L56" s="16"/>
      <c r="M56" s="21"/>
      <c r="N56" s="37"/>
    </row>
    <row r="57" spans="2:14" x14ac:dyDescent="0.2">
      <c r="B57" s="4"/>
      <c r="C57" s="22"/>
      <c r="D57" s="22"/>
      <c r="E57" s="17"/>
      <c r="F57" s="22"/>
      <c r="G57" s="4"/>
      <c r="H57" s="13"/>
      <c r="I57" s="13"/>
      <c r="J57" s="17"/>
      <c r="K57" s="13"/>
      <c r="L57" s="16"/>
      <c r="M57" s="17"/>
      <c r="N57" s="37"/>
    </row>
    <row r="58" spans="2:14" x14ac:dyDescent="0.2">
      <c r="B58" s="4"/>
      <c r="C58" s="22"/>
      <c r="D58" s="22"/>
      <c r="E58" s="22"/>
      <c r="F58" s="22"/>
      <c r="G58" s="4"/>
      <c r="H58" s="13"/>
      <c r="I58" s="13"/>
      <c r="J58" s="13"/>
      <c r="K58" s="13"/>
      <c r="L58" s="16"/>
      <c r="M58" s="21"/>
      <c r="N58" s="37"/>
    </row>
    <row r="59" spans="2:14" x14ac:dyDescent="0.2">
      <c r="B59" s="10"/>
      <c r="C59" s="16"/>
      <c r="D59" s="14"/>
      <c r="E59" s="17"/>
      <c r="F59" s="16"/>
      <c r="G59" s="92"/>
      <c r="H59" s="16"/>
      <c r="I59" s="14"/>
      <c r="J59" s="17"/>
      <c r="K59" s="16"/>
      <c r="L59" s="16"/>
      <c r="M59" s="21"/>
      <c r="N59" s="37"/>
    </row>
    <row r="60" spans="2:14" x14ac:dyDescent="0.2">
      <c r="B60" s="4"/>
      <c r="C60" s="11"/>
      <c r="D60" s="11"/>
      <c r="E60" s="17"/>
      <c r="F60" s="11"/>
      <c r="G60" s="92"/>
      <c r="H60" s="13"/>
      <c r="I60" s="11"/>
      <c r="J60" s="17"/>
      <c r="K60" s="13"/>
      <c r="L60" s="16"/>
      <c r="M60" s="28"/>
      <c r="N60" s="37"/>
    </row>
    <row r="61" spans="2:14" x14ac:dyDescent="0.2">
      <c r="B61" s="4"/>
      <c r="C61" s="23"/>
      <c r="D61" s="23"/>
      <c r="E61" s="17"/>
      <c r="F61" s="23"/>
      <c r="G61" s="4"/>
      <c r="H61" s="25"/>
      <c r="I61" s="25"/>
      <c r="J61" s="17"/>
      <c r="K61" s="25"/>
      <c r="L61" s="16"/>
      <c r="M61" s="17"/>
      <c r="N61" s="37"/>
    </row>
    <row r="62" spans="2:14" x14ac:dyDescent="0.2">
      <c r="B62" s="4"/>
      <c r="C62" s="23"/>
      <c r="D62" s="23"/>
      <c r="E62" s="17"/>
      <c r="F62" s="23"/>
      <c r="G62" s="4"/>
      <c r="H62" s="25"/>
      <c r="I62" s="25"/>
      <c r="J62" s="17"/>
      <c r="K62" s="25"/>
      <c r="L62" s="16"/>
      <c r="M62" s="17"/>
      <c r="N62" s="37"/>
    </row>
    <row r="63" spans="2:14" x14ac:dyDescent="0.2">
      <c r="B63" s="4"/>
      <c r="C63" s="35"/>
      <c r="D63" s="35"/>
      <c r="E63" s="17"/>
      <c r="F63" s="35"/>
      <c r="G63" s="36"/>
      <c r="H63" s="25"/>
      <c r="I63" s="25"/>
      <c r="J63" s="17"/>
      <c r="K63" s="25"/>
      <c r="L63" s="16"/>
      <c r="M63" s="17"/>
      <c r="N63" s="37"/>
    </row>
    <row r="64" spans="2:14" x14ac:dyDescent="0.2">
      <c r="B64" s="4"/>
      <c r="C64" s="24"/>
      <c r="D64" s="24"/>
      <c r="E64" s="17"/>
      <c r="F64" s="24"/>
      <c r="G64" s="93"/>
      <c r="H64" s="24"/>
      <c r="I64" s="24"/>
      <c r="J64" s="17"/>
      <c r="K64" s="24"/>
      <c r="L64" s="16"/>
      <c r="M64" s="17"/>
      <c r="N64" s="37"/>
    </row>
    <row r="65" spans="2:14" x14ac:dyDescent="0.2">
      <c r="B65" s="4"/>
      <c r="C65" s="24"/>
      <c r="D65" s="24"/>
      <c r="E65" s="17"/>
      <c r="F65" s="24"/>
      <c r="G65" s="36"/>
      <c r="H65" s="25"/>
      <c r="I65" s="25"/>
      <c r="J65" s="17"/>
      <c r="K65" s="25"/>
      <c r="L65" s="16"/>
      <c r="M65" s="17"/>
      <c r="N65" s="37"/>
    </row>
    <row r="66" spans="2:14" x14ac:dyDescent="0.2">
      <c r="B66" s="36"/>
      <c r="C66" s="39"/>
      <c r="D66" s="39"/>
      <c r="E66" s="39"/>
      <c r="F66" s="39"/>
      <c r="G66" s="36"/>
      <c r="H66" s="39"/>
      <c r="I66" s="39"/>
      <c r="J66" s="39"/>
      <c r="K66" s="39"/>
      <c r="L66" s="38"/>
      <c r="M66" s="17"/>
      <c r="N66" s="37"/>
    </row>
    <row r="67" spans="2:14" x14ac:dyDescent="0.2">
      <c r="B67" s="40"/>
      <c r="C67" s="9"/>
      <c r="D67" s="4"/>
      <c r="E67" s="16"/>
      <c r="F67" s="16"/>
      <c r="G67" s="4"/>
      <c r="H67" s="16"/>
      <c r="I67" s="17"/>
      <c r="J67" s="17"/>
      <c r="K67" s="17"/>
      <c r="L67" s="16"/>
      <c r="M67" s="17"/>
      <c r="N67" s="37"/>
    </row>
    <row r="68" spans="2:14" x14ac:dyDescent="0.2">
      <c r="B68" s="34"/>
      <c r="C68" s="16"/>
      <c r="D68" s="14"/>
      <c r="E68" s="17"/>
      <c r="F68" s="16"/>
      <c r="G68" s="4"/>
      <c r="H68" s="16"/>
      <c r="I68" s="14"/>
      <c r="J68" s="17"/>
      <c r="K68" s="16"/>
      <c r="L68" s="16"/>
      <c r="M68" s="21"/>
      <c r="N68" s="37"/>
    </row>
    <row r="69" spans="2:14" x14ac:dyDescent="0.2">
      <c r="B69" s="10"/>
      <c r="C69" s="16"/>
      <c r="D69" s="9"/>
      <c r="E69" s="17"/>
      <c r="F69" s="16"/>
      <c r="G69" s="4"/>
      <c r="H69" s="31"/>
      <c r="I69" s="16"/>
      <c r="J69" s="17"/>
      <c r="K69" s="16"/>
      <c r="L69" s="16"/>
      <c r="M69" s="21"/>
      <c r="N69" s="37"/>
    </row>
    <row r="70" spans="2:14" x14ac:dyDescent="0.2">
      <c r="B70" s="4"/>
      <c r="C70" s="16"/>
      <c r="D70" s="4"/>
      <c r="E70" s="17"/>
      <c r="F70" s="16"/>
      <c r="G70" s="4"/>
      <c r="H70" s="16"/>
      <c r="I70" s="17"/>
      <c r="J70" s="17"/>
      <c r="K70" s="16"/>
      <c r="L70" s="16"/>
      <c r="M70" s="21"/>
      <c r="N70" s="37"/>
    </row>
    <row r="71" spans="2:14" x14ac:dyDescent="0.2">
      <c r="B71" s="4"/>
      <c r="C71" s="9"/>
      <c r="D71" s="4"/>
      <c r="E71" s="17"/>
      <c r="F71" s="17"/>
      <c r="G71" s="4"/>
      <c r="H71" s="16"/>
      <c r="I71" s="17"/>
      <c r="J71" s="17"/>
      <c r="K71" s="17"/>
      <c r="L71" s="16"/>
      <c r="M71" s="17"/>
      <c r="N71" s="37"/>
    </row>
    <row r="72" spans="2:14" x14ac:dyDescent="0.2">
      <c r="B72" s="26"/>
      <c r="C72" s="9"/>
      <c r="D72" s="16"/>
      <c r="E72" s="16"/>
      <c r="F72" s="16"/>
      <c r="G72" s="4"/>
      <c r="H72" s="16"/>
      <c r="I72" s="16"/>
      <c r="J72" s="17"/>
      <c r="K72" s="16"/>
      <c r="L72" s="16"/>
      <c r="M72" s="21"/>
      <c r="N72" s="37"/>
    </row>
    <row r="73" spans="2:14" x14ac:dyDescent="0.2">
      <c r="B73" s="26"/>
      <c r="C73" s="9"/>
      <c r="D73" s="16"/>
      <c r="E73" s="16"/>
      <c r="F73" s="16"/>
      <c r="G73" s="4"/>
      <c r="H73" s="16"/>
      <c r="I73" s="16"/>
      <c r="J73" s="17"/>
      <c r="K73" s="16"/>
      <c r="L73" s="16"/>
      <c r="M73" s="21"/>
      <c r="N73" s="37"/>
    </row>
    <row r="74" spans="2:14" x14ac:dyDescent="0.2">
      <c r="B74" s="26"/>
      <c r="C74" s="27"/>
      <c r="D74" s="27"/>
      <c r="E74" s="27"/>
      <c r="F74" s="27"/>
      <c r="G74" s="4"/>
      <c r="H74" s="16"/>
      <c r="I74" s="17"/>
      <c r="J74" s="17"/>
      <c r="K74" s="17"/>
      <c r="L74" s="16"/>
      <c r="M74" s="21"/>
      <c r="N74" s="37"/>
    </row>
    <row r="75" spans="2:14" x14ac:dyDescent="0.2">
      <c r="B75" s="4"/>
      <c r="C75" s="9"/>
      <c r="D75" s="4"/>
      <c r="E75" s="17"/>
      <c r="F75" s="17"/>
      <c r="G75" s="4"/>
      <c r="H75" s="16"/>
      <c r="I75" s="17"/>
      <c r="J75" s="17"/>
      <c r="K75" s="17"/>
      <c r="L75" s="16"/>
      <c r="M75" s="21"/>
      <c r="N75" s="37"/>
    </row>
    <row r="76" spans="2:14" x14ac:dyDescent="0.2">
      <c r="B76" s="4"/>
      <c r="C76" s="9"/>
      <c r="D76" s="4"/>
      <c r="E76" s="17"/>
      <c r="F76" s="17"/>
      <c r="G76" s="4"/>
      <c r="H76" s="16"/>
      <c r="I76" s="17"/>
      <c r="J76" s="17"/>
      <c r="K76" s="17"/>
      <c r="L76" s="16"/>
      <c r="M76" s="17"/>
      <c r="N76" s="37"/>
    </row>
    <row r="77" spans="2:14" x14ac:dyDescent="0.2">
      <c r="B77" s="4"/>
      <c r="C77" s="9"/>
      <c r="D77" s="4"/>
      <c r="E77" s="17"/>
      <c r="F77" s="17"/>
      <c r="G77" s="4"/>
      <c r="H77" s="41"/>
      <c r="I77" s="41"/>
      <c r="J77" s="41"/>
      <c r="K77" s="41"/>
      <c r="L77" s="16"/>
      <c r="M77" s="17"/>
      <c r="N77" s="37"/>
    </row>
    <row r="78" spans="2:14" x14ac:dyDescent="0.2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17"/>
      <c r="N78" s="37"/>
    </row>
    <row r="79" spans="2:14" x14ac:dyDescent="0.2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17"/>
      <c r="N79" s="37"/>
    </row>
    <row r="80" spans="2:14" x14ac:dyDescent="0.2">
      <c r="B80" s="4"/>
      <c r="C80" s="9"/>
      <c r="D80" s="4"/>
      <c r="E80" s="17"/>
      <c r="F80" s="17"/>
      <c r="G80" s="4"/>
      <c r="H80" s="16"/>
      <c r="I80" s="17"/>
      <c r="J80" s="17"/>
      <c r="K80" s="17"/>
      <c r="L80" s="16"/>
      <c r="M80" s="17"/>
      <c r="N80" s="37"/>
    </row>
    <row r="81" spans="2:14" x14ac:dyDescent="0.2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 x14ac:dyDescent="0.2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 x14ac:dyDescent="0.2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 x14ac:dyDescent="0.2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 x14ac:dyDescent="0.2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 x14ac:dyDescent="0.2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 x14ac:dyDescent="0.2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 x14ac:dyDescent="0.2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 x14ac:dyDescent="0.2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 x14ac:dyDescent="0.2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</sheetData>
  <conditionalFormatting sqref="C61:D63 F61:F63 H61:I63 K61:K63 H65:I65 K65 E52 C52 C39 E39:E42">
    <cfRule type="cellIs" dxfId="2" priority="2" operator="lessThan">
      <formula>0</formula>
    </cfRule>
  </conditionalFormatting>
  <conditionalFormatting sqref="C63:D65 F63:F65 C52 C41:C42">
    <cfRule type="cellIs" dxfId="1" priority="1" operator="lessThan">
      <formula>5</formula>
    </cfRule>
  </conditionalFormatting>
  <conditionalFormatting sqref="C30">
    <cfRule type="cellIs" dxfId="0" priority="33" operator="lessThan">
      <formula>2*(#REF!)</formula>
    </cfRule>
  </conditionalFormatting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Sprite Downlink Budget</vt:lpstr>
      <vt:lpstr>KickSat Bus Link Budget</vt:lpstr>
    </vt:vector>
  </TitlesOfParts>
  <Company>Cornell University - Peck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Microsoft Office User</cp:lastModifiedBy>
  <cp:lastPrinted>2010-03-10T20:26:08Z</cp:lastPrinted>
  <dcterms:created xsi:type="dcterms:W3CDTF">2007-02-13T01:57:35Z</dcterms:created>
  <dcterms:modified xsi:type="dcterms:W3CDTF">2015-11-10T17:23:58Z</dcterms:modified>
</cp:coreProperties>
</file>