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comments7.xml" ContentType="application/vnd.openxmlformats-officedocument.spreadsheetml.comments+xml"/>
  <Override PartName="/xl/drawings/drawing10.xml" ContentType="application/vnd.openxmlformats-officedocument.drawing+xml"/>
  <Override PartName="/xl/comments8.xml" ContentType="application/vnd.openxmlformats-officedocument.spreadsheetml.comments+xml"/>
  <Override PartName="/xl/drawings/drawing11.xml" ContentType="application/vnd.openxmlformats-officedocument.drawing+xml"/>
  <Override PartName="/xl/comments9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IRCRAFT DESIGN\From github\Aircraft-Design\wing DABCM98\ala excel\"/>
    </mc:Choice>
  </mc:AlternateContent>
  <xr:revisionPtr revIDLastSave="0" documentId="13_ncr:1_{3A2687F3-3C23-4BC2-8760-F2365D39C976}" xr6:coauthVersionLast="47" xr6:coauthVersionMax="47" xr10:uidLastSave="{00000000-0000-0000-0000-000000000000}"/>
  <bookViews>
    <workbookView xWindow="-108" yWindow="-108" windowWidth="23256" windowHeight="12576" firstSheet="4" activeTab="4" xr2:uid="{00000000-000D-0000-FFFF-FFFF00000000}"/>
  </bookViews>
  <sheets>
    <sheet name="INPUT" sheetId="1" r:id="rId1"/>
    <sheet name="Delta_Cl0_2D" sheetId="2" r:id="rId2"/>
    <sheet name="Delta_Clmax_flap_2D" sheetId="4" r:id="rId3"/>
    <sheet name="Delta_Clmax_slat_2D" sheetId="5" r:id="rId4"/>
    <sheet name="Delta_CL0_3D" sheetId="6" r:id="rId5"/>
    <sheet name="Delta_CLmax_3D" sheetId="8" r:id="rId6"/>
    <sheet name="CL_alpha_flap_down" sheetId="9" r:id="rId7"/>
    <sheet name="Delta_Alpha_Stall" sheetId="10" r:id="rId8"/>
    <sheet name="Delta_CD0" sheetId="11" r:id="rId9"/>
    <sheet name="Delta_CMc4" sheetId="12" r:id="rId10"/>
    <sheet name="RESULTS" sheetId="13" r:id="rId1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12" l="1"/>
  <c r="C8" i="12" s="1"/>
  <c r="A43" i="13"/>
  <c r="B43" i="13" s="1"/>
  <c r="G57" i="13"/>
  <c r="G56" i="13"/>
  <c r="I56" i="13" s="1"/>
  <c r="D43" i="1"/>
  <c r="C43" i="1"/>
  <c r="H57" i="13"/>
  <c r="B17" i="13"/>
  <c r="D5" i="2"/>
  <c r="E5" i="2"/>
  <c r="C43" i="13" l="1"/>
  <c r="H56" i="13"/>
  <c r="S47" i="13"/>
  <c r="O47" i="13"/>
  <c r="R39" i="13"/>
  <c r="S37" i="13"/>
  <c r="N39" i="13"/>
  <c r="O37" i="13"/>
  <c r="E2" i="9"/>
  <c r="D2" i="9"/>
  <c r="B21" i="13" l="1"/>
  <c r="H44" i="13" s="1"/>
  <c r="M47" i="13" s="1"/>
  <c r="B19" i="13"/>
  <c r="B18" i="13"/>
  <c r="H45" i="13" s="1"/>
  <c r="N47" i="13" s="1"/>
  <c r="H38" i="13"/>
  <c r="L37" i="13" s="1"/>
  <c r="B16" i="13"/>
  <c r="B11" i="13"/>
  <c r="C5" i="11"/>
  <c r="D5" i="11"/>
  <c r="E5" i="11"/>
  <c r="B5" i="11"/>
  <c r="B77" i="1"/>
  <c r="B78" i="1"/>
  <c r="B76" i="1"/>
  <c r="B52" i="13" l="1"/>
  <c r="H39" i="13"/>
  <c r="N38" i="13" s="1"/>
  <c r="H41" i="13"/>
  <c r="B1" i="10"/>
  <c r="M38" i="13"/>
  <c r="L38" i="13"/>
  <c r="H40" i="13"/>
  <c r="B20" i="13"/>
  <c r="H43" i="13" s="1"/>
  <c r="L47" i="13" s="1"/>
  <c r="B6" i="11"/>
  <c r="B12" i="13" s="1"/>
  <c r="G3" i="8"/>
  <c r="H3" i="8"/>
  <c r="I3" i="8"/>
  <c r="F3" i="8"/>
  <c r="C3" i="8"/>
  <c r="D3" i="8"/>
  <c r="E3" i="8"/>
  <c r="B3" i="8"/>
  <c r="G2" i="8"/>
  <c r="H2" i="8"/>
  <c r="I2" i="8"/>
  <c r="F2" i="8"/>
  <c r="C2" i="8"/>
  <c r="D2" i="8"/>
  <c r="E2" i="8"/>
  <c r="B2" i="8"/>
  <c r="D6" i="4"/>
  <c r="E6" i="4"/>
  <c r="I62" i="1"/>
  <c r="H62" i="1"/>
  <c r="G62" i="1"/>
  <c r="B55" i="1"/>
  <c r="C3" i="4"/>
  <c r="C6" i="4" s="1"/>
  <c r="B3" i="4"/>
  <c r="B6" i="4" s="1"/>
  <c r="B7" i="4" l="1"/>
  <c r="B4" i="13" s="1"/>
  <c r="B4" i="8"/>
  <c r="C4" i="8"/>
  <c r="M40" i="13"/>
  <c r="L40" i="13"/>
  <c r="N37" i="13"/>
  <c r="M37" i="13"/>
  <c r="L39" i="13"/>
  <c r="M39" i="13"/>
  <c r="E4" i="8"/>
  <c r="D4" i="8"/>
  <c r="B72" i="1" a="1"/>
  <c r="B72" i="1" s="1"/>
  <c r="B71" i="1" a="1"/>
  <c r="B71" i="1" s="1"/>
  <c r="B70" i="1" a="1"/>
  <c r="B70" i="1" s="1"/>
  <c r="B69" i="1" a="1"/>
  <c r="B69" i="1" s="1"/>
  <c r="B68" i="1" a="1"/>
  <c r="B68" i="1" s="1"/>
  <c r="B67" i="1" a="1"/>
  <c r="B67" i="1" s="1"/>
  <c r="D72" i="1" a="1"/>
  <c r="D72" i="1" s="1"/>
  <c r="D71" i="1" a="1"/>
  <c r="D71" i="1" s="1"/>
  <c r="D70" i="1" a="1"/>
  <c r="D70" i="1" s="1"/>
  <c r="D69" i="1" a="1"/>
  <c r="D69" i="1" s="1"/>
  <c r="D68" i="1" a="1"/>
  <c r="D68" i="1" s="1"/>
  <c r="D67" i="1" a="1"/>
  <c r="D67" i="1" s="1"/>
  <c r="I55" i="1"/>
  <c r="H55" i="1"/>
  <c r="G55" i="1"/>
  <c r="F55" i="1"/>
  <c r="I52" i="1"/>
  <c r="H52" i="1"/>
  <c r="G52" i="1"/>
  <c r="F52" i="1"/>
  <c r="F44" i="1"/>
  <c r="I56" i="1"/>
  <c r="H56" i="1"/>
  <c r="G56" i="1"/>
  <c r="F56" i="1"/>
  <c r="I54" i="1"/>
  <c r="H54" i="1"/>
  <c r="G54" i="1"/>
  <c r="F54" i="1"/>
  <c r="I45" i="1"/>
  <c r="H45" i="1"/>
  <c r="G45" i="1"/>
  <c r="F45" i="1"/>
  <c r="E45" i="1"/>
  <c r="D45" i="1"/>
  <c r="C45" i="1"/>
  <c r="B45" i="1"/>
  <c r="I44" i="1"/>
  <c r="H44" i="1"/>
  <c r="G44" i="1"/>
  <c r="E44" i="1"/>
  <c r="D44" i="1"/>
  <c r="C44" i="1"/>
  <c r="B44" i="1"/>
  <c r="I61" i="1"/>
  <c r="I60" i="1"/>
  <c r="I59" i="1"/>
  <c r="I58" i="1"/>
  <c r="H61" i="1"/>
  <c r="H60" i="1"/>
  <c r="H59" i="1"/>
  <c r="H58" i="1"/>
  <c r="G61" i="1"/>
  <c r="G60" i="1"/>
  <c r="G59" i="1"/>
  <c r="G58" i="1"/>
  <c r="F61" i="1"/>
  <c r="F62" i="1" s="1"/>
  <c r="F60" i="1"/>
  <c r="F59" i="1"/>
  <c r="F58" i="1"/>
  <c r="B4" i="2"/>
  <c r="B5" i="2" s="1"/>
  <c r="C4" i="2"/>
  <c r="C5" i="2" s="1"/>
  <c r="B3" i="2"/>
  <c r="B5" i="5" s="1"/>
  <c r="F4" i="8" s="1"/>
  <c r="C3" i="2"/>
  <c r="C5" i="5" s="1"/>
  <c r="G4" i="8" s="1"/>
  <c r="E4" i="2"/>
  <c r="E7" i="2" s="1"/>
  <c r="D4" i="2"/>
  <c r="D7" i="2" s="1"/>
  <c r="E3" i="2"/>
  <c r="E5" i="5" s="1"/>
  <c r="I4" i="8" s="1"/>
  <c r="D3" i="2"/>
  <c r="D5" i="5" s="1"/>
  <c r="H4" i="8" s="1"/>
  <c r="D47" i="1"/>
  <c r="C47" i="1"/>
  <c r="B47" i="1"/>
  <c r="B73" i="1" s="1" a="1"/>
  <c r="B73" i="1" s="1"/>
  <c r="D73" i="1" l="1" a="1"/>
  <c r="D73" i="1" s="1"/>
  <c r="L42" i="13" a="1"/>
  <c r="L43" i="13" s="1"/>
  <c r="B8" i="13"/>
  <c r="B9" i="13"/>
  <c r="E8" i="2"/>
  <c r="E4" i="6" s="1"/>
  <c r="B5" i="8"/>
  <c r="B6" i="5"/>
  <c r="B5" i="13" s="1"/>
  <c r="D8" i="2"/>
  <c r="D4" i="6" s="1"/>
  <c r="C73" i="1"/>
  <c r="B56" i="1"/>
  <c r="C56" i="1"/>
  <c r="C72" i="1"/>
  <c r="C71" i="1"/>
  <c r="C70" i="1"/>
  <c r="C69" i="1"/>
  <c r="B59" i="1" s="1"/>
  <c r="C68" i="1"/>
  <c r="B58" i="1" s="1"/>
  <c r="C67" i="1"/>
  <c r="C55" i="1" s="1"/>
  <c r="D56" i="1"/>
  <c r="E56" i="1"/>
  <c r="E72" i="1"/>
  <c r="E71" i="1"/>
  <c r="E70" i="1"/>
  <c r="D60" i="1" s="1"/>
  <c r="E69" i="1"/>
  <c r="D59" i="1" s="1"/>
  <c r="E68" i="1"/>
  <c r="E55" i="1"/>
  <c r="D55" i="1"/>
  <c r="E67" i="1"/>
  <c r="I57" i="1"/>
  <c r="C61" i="1"/>
  <c r="C62" i="1" s="1"/>
  <c r="H57" i="1"/>
  <c r="F53" i="1"/>
  <c r="G53" i="1"/>
  <c r="H53" i="1"/>
  <c r="I53" i="1"/>
  <c r="G57" i="1"/>
  <c r="F57" i="1"/>
  <c r="E61" i="1"/>
  <c r="E62" i="1" s="1"/>
  <c r="B60" i="1"/>
  <c r="B61" i="1"/>
  <c r="B62" i="1" s="1"/>
  <c r="C60" i="1"/>
  <c r="D52" i="1" l="1"/>
  <c r="D58" i="1"/>
  <c r="E73" i="1"/>
  <c r="E54" i="1" s="1"/>
  <c r="C52" i="1"/>
  <c r="B52" i="1"/>
  <c r="E59" i="1"/>
  <c r="C59" i="1"/>
  <c r="N44" i="13"/>
  <c r="O42" i="13"/>
  <c r="L45" i="13"/>
  <c r="N45" i="13"/>
  <c r="M43" i="13"/>
  <c r="M44" i="13"/>
  <c r="O44" i="13"/>
  <c r="L44" i="13"/>
  <c r="L42" i="13"/>
  <c r="M42" i="13"/>
  <c r="N42" i="13"/>
  <c r="O45" i="13"/>
  <c r="N43" i="13"/>
  <c r="M45" i="13"/>
  <c r="O43" i="13"/>
  <c r="D54" i="1"/>
  <c r="E58" i="1"/>
  <c r="G50" i="13" a="1"/>
  <c r="C58" i="1"/>
  <c r="B7" i="2" s="1"/>
  <c r="C21" i="13"/>
  <c r="I44" i="13" s="1"/>
  <c r="Q47" i="13" s="1"/>
  <c r="E52" i="1"/>
  <c r="C57" i="1"/>
  <c r="E57" i="1"/>
  <c r="D57" i="1"/>
  <c r="B57" i="1"/>
  <c r="D61" i="1"/>
  <c r="D62" i="1" s="1"/>
  <c r="E60" i="1"/>
  <c r="C54" i="1"/>
  <c r="B54" i="1"/>
  <c r="C7" i="2" l="1"/>
  <c r="C8" i="2" s="1"/>
  <c r="C4" i="6" s="1"/>
  <c r="C2" i="9" s="1"/>
  <c r="D53" i="1"/>
  <c r="B8" i="2"/>
  <c r="B4" i="6" s="1"/>
  <c r="C53" i="1"/>
  <c r="B53" i="1"/>
  <c r="E53" i="1"/>
  <c r="G50" i="13"/>
  <c r="G53" i="13"/>
  <c r="G51" i="13"/>
  <c r="G52" i="13"/>
  <c r="B9" i="2" l="1"/>
  <c r="B3" i="13" s="1"/>
  <c r="B2" i="9"/>
  <c r="B3" i="9" s="1"/>
  <c r="B10" i="13" s="1"/>
  <c r="C18" i="13" s="1"/>
  <c r="I45" i="13" s="1"/>
  <c r="R47" i="13" s="1"/>
  <c r="B5" i="6"/>
  <c r="B7" i="13" l="1"/>
  <c r="C19" i="13" s="1"/>
  <c r="E8" i="12" l="1"/>
  <c r="B8" i="12"/>
  <c r="D8" i="12"/>
  <c r="A26" i="13"/>
  <c r="C16" i="13"/>
  <c r="B9" i="12" l="1"/>
  <c r="B13" i="13" s="1"/>
  <c r="I41" i="13"/>
  <c r="C17" i="13"/>
  <c r="I39" i="13"/>
  <c r="A27" i="13"/>
  <c r="C26" i="13"/>
  <c r="A28" i="13" l="1"/>
  <c r="C27" i="13"/>
  <c r="R38" i="13"/>
  <c r="P38" i="13"/>
  <c r="Q38" i="13"/>
  <c r="C20" i="13"/>
  <c r="I43" i="13" s="1"/>
  <c r="P47" i="13" s="1"/>
  <c r="I40" i="13"/>
  <c r="I38" i="13"/>
  <c r="Q40" i="13"/>
  <c r="P40" i="13"/>
  <c r="Q37" i="13" l="1"/>
  <c r="P37" i="13"/>
  <c r="R37" i="13"/>
  <c r="Q39" i="13"/>
  <c r="P39" i="13"/>
  <c r="A29" i="13"/>
  <c r="C28" i="13"/>
  <c r="P42" i="13" l="1" a="1"/>
  <c r="P42" i="13" s="1"/>
  <c r="A30" i="13"/>
  <c r="C29" i="13"/>
  <c r="R42" i="13" l="1"/>
  <c r="Q45" i="13"/>
  <c r="Q42" i="13"/>
  <c r="S45" i="13"/>
  <c r="S42" i="13"/>
  <c r="S44" i="13"/>
  <c r="P43" i="13"/>
  <c r="S43" i="13"/>
  <c r="Q43" i="13"/>
  <c r="P45" i="13"/>
  <c r="R43" i="13"/>
  <c r="Q44" i="13"/>
  <c r="P44" i="13"/>
  <c r="R44" i="13"/>
  <c r="R45" i="13"/>
  <c r="A31" i="13"/>
  <c r="C30" i="13"/>
  <c r="H50" i="13" l="1" a="1"/>
  <c r="H50" i="13" s="1"/>
  <c r="A32" i="13"/>
  <c r="C31" i="13"/>
  <c r="H52" i="13" l="1"/>
  <c r="H51" i="13"/>
  <c r="H53" i="13"/>
  <c r="A33" i="13"/>
  <c r="C32" i="13"/>
  <c r="C52" i="13" l="1"/>
  <c r="I57" i="13"/>
  <c r="A34" i="13"/>
  <c r="B34" i="13" s="1"/>
  <c r="C33" i="13"/>
  <c r="C34" i="13" l="1"/>
  <c r="A35" i="13"/>
  <c r="B35" i="13" s="1"/>
  <c r="C35" i="13" l="1"/>
  <c r="A36" i="13"/>
  <c r="B36" i="13" l="1"/>
  <c r="A37" i="13"/>
  <c r="C36" i="13"/>
  <c r="C37" i="13" l="1"/>
  <c r="A38" i="13"/>
  <c r="B37" i="13"/>
  <c r="C38" i="13" l="1"/>
  <c r="A39" i="13"/>
  <c r="B38" i="13"/>
  <c r="C39" i="13" l="1"/>
  <c r="A40" i="13"/>
  <c r="B39" i="13"/>
  <c r="A41" i="13" l="1"/>
  <c r="C40" i="13"/>
  <c r="B40" i="13"/>
  <c r="C41" i="13" l="1"/>
  <c r="B41" i="13"/>
  <c r="A42" i="13"/>
  <c r="A44" i="13" s="1"/>
  <c r="B44" i="13" l="1"/>
  <c r="C44" i="13"/>
  <c r="B42" i="13"/>
  <c r="C42" i="13"/>
  <c r="A45" i="13" l="1"/>
  <c r="C45" i="13" s="1"/>
  <c r="B45" i="13" l="1"/>
  <c r="A46" i="13"/>
  <c r="C46" i="13" s="1"/>
  <c r="A47" i="13" l="1"/>
  <c r="B46" i="13"/>
  <c r="B47" i="13" l="1"/>
  <c r="C47" i="13"/>
  <c r="A48" i="13"/>
  <c r="B48" i="13" l="1"/>
  <c r="C48" i="13"/>
  <c r="A49" i="13"/>
  <c r="B49" i="13" l="1"/>
  <c r="C49" i="13"/>
  <c r="A50" i="13"/>
  <c r="B50" i="13" l="1"/>
  <c r="C50" i="13"/>
  <c r="A51" i="13"/>
  <c r="B51" i="13" l="1"/>
  <c r="C51" i="13"/>
  <c r="A53" i="13"/>
  <c r="B53" i="13" l="1"/>
  <c r="C53" i="13"/>
  <c r="A54" i="13"/>
  <c r="C54" i="13" s="1"/>
  <c r="B54" i="13" l="1"/>
  <c r="A55" i="13"/>
  <c r="C55" i="13" s="1"/>
  <c r="B55" i="13" l="1"/>
  <c r="A56" i="13"/>
  <c r="B56" i="13" s="1"/>
  <c r="A57" i="13" l="1"/>
  <c r="B57" i="13" s="1"/>
  <c r="A58" i="13" l="1"/>
  <c r="B58" i="13" s="1"/>
  <c r="A59" i="13" l="1"/>
  <c r="B59" i="13" s="1"/>
  <c r="A60" i="13" l="1"/>
  <c r="B60" i="13" s="1"/>
  <c r="A61" i="13" l="1"/>
  <c r="A62" i="13" l="1"/>
  <c r="A63" i="13" s="1"/>
  <c r="A64" i="13" s="1"/>
  <c r="A65" i="13" s="1"/>
  <c r="A66" i="13" s="1"/>
  <c r="A67" i="1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To be used for the calculation of the ΔCm_c/4</t>
        </r>
      </text>
    </comment>
    <comment ref="A37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Extension ratio</t>
        </r>
      </text>
    </comment>
    <comment ref="A4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4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5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6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47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3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4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5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6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  <comment ref="A57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Only for the wing representation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6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5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
</t>
        </r>
      </text>
    </comment>
    <comment ref="A3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Form chart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3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4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A5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6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  <comment ref="A7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From chart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 xml:space="preserve">Vittorio </author>
  </authors>
  <commentList>
    <comment ref="H36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to be modifiesd for each case</t>
        </r>
      </text>
    </comment>
    <comment ref="G48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Vittorio 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to be modifiesd for each case</t>
        </r>
      </text>
    </comment>
  </commentList>
</comments>
</file>

<file path=xl/sharedStrings.xml><?xml version="1.0" encoding="utf-8"?>
<sst xmlns="http://schemas.openxmlformats.org/spreadsheetml/2006/main" count="206" uniqueCount="168">
  <si>
    <t>INPUT</t>
  </si>
  <si>
    <t>Operating Condition</t>
  </si>
  <si>
    <t>α (deg)</t>
  </si>
  <si>
    <t>Wing Geometry</t>
  </si>
  <si>
    <t>AR</t>
  </si>
  <si>
    <r>
      <t xml:space="preserve">S </t>
    </r>
    <r>
      <rPr>
        <b/>
        <sz val="8"/>
        <color theme="1"/>
        <rFont val="Calibri"/>
        <family val="2"/>
      </rPr>
      <t>(m</t>
    </r>
    <r>
      <rPr>
        <b/>
        <vertAlign val="superscript"/>
        <sz val="8"/>
        <color theme="1"/>
        <rFont val="Calibri"/>
        <family val="2"/>
      </rPr>
      <t>2</t>
    </r>
    <r>
      <rPr>
        <b/>
        <sz val="8"/>
        <color theme="1"/>
        <rFont val="Calibri"/>
        <family val="2"/>
      </rPr>
      <t>)</t>
    </r>
  </si>
  <si>
    <r>
      <t>C</t>
    </r>
    <r>
      <rPr>
        <b/>
        <vertAlign val="subscript"/>
        <sz val="11"/>
        <color theme="1"/>
        <rFont val="Calibri"/>
        <family val="2"/>
      </rPr>
      <t xml:space="preserve">root_equivalent </t>
    </r>
    <r>
      <rPr>
        <b/>
        <sz val="8"/>
        <color theme="1"/>
        <rFont val="Calibri"/>
        <family val="2"/>
      </rPr>
      <t>(m)</t>
    </r>
  </si>
  <si>
    <r>
      <t>Λ</t>
    </r>
    <r>
      <rPr>
        <b/>
        <vertAlign val="subscript"/>
        <sz val="11"/>
        <color theme="1"/>
        <rFont val="Calibri"/>
        <family val="2"/>
      </rPr>
      <t xml:space="preserve">LE_equivalent </t>
    </r>
    <r>
      <rPr>
        <b/>
        <sz val="8"/>
        <color theme="1"/>
        <rFont val="Calibri"/>
        <family val="2"/>
      </rPr>
      <t>(deg)</t>
    </r>
  </si>
  <si>
    <r>
      <t>Λ</t>
    </r>
    <r>
      <rPr>
        <b/>
        <vertAlign val="subscript"/>
        <sz val="11"/>
        <color theme="1"/>
        <rFont val="Calibri"/>
        <family val="2"/>
      </rPr>
      <t xml:space="preserve">c/4_equivalent </t>
    </r>
    <r>
      <rPr>
        <b/>
        <sz val="8"/>
        <color theme="1"/>
        <rFont val="Calibri"/>
        <family val="2"/>
      </rPr>
      <t>(deg)</t>
    </r>
  </si>
  <si>
    <r>
      <t>λ</t>
    </r>
    <r>
      <rPr>
        <b/>
        <vertAlign val="subscript"/>
        <sz val="11"/>
        <color theme="1"/>
        <rFont val="Calibri"/>
        <family val="2"/>
      </rPr>
      <t>_equivalent</t>
    </r>
  </si>
  <si>
    <t>Clean configuration aerodynamics</t>
  </si>
  <si>
    <r>
      <t>α</t>
    </r>
    <r>
      <rPr>
        <b/>
        <vertAlign val="subscript"/>
        <sz val="11"/>
        <color theme="1"/>
        <rFont val="Calibri"/>
        <family val="2"/>
      </rPr>
      <t xml:space="preserve">stall </t>
    </r>
    <r>
      <rPr>
        <b/>
        <sz val="8"/>
        <color theme="1"/>
        <rFont val="Calibri"/>
        <family val="2"/>
      </rPr>
      <t>(deg)</t>
    </r>
  </si>
  <si>
    <r>
      <t>α</t>
    </r>
    <r>
      <rPr>
        <b/>
        <vertAlign val="superscript"/>
        <sz val="11"/>
        <color theme="1"/>
        <rFont val="Calibri"/>
        <family val="2"/>
      </rPr>
      <t xml:space="preserve">* </t>
    </r>
    <r>
      <rPr>
        <b/>
        <sz val="8"/>
        <color theme="1"/>
        <rFont val="Calibri"/>
        <family val="2"/>
      </rPr>
      <t>(deg)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</si>
  <si>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 xml:space="preserve">Lα </t>
    </r>
    <r>
      <rPr>
        <b/>
        <sz val="8"/>
        <color theme="1"/>
        <rFont val="Calibri"/>
        <family val="2"/>
        <scheme val="minor"/>
      </rPr>
      <t>(1/deg)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</si>
  <si>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 xml:space="preserve">L0 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</si>
  <si>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perscript"/>
        <sz val="11"/>
        <color theme="1"/>
        <rFont val="Calibri"/>
        <family val="2"/>
        <scheme val="minor"/>
      </rPr>
      <t>*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</si>
  <si>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Lmax</t>
    </r>
  </si>
  <si>
    <t>Airfoils data</t>
  </si>
  <si>
    <r>
      <t xml:space="preserve">y </t>
    </r>
    <r>
      <rPr>
        <b/>
        <sz val="8"/>
        <color theme="1"/>
        <rFont val="Calibri"/>
        <family val="2"/>
        <scheme val="minor"/>
      </rPr>
      <t>(m)</t>
    </r>
  </si>
  <si>
    <r>
      <t xml:space="preserve">c(y) </t>
    </r>
    <r>
      <rPr>
        <b/>
        <sz val="8"/>
        <color theme="1"/>
        <rFont val="Calibri"/>
        <family val="2"/>
        <scheme val="minor"/>
      </rPr>
      <t>(m)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</si>
  <si>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_max</t>
    </r>
    <r>
      <rPr>
        <b/>
        <sz val="11"/>
        <color theme="1"/>
        <rFont val="Calibri"/>
        <family val="2"/>
        <scheme val="minor"/>
      </rPr>
      <t xml:space="preserve"> (y)</t>
    </r>
  </si>
  <si>
    <r>
      <t xml:space="preserve">LE radius (y) </t>
    </r>
    <r>
      <rPr>
        <b/>
        <sz val="8"/>
        <color theme="1"/>
        <rFont val="Calibri"/>
        <family val="2"/>
        <scheme val="minor"/>
      </rPr>
      <t>(m)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</si>
  <si>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</t>
    </r>
    <r>
      <rPr>
        <b/>
        <sz val="11"/>
        <color theme="1"/>
        <rFont val="Calibri"/>
        <family val="2"/>
      </rPr>
      <t>(y)</t>
    </r>
    <r>
      <rPr>
        <b/>
        <sz val="8"/>
        <color theme="1"/>
        <rFont val="Calibri"/>
        <family val="2"/>
      </rPr>
      <t xml:space="preserve"> (1/deg)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</si>
  <si>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</t>
    </r>
    <r>
      <rPr>
        <b/>
        <sz val="11"/>
        <color theme="1"/>
        <rFont val="Calibri"/>
        <family val="2"/>
      </rPr>
      <t>(y)</t>
    </r>
  </si>
  <si>
    <t>Airfoil Family</t>
  </si>
  <si>
    <t>Flaps Data</t>
  </si>
  <si>
    <t>FLAP TYPE</t>
  </si>
  <si>
    <t>FLAP 1</t>
  </si>
  <si>
    <t>FLAP 2</t>
  </si>
  <si>
    <t>FLAP 3</t>
  </si>
  <si>
    <t>FLAP 4</t>
  </si>
  <si>
    <t>SINGLE_SLOTTED</t>
  </si>
  <si>
    <t>Flap Type</t>
  </si>
  <si>
    <t>DOUBLE_SLOTTED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</si>
  <si>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sz val="11"/>
        <color theme="1"/>
        <rFont val="Calibri"/>
        <family val="2"/>
        <scheme val="minor"/>
      </rPr>
      <t>/c</t>
    </r>
  </si>
  <si>
    <t>TRIPLE_SLOTTED</t>
  </si>
  <si>
    <r>
      <t>δ</t>
    </r>
    <r>
      <rPr>
        <b/>
        <vertAlign val="subscript"/>
        <sz val="11"/>
        <color theme="1"/>
        <rFont val="Calibri"/>
        <family val="2"/>
        <scheme val="minor"/>
      </rPr>
      <t>f</t>
    </r>
    <r>
      <rPr>
        <b/>
        <vertAlign val="subscript"/>
        <sz val="9"/>
        <color theme="1"/>
        <rFont val="Calibri"/>
        <family val="2"/>
        <scheme val="minor"/>
      </rPr>
      <t xml:space="preserve"> </t>
    </r>
    <r>
      <rPr>
        <b/>
        <sz val="8"/>
        <color theme="1"/>
        <rFont val="Calibri"/>
        <family val="2"/>
        <scheme val="minor"/>
      </rPr>
      <t>(deg)</t>
    </r>
  </si>
  <si>
    <t>FOWLER</t>
  </si>
  <si>
    <r>
      <t>η</t>
    </r>
    <r>
      <rPr>
        <b/>
        <vertAlign val="subscript"/>
        <sz val="11"/>
        <color theme="1"/>
        <rFont val="Calibri"/>
        <family val="2"/>
        <scheme val="minor"/>
      </rPr>
      <t>in</t>
    </r>
  </si>
  <si>
    <t>OPTIMIZED_FOWLER</t>
  </si>
  <si>
    <r>
      <t>η</t>
    </r>
    <r>
      <rPr>
        <b/>
        <vertAlign val="subscript"/>
        <sz val="11"/>
        <color theme="1"/>
        <rFont val="Calibri"/>
        <family val="2"/>
        <scheme val="minor"/>
      </rPr>
      <t>out</t>
    </r>
  </si>
  <si>
    <t>PLAIN</t>
  </si>
  <si>
    <t>Slats Data (eventually)</t>
  </si>
  <si>
    <t>SLAT 1</t>
  </si>
  <si>
    <t>SLAT 2</t>
  </si>
  <si>
    <t>SLAT 3</t>
  </si>
  <si>
    <t>SLAT 4</t>
  </si>
  <si>
    <r>
      <t>δ</t>
    </r>
    <r>
      <rPr>
        <b/>
        <vertAlign val="subscript"/>
        <sz val="11"/>
        <color theme="1"/>
        <rFont val="Calibri"/>
        <family val="2"/>
        <scheme val="minor"/>
      </rPr>
      <t xml:space="preserve">s </t>
    </r>
    <r>
      <rPr>
        <b/>
        <sz val="8"/>
        <color theme="1"/>
        <rFont val="Calibri"/>
        <family val="2"/>
        <scheme val="minor"/>
      </rPr>
      <t>(deg)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</si>
  <si>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s</t>
    </r>
    <r>
      <rPr>
        <b/>
        <sz val="11"/>
        <color theme="1"/>
        <rFont val="Calibri"/>
        <family val="2"/>
        <scheme val="minor"/>
      </rPr>
      <t>/c</t>
    </r>
  </si>
  <si>
    <t>c'/c</t>
  </si>
  <si>
    <t>Plot data</t>
  </si>
  <si>
    <r>
      <t>y</t>
    </r>
    <r>
      <rPr>
        <b/>
        <vertAlign val="subscript"/>
        <sz val="11"/>
        <color theme="1"/>
        <rFont val="Calibri"/>
        <family val="2"/>
        <scheme val="minor"/>
      </rPr>
      <t xml:space="preserve">_flaps </t>
    </r>
    <r>
      <rPr>
        <b/>
        <sz val="8"/>
        <color theme="1"/>
        <rFont val="Calibri"/>
        <family val="2"/>
        <scheme val="minor"/>
      </rPr>
      <t>(m)</t>
    </r>
  </si>
  <si>
    <r>
      <t>y</t>
    </r>
    <r>
      <rPr>
        <b/>
        <vertAlign val="subscript"/>
        <sz val="11"/>
        <color theme="1"/>
        <rFont val="Calibri"/>
        <family val="2"/>
        <scheme val="minor"/>
      </rPr>
      <t xml:space="preserve">_slats </t>
    </r>
    <r>
      <rPr>
        <b/>
        <sz val="8"/>
        <color theme="1"/>
        <rFont val="Calibri"/>
        <family val="2"/>
        <scheme val="minor"/>
      </rPr>
      <t>(m)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</si>
  <si>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</si>
  <si>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</si>
  <si>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t>Interpolated airfoil data on flaps and slats stations</t>
  </si>
  <si>
    <t>FLAP/SLAT 1</t>
  </si>
  <si>
    <t>FLAP/SLAT 2</t>
  </si>
  <si>
    <t>FLAP/SLAT 3</t>
  </si>
  <si>
    <t>FLAP/SLAT 4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</si>
  <si>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_flap_stations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</si>
  <si>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LE_flap_stations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</si>
  <si>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TE_flap_stations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</si>
  <si>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</si>
  <si>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LE_slat_stations</t>
    </r>
  </si>
  <si>
    <r>
      <t>X</t>
    </r>
    <r>
      <rPr>
        <b/>
        <vertAlign val="subscript"/>
        <sz val="11"/>
        <color theme="1"/>
        <rFont val="Calibri"/>
        <family val="2"/>
        <scheme val="minor"/>
      </rPr>
      <t>TE_slats_stations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</si>
  <si>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α_flap_stations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</si>
  <si>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l0_flap_stations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</si>
  <si>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_flap_stations</t>
    </r>
  </si>
  <si>
    <r>
      <t>t/c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</si>
  <si>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r>
      <t>LE radius / thickness</t>
    </r>
    <r>
      <rPr>
        <b/>
        <vertAlign val="subscript"/>
        <sz val="11"/>
        <color theme="1"/>
        <rFont val="Calibri"/>
        <family val="2"/>
        <scheme val="minor"/>
      </rPr>
      <t>_slat_stations</t>
    </r>
  </si>
  <si>
    <t>LINEAR REGRESSIONS</t>
  </si>
  <si>
    <t>Variables</t>
  </si>
  <si>
    <t>Panel 1</t>
  </si>
  <si>
    <t>Panel 2</t>
  </si>
  <si>
    <t>slope</t>
  </si>
  <si>
    <t>constant</t>
  </si>
  <si>
    <r>
      <t>C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vertAlign val="subscript"/>
        <sz val="11"/>
        <color theme="1"/>
        <rFont val="Calibri"/>
        <family val="2"/>
      </rPr>
      <t>α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</si>
  <si>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r>
      <t>C</t>
    </r>
    <r>
      <rPr>
        <b/>
        <vertAlign val="subscript"/>
        <sz val="11"/>
        <color theme="1"/>
        <rFont val="Calibri"/>
        <family val="2"/>
        <scheme val="minor"/>
      </rPr>
      <t>l0</t>
    </r>
    <r>
      <rPr>
        <b/>
        <sz val="11"/>
        <color theme="1"/>
        <rFont val="Calibri"/>
        <family val="2"/>
        <scheme val="minor"/>
      </rPr>
      <t>(y</t>
    </r>
    <r>
      <rPr>
        <b/>
        <sz val="11"/>
        <color theme="1"/>
        <rFont val="Calibri"/>
        <family val="2"/>
      </rPr>
      <t>)</t>
    </r>
  </si>
  <si>
    <t>t/c(y)</t>
  </si>
  <si>
    <t>LE radius (y)</t>
  </si>
  <si>
    <t>MEAN AIRFOIL INFLUENCE COEFFICIENTS</t>
  </si>
  <si>
    <t>C1</t>
  </si>
  <si>
    <t>C2</t>
  </si>
  <si>
    <t>C3</t>
  </si>
  <si>
    <t>FLAPS (each column is for one flap)</t>
  </si>
  <si>
    <r>
      <t>Δc/c</t>
    </r>
    <r>
      <rPr>
        <b/>
        <vertAlign val="subscript"/>
        <sz val="16"/>
        <color theme="1"/>
        <rFont val="Calibri"/>
        <family val="2"/>
      </rPr>
      <t>f</t>
    </r>
  </si>
  <si>
    <r>
      <t>θ</t>
    </r>
    <r>
      <rPr>
        <b/>
        <vertAlign val="subscript"/>
        <sz val="16"/>
        <color theme="1"/>
        <rFont val="Calibri"/>
        <family val="2"/>
      </rPr>
      <t>f</t>
    </r>
  </si>
  <si>
    <r>
      <t>α</t>
    </r>
    <r>
      <rPr>
        <b/>
        <vertAlign val="subscript"/>
        <sz val="16"/>
        <color theme="1"/>
        <rFont val="Calibri"/>
        <family val="2"/>
      </rPr>
      <t>δ</t>
    </r>
  </si>
  <si>
    <r>
      <t>η</t>
    </r>
    <r>
      <rPr>
        <b/>
        <vertAlign val="subscript"/>
        <sz val="16"/>
        <color theme="1"/>
        <rFont val="Calibri"/>
        <family val="2"/>
      </rPr>
      <t>δ</t>
    </r>
  </si>
  <si>
    <r>
      <t>ΔC</t>
    </r>
    <r>
      <rPr>
        <b/>
        <vertAlign val="subscript"/>
        <sz val="16"/>
        <color theme="1"/>
        <rFont val="Calibri"/>
        <family val="2"/>
      </rPr>
      <t>l0</t>
    </r>
    <r>
      <rPr>
        <b/>
        <sz val="16"/>
        <color theme="1"/>
        <rFont val="Calibri"/>
        <family val="2"/>
      </rPr>
      <t>'</t>
    </r>
  </si>
  <si>
    <r>
      <t>ΔC</t>
    </r>
    <r>
      <rPr>
        <b/>
        <vertAlign val="subscript"/>
        <sz val="22"/>
        <color theme="1"/>
        <rFont val="Calibri"/>
        <family val="2"/>
      </rPr>
      <t>l0</t>
    </r>
  </si>
  <si>
    <r>
      <t>ΔC</t>
    </r>
    <r>
      <rPr>
        <b/>
        <vertAlign val="subscript"/>
        <sz val="22"/>
        <color theme="1"/>
        <rFont val="Calibri"/>
        <family val="2"/>
      </rPr>
      <t>l0_TOT</t>
    </r>
  </si>
  <si>
    <r>
      <t>Δc</t>
    </r>
    <r>
      <rPr>
        <b/>
        <vertAlign val="subscript"/>
        <sz val="16"/>
        <color theme="1"/>
        <rFont val="Calibri"/>
        <family val="2"/>
      </rPr>
      <t>lmax,base</t>
    </r>
  </si>
  <si>
    <t>K1</t>
  </si>
  <si>
    <t>K2</t>
  </si>
  <si>
    <t>K3</t>
  </si>
  <si>
    <r>
      <t>ΔC</t>
    </r>
    <r>
      <rPr>
        <b/>
        <vertAlign val="subscript"/>
        <sz val="22"/>
        <color theme="1"/>
        <rFont val="Calibri"/>
        <family val="2"/>
      </rPr>
      <t>lmax</t>
    </r>
  </si>
  <si>
    <r>
      <t>ΔC</t>
    </r>
    <r>
      <rPr>
        <b/>
        <vertAlign val="subscript"/>
        <sz val="22"/>
        <color theme="1"/>
        <rFont val="Calibri"/>
        <family val="2"/>
      </rPr>
      <t>lmax_TOT</t>
    </r>
  </si>
  <si>
    <t>SLATS (each column is for one slat)</t>
  </si>
  <si>
    <r>
      <t>(dCl/dδ)</t>
    </r>
    <r>
      <rPr>
        <b/>
        <vertAlign val="subscript"/>
        <sz val="16"/>
        <color theme="1"/>
        <rFont val="Calibri"/>
        <family val="2"/>
      </rPr>
      <t>max</t>
    </r>
  </si>
  <si>
    <r>
      <t>η</t>
    </r>
    <r>
      <rPr>
        <b/>
        <vertAlign val="subscript"/>
        <sz val="12.8"/>
        <color theme="1"/>
        <rFont val="Calibri"/>
        <family val="2"/>
      </rPr>
      <t>max</t>
    </r>
  </si>
  <si>
    <t>Kb</t>
  </si>
  <si>
    <t>Kc</t>
  </si>
  <si>
    <r>
      <t>ΔC</t>
    </r>
    <r>
      <rPr>
        <b/>
        <vertAlign val="subscript"/>
        <sz val="22"/>
        <color theme="1"/>
        <rFont val="Calibri"/>
        <family val="2"/>
      </rPr>
      <t>L0</t>
    </r>
  </si>
  <si>
    <r>
      <t>ΔC</t>
    </r>
    <r>
      <rPr>
        <b/>
        <vertAlign val="subscript"/>
        <sz val="22"/>
        <color theme="1"/>
        <rFont val="Calibri"/>
        <family val="2"/>
      </rPr>
      <t>L0_TOT</t>
    </r>
  </si>
  <si>
    <r>
      <t>S</t>
    </r>
    <r>
      <rPr>
        <b/>
        <vertAlign val="subscript"/>
        <sz val="16"/>
        <color theme="1"/>
        <rFont val="Calibri"/>
        <family val="2"/>
      </rPr>
      <t>wf</t>
    </r>
  </si>
  <si>
    <r>
      <t>K</t>
    </r>
    <r>
      <rPr>
        <b/>
        <vertAlign val="subscript"/>
        <sz val="16"/>
        <color theme="1"/>
        <rFont val="Calibri"/>
        <family val="2"/>
      </rPr>
      <t>Λ</t>
    </r>
  </si>
  <si>
    <r>
      <t>ΔC</t>
    </r>
    <r>
      <rPr>
        <b/>
        <vertAlign val="subscript"/>
        <sz val="22"/>
        <color theme="1"/>
        <rFont val="Calibri"/>
        <family val="2"/>
      </rPr>
      <t>Lmax</t>
    </r>
  </si>
  <si>
    <r>
      <t>ΔC</t>
    </r>
    <r>
      <rPr>
        <b/>
        <vertAlign val="subscript"/>
        <sz val="22"/>
        <color theme="1"/>
        <rFont val="Calibri"/>
        <family val="2"/>
      </rPr>
      <t>Lmax_TOT</t>
    </r>
  </si>
  <si>
    <r>
      <t>C</t>
    </r>
    <r>
      <rPr>
        <b/>
        <vertAlign val="subscript"/>
        <sz val="22"/>
        <color theme="1"/>
        <rFont val="Calibri"/>
        <family val="2"/>
      </rPr>
      <t>Lα</t>
    </r>
  </si>
  <si>
    <r>
      <t>C</t>
    </r>
    <r>
      <rPr>
        <b/>
        <vertAlign val="subscript"/>
        <sz val="22"/>
        <color theme="1"/>
        <rFont val="Calibri"/>
        <family val="2"/>
      </rPr>
      <t>Lα_TOT</t>
    </r>
  </si>
  <si>
    <t>t/c (mean airfoil)</t>
  </si>
  <si>
    <t>Δy/c</t>
  </si>
  <si>
    <r>
      <t>Δα</t>
    </r>
    <r>
      <rPr>
        <b/>
        <vertAlign val="subscript"/>
        <sz val="22"/>
        <color theme="1"/>
        <rFont val="Calibri"/>
        <family val="2"/>
      </rPr>
      <t>max</t>
    </r>
  </si>
  <si>
    <r>
      <t>δ</t>
    </r>
    <r>
      <rPr>
        <b/>
        <vertAlign val="subscript"/>
        <sz val="16"/>
        <color theme="1"/>
        <rFont val="Calibri"/>
        <family val="2"/>
      </rPr>
      <t>1</t>
    </r>
  </si>
  <si>
    <r>
      <t>δ</t>
    </r>
    <r>
      <rPr>
        <b/>
        <vertAlign val="subscript"/>
        <sz val="16"/>
        <color theme="1"/>
        <rFont val="Calibri"/>
        <family val="2"/>
      </rPr>
      <t>2</t>
    </r>
  </si>
  <si>
    <r>
      <t>δ</t>
    </r>
    <r>
      <rPr>
        <b/>
        <vertAlign val="subscript"/>
        <sz val="16"/>
        <color theme="1"/>
        <rFont val="Calibri"/>
        <family val="2"/>
      </rPr>
      <t>3</t>
    </r>
  </si>
  <si>
    <r>
      <t>ΔC</t>
    </r>
    <r>
      <rPr>
        <b/>
        <vertAlign val="subscript"/>
        <sz val="22"/>
        <color theme="1"/>
        <rFont val="Calibri"/>
        <family val="2"/>
      </rPr>
      <t>D0</t>
    </r>
  </si>
  <si>
    <r>
      <t>ΔC</t>
    </r>
    <r>
      <rPr>
        <b/>
        <vertAlign val="subscript"/>
        <sz val="22"/>
        <color theme="1"/>
        <rFont val="Calibri"/>
        <family val="2"/>
      </rPr>
      <t>D0_TOT</t>
    </r>
  </si>
  <si>
    <r>
      <t>C</t>
    </r>
    <r>
      <rPr>
        <b/>
        <vertAlign val="subscript"/>
        <sz val="14"/>
        <rFont val="Calibri"/>
        <family val="2"/>
      </rPr>
      <t>L</t>
    </r>
  </si>
  <si>
    <r>
      <t>μ</t>
    </r>
    <r>
      <rPr>
        <b/>
        <vertAlign val="subscript"/>
        <sz val="14"/>
        <rFont val="Calibri"/>
        <family val="2"/>
      </rPr>
      <t>1</t>
    </r>
  </si>
  <si>
    <r>
      <t>μ</t>
    </r>
    <r>
      <rPr>
        <b/>
        <vertAlign val="subscript"/>
        <sz val="14"/>
        <rFont val="Calibri"/>
        <family val="2"/>
      </rPr>
      <t>2</t>
    </r>
  </si>
  <si>
    <r>
      <t>μ</t>
    </r>
    <r>
      <rPr>
        <b/>
        <vertAlign val="subscript"/>
        <sz val="14"/>
        <rFont val="Calibri"/>
        <family val="2"/>
      </rPr>
      <t>3</t>
    </r>
  </si>
  <si>
    <r>
      <t>ΔC</t>
    </r>
    <r>
      <rPr>
        <b/>
        <vertAlign val="subscript"/>
        <sz val="22"/>
        <color theme="1"/>
        <rFont val="Calibri"/>
        <family val="2"/>
      </rPr>
      <t>m_c/4</t>
    </r>
  </si>
  <si>
    <r>
      <t>ΔC</t>
    </r>
    <r>
      <rPr>
        <b/>
        <vertAlign val="subscript"/>
        <sz val="22"/>
        <color theme="1"/>
        <rFont val="Calibri"/>
        <family val="2"/>
      </rPr>
      <t>m_c/4_TOT</t>
    </r>
  </si>
  <si>
    <t>High Lift Devices Effects</t>
  </si>
  <si>
    <t>2D</t>
  </si>
  <si>
    <r>
      <t>ΔC</t>
    </r>
    <r>
      <rPr>
        <b/>
        <vertAlign val="subscript"/>
        <sz val="22"/>
        <color theme="1"/>
        <rFont val="Calibri"/>
        <family val="2"/>
      </rPr>
      <t>lmax_flaps</t>
    </r>
  </si>
  <si>
    <r>
      <t>ΔC</t>
    </r>
    <r>
      <rPr>
        <b/>
        <vertAlign val="subscript"/>
        <sz val="22"/>
        <color theme="1"/>
        <rFont val="Calibri"/>
        <family val="2"/>
      </rPr>
      <t>lmax_slats</t>
    </r>
  </si>
  <si>
    <t>3D</t>
  </si>
  <si>
    <r>
      <t>ΔC</t>
    </r>
    <r>
      <rPr>
        <b/>
        <vertAlign val="subscript"/>
        <sz val="22"/>
        <color theme="1"/>
        <rFont val="Calibri"/>
        <family val="2"/>
        <scheme val="minor"/>
      </rPr>
      <t>Lmax_flaps</t>
    </r>
  </si>
  <si>
    <r>
      <t>ΔC</t>
    </r>
    <r>
      <rPr>
        <b/>
        <vertAlign val="subscript"/>
        <sz val="22"/>
        <color theme="1"/>
        <rFont val="Calibri"/>
        <family val="2"/>
        <scheme val="minor"/>
      </rPr>
      <t>Lmax_slats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</si>
  <si>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</t>
    </r>
    <r>
      <rPr>
        <b/>
        <vertAlign val="subscript"/>
        <sz val="22"/>
        <color theme="1"/>
        <rFont val="Calibri"/>
        <family val="2"/>
      </rPr>
      <t xml:space="preserve">α_flaps_down </t>
    </r>
    <r>
      <rPr>
        <b/>
        <sz val="22"/>
        <color theme="1"/>
        <rFont val="Calibri"/>
        <family val="2"/>
      </rPr>
      <t>(1/deg)</t>
    </r>
  </si>
  <si>
    <r>
      <t>Δ</t>
    </r>
    <r>
      <rPr>
        <b/>
        <sz val="22"/>
        <color theme="1"/>
        <rFont val="Calibri"/>
        <family val="2"/>
      </rPr>
      <t>α</t>
    </r>
    <r>
      <rPr>
        <b/>
        <vertAlign val="subscript"/>
        <sz val="22"/>
        <color theme="1"/>
        <rFont val="Calibri"/>
        <family val="2"/>
      </rPr>
      <t xml:space="preserve">stall </t>
    </r>
    <r>
      <rPr>
        <b/>
        <sz val="22"/>
        <color theme="1"/>
        <rFont val="Calibri"/>
        <family val="2"/>
      </rPr>
      <t>(deg)</t>
    </r>
  </si>
  <si>
    <r>
      <t>ΔC</t>
    </r>
    <r>
      <rPr>
        <b/>
        <vertAlign val="subscript"/>
        <sz val="22"/>
        <color theme="1"/>
        <rFont val="Calibri"/>
        <family val="2"/>
      </rPr>
      <t>mc/4</t>
    </r>
  </si>
  <si>
    <t>CLEAN</t>
  </si>
  <si>
    <t>HIGH LIFT</t>
  </si>
  <si>
    <r>
      <t>α</t>
    </r>
    <r>
      <rPr>
        <b/>
        <vertAlign val="subscript"/>
        <sz val="22"/>
        <color theme="1"/>
        <rFont val="Calibri"/>
        <family val="2"/>
      </rPr>
      <t xml:space="preserve">stall </t>
    </r>
    <r>
      <rPr>
        <b/>
        <sz val="22"/>
        <color theme="1"/>
        <rFont val="Calibri"/>
        <family val="2"/>
      </rPr>
      <t>(deg)</t>
    </r>
  </si>
  <si>
    <r>
      <t>α</t>
    </r>
    <r>
      <rPr>
        <b/>
        <vertAlign val="superscript"/>
        <sz val="22"/>
        <color theme="1"/>
        <rFont val="Calibri"/>
        <family val="2"/>
      </rPr>
      <t xml:space="preserve">* </t>
    </r>
    <r>
      <rPr>
        <b/>
        <sz val="22"/>
        <color theme="1"/>
        <rFont val="Calibri"/>
        <family val="2"/>
      </rPr>
      <t>(deg)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</si>
  <si>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 xml:space="preserve">Lα </t>
    </r>
    <r>
      <rPr>
        <b/>
        <sz val="22"/>
        <color theme="1"/>
        <rFont val="Calibri"/>
        <family val="2"/>
        <scheme val="minor"/>
      </rPr>
      <t>(1/deg)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</si>
  <si>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 xml:space="preserve">L0 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</si>
  <si>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</t>
    </r>
    <r>
      <rPr>
        <b/>
        <vertAlign val="superscript"/>
        <sz val="22"/>
        <color theme="1"/>
        <rFont val="Calibri"/>
        <family val="2"/>
        <scheme val="minor"/>
      </rPr>
      <t>*</t>
    </r>
  </si>
  <si>
    <r>
      <t>C</t>
    </r>
    <r>
      <rPr>
        <b/>
        <vertAlign val="subscript"/>
        <sz val="22"/>
        <color theme="1"/>
        <rFont val="Calibri"/>
        <family val="2"/>
        <scheme val="minor"/>
      </rPr>
      <t>Lmax</t>
    </r>
  </si>
  <si>
    <t>α</t>
  </si>
  <si>
    <t>CL (Clean)</t>
  </si>
  <si>
    <t>CL (High Lift)</t>
  </si>
  <si>
    <t xml:space="preserve">CUBIC INTERPOLATING FUNCTIONS </t>
  </si>
  <si>
    <t>X MATRIX (Clean)</t>
  </si>
  <si>
    <t>X MATRIX (High Lift)</t>
  </si>
  <si>
    <t>X</t>
  </si>
  <si>
    <t>Clean</t>
  </si>
  <si>
    <t>High Lift</t>
  </si>
  <si>
    <t>x1 (abscissa of the first passing point)</t>
  </si>
  <si>
    <t>x2 (abscissa of the second passing point)</t>
  </si>
  <si>
    <t>x3 (abscissa of the point at which the slope is known)</t>
  </si>
  <si>
    <t>x4 (abscissa of the point at which the slope is zero)</t>
  </si>
  <si>
    <t>X MATRIX INVERSE (Clean)</t>
  </si>
  <si>
    <t>X MATRIX INVERSE (High Lift)</t>
  </si>
  <si>
    <t>Y</t>
  </si>
  <si>
    <t>y1 (first passing point)</t>
  </si>
  <si>
    <t>y2 (second passing point)</t>
  </si>
  <si>
    <t>y3 (known slope)</t>
  </si>
  <si>
    <t>y4 (slope = zero)</t>
  </si>
  <si>
    <t>Y ARRAY (Clean)</t>
  </si>
  <si>
    <t>Y ARRAY (High Lift)</t>
  </si>
  <si>
    <t>CUBIC INTERPOLATING FUNCTIONS COEFFICIENTS</t>
  </si>
  <si>
    <t>NACA_6 serie laminare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</si>
</sst>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"/>
  </numFmts>
  <fonts count="3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</font>
    <font>
      <b/>
      <vertAlign val="subscript"/>
      <sz val="11"/>
      <color theme="1"/>
      <name val="Calibri"/>
      <family val="2"/>
    </font>
    <font>
      <b/>
      <vertAlign val="superscript"/>
      <sz val="11"/>
      <color theme="1"/>
      <name val="Calibri"/>
      <family val="2"/>
    </font>
    <font>
      <b/>
      <vertAlign val="subscript"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1"/>
      <name val="Calibri"/>
      <family val="2"/>
    </font>
    <font>
      <b/>
      <vertAlign val="subscript"/>
      <sz val="9"/>
      <color theme="1"/>
      <name val="Calibri"/>
      <family val="2"/>
      <scheme val="minor"/>
    </font>
    <font>
      <b/>
      <vertAlign val="superscript"/>
      <sz val="8"/>
      <color theme="1"/>
      <name val="Calibri"/>
      <family val="2"/>
    </font>
    <font>
      <sz val="8"/>
      <color rgb="FFC7254E"/>
      <name val="Courier New"/>
      <family val="3"/>
    </font>
    <font>
      <b/>
      <sz val="14"/>
      <color theme="0"/>
      <name val="Calibri"/>
      <family val="2"/>
      <scheme val="minor"/>
    </font>
    <font>
      <b/>
      <sz val="16"/>
      <color theme="1"/>
      <name val="Calibri"/>
      <family val="2"/>
    </font>
    <font>
      <b/>
      <vertAlign val="subscript"/>
      <sz val="16"/>
      <color theme="1"/>
      <name val="Calibri"/>
      <family val="2"/>
    </font>
    <font>
      <b/>
      <sz val="11"/>
      <color theme="0"/>
      <name val="Calibri"/>
      <family val="2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2"/>
      <color theme="1"/>
      <name val="Calibri"/>
      <family val="2"/>
    </font>
    <font>
      <b/>
      <vertAlign val="subscript"/>
      <sz val="22"/>
      <color theme="1"/>
      <name val="Calibri"/>
      <family val="2"/>
    </font>
    <font>
      <b/>
      <sz val="22"/>
      <color theme="1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vertAlign val="subscript"/>
      <sz val="12.8"/>
      <color theme="1"/>
      <name val="Calibri"/>
      <family val="2"/>
    </font>
    <font>
      <b/>
      <sz val="14"/>
      <name val="Calibri"/>
      <family val="2"/>
    </font>
    <font>
      <b/>
      <vertAlign val="subscript"/>
      <sz val="14"/>
      <name val="Calibri"/>
      <family val="2"/>
    </font>
    <font>
      <b/>
      <sz val="12"/>
      <color theme="1"/>
      <name val="Calibri"/>
      <family val="2"/>
      <scheme val="minor"/>
    </font>
    <font>
      <sz val="12"/>
      <color indexed="81"/>
      <name val="Tahoma"/>
      <family val="2"/>
    </font>
    <font>
      <sz val="22"/>
      <color theme="1"/>
      <name val="Calibri"/>
      <family val="2"/>
      <scheme val="minor"/>
    </font>
    <font>
      <b/>
      <vertAlign val="subscript"/>
      <sz val="22"/>
      <color theme="1"/>
      <name val="Calibri"/>
      <family val="2"/>
      <scheme val="minor"/>
    </font>
    <font>
      <b/>
      <sz val="22"/>
      <color theme="0"/>
      <name val="Calibri"/>
      <family val="2"/>
    </font>
    <font>
      <b/>
      <sz val="22"/>
      <name val="Calibri"/>
      <family val="2"/>
    </font>
    <font>
      <b/>
      <vertAlign val="superscript"/>
      <sz val="22"/>
      <color theme="1"/>
      <name val="Calibri"/>
      <family val="2"/>
    </font>
    <font>
      <b/>
      <vertAlign val="superscript"/>
      <sz val="22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96">
    <xf numFmtId="0" fontId="0" fillId="0" borderId="0" xfId="0"/>
    <xf numFmtId="0" fontId="0" fillId="0" borderId="3" xfId="0" applyBorder="1"/>
    <xf numFmtId="0" fontId="5" fillId="4" borderId="1" xfId="0" applyFont="1" applyFill="1" applyBorder="1"/>
    <xf numFmtId="0" fontId="0" fillId="0" borderId="11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3" xfId="0" applyBorder="1"/>
    <xf numFmtId="0" fontId="0" fillId="0" borderId="24" xfId="0" applyBorder="1"/>
    <xf numFmtId="0" fontId="0" fillId="0" borderId="27" xfId="0" applyBorder="1"/>
    <xf numFmtId="0" fontId="0" fillId="0" borderId="28" xfId="0" applyBorder="1"/>
    <xf numFmtId="0" fontId="2" fillId="4" borderId="29" xfId="0" applyFont="1" applyFill="1" applyBorder="1"/>
    <xf numFmtId="0" fontId="2" fillId="4" borderId="30" xfId="0" applyFont="1" applyFill="1" applyBorder="1"/>
    <xf numFmtId="0" fontId="2" fillId="4" borderId="31" xfId="0" applyFont="1" applyFill="1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5" fillId="4" borderId="29" xfId="0" applyFont="1" applyFill="1" applyBorder="1"/>
    <xf numFmtId="0" fontId="5" fillId="4" borderId="30" xfId="0" applyFont="1" applyFill="1" applyBorder="1"/>
    <xf numFmtId="0" fontId="5" fillId="4" borderId="31" xfId="0" applyFont="1" applyFill="1" applyBorder="1"/>
    <xf numFmtId="0" fontId="0" fillId="0" borderId="35" xfId="0" applyBorder="1"/>
    <xf numFmtId="0" fontId="2" fillId="4" borderId="37" xfId="0" applyFont="1" applyFill="1" applyBorder="1"/>
    <xf numFmtId="0" fontId="2" fillId="4" borderId="38" xfId="0" applyFont="1" applyFill="1" applyBorder="1"/>
    <xf numFmtId="0" fontId="2" fillId="4" borderId="39" xfId="0" applyFont="1" applyFill="1" applyBorder="1"/>
    <xf numFmtId="0" fontId="0" fillId="0" borderId="22" xfId="0" applyBorder="1" applyAlignment="1">
      <alignment horizontal="right"/>
    </xf>
    <xf numFmtId="0" fontId="14" fillId="0" borderId="0" xfId="0" applyFont="1"/>
    <xf numFmtId="0" fontId="5" fillId="0" borderId="0" xfId="0" applyFont="1" applyFill="1" applyBorder="1" applyAlignment="1">
      <alignment horizontal="center"/>
    </xf>
    <xf numFmtId="0" fontId="2" fillId="9" borderId="36" xfId="0" applyFont="1" applyFill="1" applyBorder="1"/>
    <xf numFmtId="0" fontId="2" fillId="9" borderId="37" xfId="0" applyFont="1" applyFill="1" applyBorder="1"/>
    <xf numFmtId="0" fontId="2" fillId="9" borderId="38" xfId="0" applyFont="1" applyFill="1" applyBorder="1"/>
    <xf numFmtId="0" fontId="5" fillId="3" borderId="25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2" fillId="9" borderId="46" xfId="0" applyFont="1" applyFill="1" applyBorder="1" applyAlignment="1">
      <alignment horizontal="center"/>
    </xf>
    <xf numFmtId="0" fontId="2" fillId="9" borderId="47" xfId="0" applyFont="1" applyFill="1" applyBorder="1" applyAlignment="1">
      <alignment horizontal="center"/>
    </xf>
    <xf numFmtId="0" fontId="2" fillId="9" borderId="29" xfId="0" applyFont="1" applyFill="1" applyBorder="1"/>
    <xf numFmtId="0" fontId="2" fillId="9" borderId="30" xfId="0" applyFont="1" applyFill="1" applyBorder="1"/>
    <xf numFmtId="0" fontId="2" fillId="9" borderId="31" xfId="0" applyFont="1" applyFill="1" applyBorder="1"/>
    <xf numFmtId="0" fontId="2" fillId="8" borderId="41" xfId="0" applyFont="1" applyFill="1" applyBorder="1" applyAlignment="1">
      <alignment horizontal="center"/>
    </xf>
    <xf numFmtId="0" fontId="2" fillId="8" borderId="42" xfId="0" applyFont="1" applyFill="1" applyBorder="1" applyAlignment="1">
      <alignment horizontal="center"/>
    </xf>
    <xf numFmtId="0" fontId="2" fillId="9" borderId="39" xfId="0" applyFont="1" applyFill="1" applyBorder="1"/>
    <xf numFmtId="0" fontId="2" fillId="9" borderId="48" xfId="0" applyFont="1" applyFill="1" applyBorder="1" applyAlignment="1">
      <alignment horizontal="center"/>
    </xf>
    <xf numFmtId="0" fontId="16" fillId="0" borderId="29" xfId="0" applyFont="1" applyBorder="1"/>
    <xf numFmtId="0" fontId="19" fillId="0" borderId="30" xfId="0" applyFont="1" applyBorder="1"/>
    <xf numFmtId="0" fontId="16" fillId="0" borderId="30" xfId="0" applyFont="1" applyBorder="1"/>
    <xf numFmtId="0" fontId="16" fillId="0" borderId="30" xfId="0" applyFont="1" applyFill="1" applyBorder="1"/>
    <xf numFmtId="0" fontId="16" fillId="0" borderId="31" xfId="0" applyFont="1" applyFill="1" applyBorder="1"/>
    <xf numFmtId="0" fontId="21" fillId="7" borderId="1" xfId="0" applyFont="1" applyFill="1" applyBorder="1" applyAlignment="1">
      <alignment horizontal="center"/>
    </xf>
    <xf numFmtId="0" fontId="21" fillId="2" borderId="1" xfId="0" applyFont="1" applyFill="1" applyBorder="1" applyAlignment="1">
      <alignment horizontal="center"/>
    </xf>
    <xf numFmtId="2" fontId="21" fillId="7" borderId="41" xfId="0" applyNumberFormat="1" applyFont="1" applyFill="1" applyBorder="1" applyAlignment="1">
      <alignment horizontal="center"/>
    </xf>
    <xf numFmtId="2" fontId="21" fillId="7" borderId="45" xfId="0" applyNumberFormat="1" applyFont="1" applyFill="1" applyBorder="1" applyAlignment="1">
      <alignment horizontal="center"/>
    </xf>
    <xf numFmtId="2" fontId="21" fillId="7" borderId="3" xfId="0" applyNumberFormat="1" applyFont="1" applyFill="1" applyBorder="1" applyAlignment="1">
      <alignment horizontal="center"/>
    </xf>
    <xf numFmtId="2" fontId="20" fillId="0" borderId="17" xfId="0" applyNumberFormat="1" applyFont="1" applyBorder="1"/>
    <xf numFmtId="2" fontId="20" fillId="0" borderId="18" xfId="0" applyNumberFormat="1" applyFont="1" applyBorder="1"/>
    <xf numFmtId="2" fontId="20" fillId="0" borderId="19" xfId="0" applyNumberFormat="1" applyFont="1" applyBorder="1"/>
    <xf numFmtId="2" fontId="20" fillId="0" borderId="20" xfId="0" applyNumberFormat="1" applyFont="1" applyBorder="1"/>
    <xf numFmtId="2" fontId="20" fillId="0" borderId="11" xfId="0" applyNumberFormat="1" applyFont="1" applyBorder="1"/>
    <xf numFmtId="2" fontId="20" fillId="0" borderId="21" xfId="0" applyNumberFormat="1" applyFont="1" applyBorder="1"/>
    <xf numFmtId="2" fontId="20" fillId="0" borderId="22" xfId="0" applyNumberFormat="1" applyFont="1" applyBorder="1"/>
    <xf numFmtId="2" fontId="20" fillId="0" borderId="23" xfId="0" applyNumberFormat="1" applyFont="1" applyBorder="1"/>
    <xf numFmtId="2" fontId="20" fillId="0" borderId="24" xfId="0" applyNumberFormat="1" applyFont="1" applyBorder="1"/>
    <xf numFmtId="0" fontId="2" fillId="7" borderId="1" xfId="0" applyFont="1" applyFill="1" applyBorder="1" applyAlignment="1">
      <alignment horizontal="center"/>
    </xf>
    <xf numFmtId="0" fontId="24" fillId="6" borderId="6" xfId="0" applyFont="1" applyFill="1" applyBorder="1" applyAlignment="1">
      <alignment horizontal="center"/>
    </xf>
    <xf numFmtId="0" fontId="25" fillId="6" borderId="7" xfId="0" applyFont="1" applyFill="1" applyBorder="1" applyAlignment="1">
      <alignment horizontal="center"/>
    </xf>
    <xf numFmtId="0" fontId="25" fillId="6" borderId="8" xfId="0" applyFont="1" applyFill="1" applyBorder="1" applyAlignment="1">
      <alignment horizontal="center"/>
    </xf>
    <xf numFmtId="0" fontId="16" fillId="0" borderId="39" xfId="0" applyFont="1" applyBorder="1"/>
    <xf numFmtId="0" fontId="19" fillId="0" borderId="37" xfId="0" applyFont="1" applyBorder="1"/>
    <xf numFmtId="0" fontId="16" fillId="0" borderId="37" xfId="0" applyFont="1" applyBorder="1"/>
    <xf numFmtId="0" fontId="16" fillId="0" borderId="38" xfId="0" applyFont="1" applyFill="1" applyBorder="1"/>
    <xf numFmtId="2" fontId="21" fillId="7" borderId="49" xfId="0" applyNumberFormat="1" applyFont="1" applyFill="1" applyBorder="1" applyAlignment="1">
      <alignment horizontal="center"/>
    </xf>
    <xf numFmtId="164" fontId="20" fillId="0" borderId="17" xfId="0" applyNumberFormat="1" applyFont="1" applyBorder="1"/>
    <xf numFmtId="164" fontId="20" fillId="0" borderId="18" xfId="0" applyNumberFormat="1" applyFont="1" applyBorder="1"/>
    <xf numFmtId="164" fontId="20" fillId="0" borderId="19" xfId="0" applyNumberFormat="1" applyFont="1" applyBorder="1"/>
    <xf numFmtId="164" fontId="20" fillId="0" borderId="20" xfId="0" applyNumberFormat="1" applyFont="1" applyBorder="1"/>
    <xf numFmtId="164" fontId="20" fillId="0" borderId="11" xfId="0" applyNumberFormat="1" applyFont="1" applyBorder="1"/>
    <xf numFmtId="164" fontId="20" fillId="0" borderId="21" xfId="0" applyNumberFormat="1" applyFont="1" applyBorder="1"/>
    <xf numFmtId="164" fontId="20" fillId="0" borderId="40" xfId="0" applyNumberFormat="1" applyFont="1" applyBorder="1"/>
    <xf numFmtId="164" fontId="20" fillId="0" borderId="14" xfId="0" applyNumberFormat="1" applyFont="1" applyBorder="1"/>
    <xf numFmtId="164" fontId="20" fillId="0" borderId="35" xfId="0" applyNumberFormat="1" applyFont="1" applyBorder="1"/>
    <xf numFmtId="164" fontId="20" fillId="0" borderId="22" xfId="0" applyNumberFormat="1" applyFont="1" applyBorder="1"/>
    <xf numFmtId="164" fontId="20" fillId="0" borderId="23" xfId="0" applyNumberFormat="1" applyFont="1" applyBorder="1"/>
    <xf numFmtId="164" fontId="20" fillId="0" borderId="24" xfId="0" applyNumberFormat="1" applyFont="1" applyBorder="1"/>
    <xf numFmtId="164" fontId="0" fillId="0" borderId="17" xfId="0" applyNumberFormat="1" applyBorder="1"/>
    <xf numFmtId="164" fontId="0" fillId="0" borderId="19" xfId="0" applyNumberFormat="1" applyBorder="1"/>
    <xf numFmtId="164" fontId="0" fillId="0" borderId="27" xfId="0" applyNumberFormat="1" applyBorder="1"/>
    <xf numFmtId="164" fontId="0" fillId="0" borderId="20" xfId="0" applyNumberFormat="1" applyBorder="1"/>
    <xf numFmtId="164" fontId="0" fillId="0" borderId="21" xfId="0" applyNumberFormat="1" applyBorder="1"/>
    <xf numFmtId="164" fontId="0" fillId="0" borderId="16" xfId="0" applyNumberFormat="1" applyBorder="1"/>
    <xf numFmtId="164" fontId="0" fillId="0" borderId="22" xfId="0" applyNumberFormat="1" applyBorder="1"/>
    <xf numFmtId="164" fontId="0" fillId="0" borderId="24" xfId="0" applyNumberFormat="1" applyBorder="1"/>
    <xf numFmtId="164" fontId="0" fillId="0" borderId="28" xfId="0" applyNumberFormat="1" applyBorder="1"/>
    <xf numFmtId="164" fontId="0" fillId="0" borderId="40" xfId="0" applyNumberFormat="1" applyBorder="1"/>
    <xf numFmtId="164" fontId="0" fillId="0" borderId="35" xfId="0" applyNumberFormat="1" applyBorder="1"/>
    <xf numFmtId="164" fontId="0" fillId="0" borderId="15" xfId="0" applyNumberFormat="1" applyBorder="1"/>
    <xf numFmtId="165" fontId="0" fillId="0" borderId="17" xfId="0" applyNumberFormat="1" applyBorder="1"/>
    <xf numFmtId="165" fontId="0" fillId="0" borderId="19" xfId="0" applyNumberFormat="1" applyBorder="1"/>
    <xf numFmtId="165" fontId="0" fillId="0" borderId="20" xfId="0" applyNumberFormat="1" applyBorder="1"/>
    <xf numFmtId="165" fontId="0" fillId="0" borderId="21" xfId="0" applyNumberFormat="1" applyBorder="1"/>
    <xf numFmtId="165" fontId="0" fillId="0" borderId="22" xfId="0" applyNumberFormat="1" applyBorder="1"/>
    <xf numFmtId="165" fontId="0" fillId="0" borderId="24" xfId="0" applyNumberFormat="1" applyBorder="1"/>
    <xf numFmtId="166" fontId="0" fillId="0" borderId="40" xfId="0" applyNumberFormat="1" applyBorder="1"/>
    <xf numFmtId="166" fontId="0" fillId="0" borderId="35" xfId="0" applyNumberFormat="1" applyBorder="1"/>
    <xf numFmtId="166" fontId="0" fillId="0" borderId="20" xfId="0" applyNumberFormat="1" applyBorder="1"/>
    <xf numFmtId="166" fontId="0" fillId="0" borderId="21" xfId="0" applyNumberFormat="1" applyBorder="1"/>
    <xf numFmtId="166" fontId="0" fillId="0" borderId="22" xfId="0" applyNumberFormat="1" applyBorder="1"/>
    <xf numFmtId="166" fontId="0" fillId="0" borderId="24" xfId="0" applyNumberFormat="1" applyBorder="1"/>
    <xf numFmtId="165" fontId="0" fillId="0" borderId="18" xfId="0" applyNumberFormat="1" applyBorder="1"/>
    <xf numFmtId="165" fontId="0" fillId="0" borderId="11" xfId="0" applyNumberFormat="1" applyBorder="1"/>
    <xf numFmtId="165" fontId="0" fillId="0" borderId="23" xfId="0" applyNumberFormat="1" applyBorder="1"/>
    <xf numFmtId="0" fontId="19" fillId="0" borderId="29" xfId="0" applyFont="1" applyBorder="1"/>
    <xf numFmtId="0" fontId="16" fillId="0" borderId="31" xfId="0" applyFont="1" applyBorder="1"/>
    <xf numFmtId="0" fontId="21" fillId="7" borderId="2" xfId="0" applyFont="1" applyFill="1" applyBorder="1" applyAlignment="1">
      <alignment horizontal="center"/>
    </xf>
    <xf numFmtId="2" fontId="21" fillId="7" borderId="43" xfId="0" applyNumberFormat="1" applyFont="1" applyFill="1" applyBorder="1" applyAlignment="1">
      <alignment horizontal="center"/>
    </xf>
    <xf numFmtId="2" fontId="21" fillId="7" borderId="44" xfId="0" applyNumberFormat="1" applyFont="1" applyFill="1" applyBorder="1" applyAlignment="1">
      <alignment horizontal="center"/>
    </xf>
    <xf numFmtId="2" fontId="21" fillId="7" borderId="1" xfId="0" applyNumberFormat="1" applyFont="1" applyFill="1" applyBorder="1" applyAlignment="1">
      <alignment horizontal="center"/>
    </xf>
    <xf numFmtId="0" fontId="19" fillId="0" borderId="38" xfId="0" applyFont="1" applyBorder="1"/>
    <xf numFmtId="165" fontId="21" fillId="7" borderId="41" xfId="0" applyNumberFormat="1" applyFont="1" applyFill="1" applyBorder="1" applyAlignment="1">
      <alignment horizontal="center"/>
    </xf>
    <xf numFmtId="0" fontId="16" fillId="0" borderId="29" xfId="0" applyFont="1" applyBorder="1" applyAlignment="1">
      <alignment horizontal="center"/>
    </xf>
    <xf numFmtId="2" fontId="20" fillId="0" borderId="29" xfId="0" applyNumberFormat="1" applyFont="1" applyBorder="1"/>
    <xf numFmtId="2" fontId="21" fillId="2" borderId="1" xfId="0" applyNumberFormat="1" applyFont="1" applyFill="1" applyBorder="1" applyAlignment="1">
      <alignment horizontal="center"/>
    </xf>
    <xf numFmtId="0" fontId="0" fillId="0" borderId="1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22" xfId="0" applyBorder="1"/>
    <xf numFmtId="0" fontId="1" fillId="0" borderId="0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2" fillId="9" borderId="7" xfId="0" applyFont="1" applyFill="1" applyBorder="1" applyAlignment="1">
      <alignment horizontal="center"/>
    </xf>
    <xf numFmtId="0" fontId="2" fillId="9" borderId="8" xfId="0" applyFont="1" applyFill="1" applyBorder="1" applyAlignment="1">
      <alignment horizontal="center"/>
    </xf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0" xfId="0" applyNumberFormat="1"/>
    <xf numFmtId="164" fontId="20" fillId="0" borderId="29" xfId="0" applyNumberFormat="1" applyFont="1" applyBorder="1"/>
    <xf numFmtId="164" fontId="0" fillId="0" borderId="33" xfId="0" applyNumberFormat="1" applyBorder="1"/>
    <xf numFmtId="0" fontId="27" fillId="10" borderId="1" xfId="0" applyFont="1" applyFill="1" applyBorder="1" applyAlignment="1">
      <alignment horizontal="center"/>
    </xf>
    <xf numFmtId="2" fontId="20" fillId="0" borderId="1" xfId="0" applyNumberFormat="1" applyFont="1" applyBorder="1"/>
    <xf numFmtId="0" fontId="16" fillId="0" borderId="7" xfId="0" applyFont="1" applyBorder="1"/>
    <xf numFmtId="0" fontId="21" fillId="7" borderId="8" xfId="0" applyFont="1" applyFill="1" applyBorder="1" applyAlignment="1">
      <alignment horizontal="center"/>
    </xf>
    <xf numFmtId="0" fontId="27" fillId="10" borderId="29" xfId="0" applyFont="1" applyFill="1" applyBorder="1" applyAlignment="1">
      <alignment horizontal="center"/>
    </xf>
    <xf numFmtId="0" fontId="27" fillId="10" borderId="30" xfId="0" applyFont="1" applyFill="1" applyBorder="1" applyAlignment="1">
      <alignment horizontal="center"/>
    </xf>
    <xf numFmtId="0" fontId="27" fillId="10" borderId="31" xfId="0" applyFont="1" applyFill="1" applyBorder="1" applyAlignment="1">
      <alignment horizontal="center"/>
    </xf>
    <xf numFmtId="0" fontId="20" fillId="0" borderId="27" xfId="0" applyFont="1" applyFill="1" applyBorder="1" applyAlignment="1">
      <alignment horizontal="center"/>
    </xf>
    <xf numFmtId="0" fontId="20" fillId="0" borderId="18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"/>
    </xf>
    <xf numFmtId="0" fontId="20" fillId="0" borderId="16" xfId="0" applyFont="1" applyFill="1" applyBorder="1" applyAlignment="1">
      <alignment horizontal="center"/>
    </xf>
    <xf numFmtId="0" fontId="20" fillId="0" borderId="11" xfId="0" applyFont="1" applyFill="1" applyBorder="1" applyAlignment="1">
      <alignment horizontal="center"/>
    </xf>
    <xf numFmtId="0" fontId="20" fillId="0" borderId="21" xfId="0" applyFont="1" applyFill="1" applyBorder="1" applyAlignment="1">
      <alignment horizontal="center"/>
    </xf>
    <xf numFmtId="0" fontId="20" fillId="0" borderId="28" xfId="0" applyFont="1" applyFill="1" applyBorder="1" applyAlignment="1">
      <alignment horizontal="center"/>
    </xf>
    <xf numFmtId="0" fontId="20" fillId="0" borderId="23" xfId="0" applyFont="1" applyFill="1" applyBorder="1" applyAlignment="1">
      <alignment horizontal="center"/>
    </xf>
    <xf numFmtId="0" fontId="20" fillId="0" borderId="24" xfId="0" applyFont="1" applyFill="1" applyBorder="1" applyAlignment="1">
      <alignment horizontal="center"/>
    </xf>
    <xf numFmtId="164" fontId="21" fillId="7" borderId="49" xfId="0" applyNumberFormat="1" applyFont="1" applyFill="1" applyBorder="1" applyAlignment="1">
      <alignment horizontal="center"/>
    </xf>
    <xf numFmtId="2" fontId="20" fillId="0" borderId="27" xfId="0" applyNumberFormat="1" applyFont="1" applyBorder="1"/>
    <xf numFmtId="2" fontId="20" fillId="0" borderId="28" xfId="0" applyNumberFormat="1" applyFont="1" applyBorder="1"/>
    <xf numFmtId="164" fontId="20" fillId="0" borderId="16" xfId="0" applyNumberFormat="1" applyFont="1" applyBorder="1"/>
    <xf numFmtId="0" fontId="16" fillId="2" borderId="2" xfId="0" applyFont="1" applyFill="1" applyBorder="1" applyAlignment="1">
      <alignment horizontal="center"/>
    </xf>
    <xf numFmtId="0" fontId="19" fillId="2" borderId="5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center"/>
    </xf>
    <xf numFmtId="1" fontId="0" fillId="0" borderId="0" xfId="0" applyNumberFormat="1"/>
    <xf numFmtId="1" fontId="20" fillId="0" borderId="6" xfId="0" applyNumberFormat="1" applyFont="1" applyBorder="1"/>
    <xf numFmtId="1" fontId="20" fillId="0" borderId="7" xfId="0" applyNumberFormat="1" applyFont="1" applyBorder="1"/>
    <xf numFmtId="1" fontId="20" fillId="0" borderId="8" xfId="0" applyNumberFormat="1" applyFont="1" applyBorder="1"/>
    <xf numFmtId="0" fontId="20" fillId="0" borderId="9" xfId="0" applyFont="1" applyBorder="1"/>
    <xf numFmtId="0" fontId="20" fillId="0" borderId="51" xfId="0" applyFont="1" applyBorder="1"/>
    <xf numFmtId="2" fontId="20" fillId="0" borderId="51" xfId="0" applyNumberFormat="1" applyFont="1" applyBorder="1"/>
    <xf numFmtId="0" fontId="20" fillId="0" borderId="10" xfId="0" applyFont="1" applyBorder="1"/>
    <xf numFmtId="0" fontId="29" fillId="0" borderId="20" xfId="0" applyFont="1" applyBorder="1"/>
    <xf numFmtId="0" fontId="29" fillId="0" borderId="21" xfId="0" applyFont="1" applyBorder="1"/>
    <xf numFmtId="0" fontId="29" fillId="0" borderId="22" xfId="0" applyFont="1" applyBorder="1"/>
    <xf numFmtId="0" fontId="29" fillId="0" borderId="24" xfId="0" applyFont="1" applyBorder="1"/>
    <xf numFmtId="0" fontId="29" fillId="0" borderId="40" xfId="0" applyFont="1" applyBorder="1"/>
    <xf numFmtId="0" fontId="29" fillId="0" borderId="35" xfId="0" applyFont="1" applyBorder="1"/>
    <xf numFmtId="164" fontId="20" fillId="0" borderId="6" xfId="0" applyNumberFormat="1" applyFont="1" applyBorder="1"/>
    <xf numFmtId="164" fontId="20" fillId="0" borderId="7" xfId="0" applyNumberFormat="1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2" fillId="4" borderId="1" xfId="0" applyFont="1" applyFill="1" applyBorder="1" applyAlignment="1">
      <alignment horizontal="center"/>
    </xf>
    <xf numFmtId="164" fontId="29" fillId="0" borderId="35" xfId="0" applyNumberFormat="1" applyFont="1" applyBorder="1"/>
    <xf numFmtId="164" fontId="29" fillId="0" borderId="21" xfId="0" applyNumberFormat="1" applyFont="1" applyBorder="1"/>
    <xf numFmtId="164" fontId="29" fillId="0" borderId="24" xfId="0" applyNumberFormat="1" applyFont="1" applyBorder="1"/>
    <xf numFmtId="2" fontId="0" fillId="0" borderId="25" xfId="0" applyNumberFormat="1" applyBorder="1"/>
    <xf numFmtId="2" fontId="0" fillId="0" borderId="13" xfId="0" applyNumberFormat="1" applyBorder="1"/>
    <xf numFmtId="2" fontId="0" fillId="0" borderId="0" xfId="0" applyNumberFormat="1" applyBorder="1"/>
    <xf numFmtId="2" fontId="0" fillId="0" borderId="4" xfId="0" applyNumberFormat="1" applyBorder="1"/>
    <xf numFmtId="2" fontId="0" fillId="0" borderId="9" xfId="0" applyNumberFormat="1" applyBorder="1"/>
    <xf numFmtId="2" fontId="0" fillId="0" borderId="51" xfId="0" applyNumberFormat="1" applyBorder="1"/>
    <xf numFmtId="2" fontId="0" fillId="0" borderId="12" xfId="0" applyNumberFormat="1" applyBorder="1"/>
    <xf numFmtId="2" fontId="0" fillId="0" borderId="26" xfId="0" applyNumberFormat="1" applyBorder="1"/>
    <xf numFmtId="2" fontId="0" fillId="0" borderId="10" xfId="0" applyNumberFormat="1" applyBorder="1"/>
    <xf numFmtId="2" fontId="0" fillId="0" borderId="2" xfId="0" applyNumberFormat="1" applyBorder="1"/>
    <xf numFmtId="164" fontId="29" fillId="0" borderId="40" xfId="0" applyNumberFormat="1" applyFont="1" applyBorder="1"/>
    <xf numFmtId="164" fontId="29" fillId="0" borderId="20" xfId="0" applyNumberFormat="1" applyFont="1" applyBorder="1"/>
    <xf numFmtId="164" fontId="29" fillId="0" borderId="22" xfId="0" applyNumberFormat="1" applyFont="1" applyBorder="1"/>
    <xf numFmtId="0" fontId="31" fillId="0" borderId="0" xfId="0" applyFont="1"/>
    <xf numFmtId="0" fontId="21" fillId="0" borderId="29" xfId="0" applyFont="1" applyBorder="1"/>
    <xf numFmtId="164" fontId="23" fillId="0" borderId="29" xfId="0" applyNumberFormat="1" applyFont="1" applyBorder="1"/>
    <xf numFmtId="0" fontId="21" fillId="0" borderId="50" xfId="0" applyFont="1" applyBorder="1"/>
    <xf numFmtId="164" fontId="23" fillId="0" borderId="50" xfId="0" applyNumberFormat="1" applyFont="1" applyBorder="1"/>
    <xf numFmtId="0" fontId="23" fillId="0" borderId="30" xfId="0" applyFont="1" applyBorder="1"/>
    <xf numFmtId="164" fontId="23" fillId="0" borderId="30" xfId="0" applyNumberFormat="1" applyFont="1" applyBorder="1"/>
    <xf numFmtId="165" fontId="23" fillId="0" borderId="30" xfId="0" applyNumberFormat="1" applyFont="1" applyBorder="1"/>
    <xf numFmtId="0" fontId="21" fillId="0" borderId="30" xfId="0" applyFont="1" applyBorder="1"/>
    <xf numFmtId="0" fontId="21" fillId="0" borderId="31" xfId="0" applyFont="1" applyFill="1" applyBorder="1"/>
    <xf numFmtId="164" fontId="23" fillId="0" borderId="31" xfId="0" applyNumberFormat="1" applyFont="1" applyBorder="1"/>
    <xf numFmtId="0" fontId="33" fillId="0" borderId="0" xfId="0" applyFont="1" applyFill="1" applyBorder="1" applyAlignment="1">
      <alignment horizontal="center"/>
    </xf>
    <xf numFmtId="0" fontId="34" fillId="2" borderId="6" xfId="0" applyFont="1" applyFill="1" applyBorder="1" applyAlignment="1">
      <alignment horizontal="center"/>
    </xf>
    <xf numFmtId="0" fontId="34" fillId="2" borderId="9" xfId="0" applyFont="1" applyFill="1" applyBorder="1" applyAlignment="1">
      <alignment horizontal="center"/>
    </xf>
    <xf numFmtId="0" fontId="21" fillId="2" borderId="39" xfId="0" applyFont="1" applyFill="1" applyBorder="1"/>
    <xf numFmtId="0" fontId="23" fillId="0" borderId="29" xfId="0" applyFont="1" applyBorder="1"/>
    <xf numFmtId="2" fontId="23" fillId="0" borderId="32" xfId="0" applyNumberFormat="1" applyFont="1" applyBorder="1"/>
    <xf numFmtId="0" fontId="21" fillId="2" borderId="37" xfId="0" applyFont="1" applyFill="1" applyBorder="1"/>
    <xf numFmtId="2" fontId="23" fillId="0" borderId="33" xfId="0" applyNumberFormat="1" applyFont="1" applyBorder="1"/>
    <xf numFmtId="0" fontId="23" fillId="2" borderId="37" xfId="0" applyFont="1" applyFill="1" applyBorder="1"/>
    <xf numFmtId="165" fontId="23" fillId="0" borderId="33" xfId="0" applyNumberFormat="1" applyFont="1" applyBorder="1"/>
    <xf numFmtId="2" fontId="23" fillId="0" borderId="30" xfId="0" applyNumberFormat="1" applyFont="1" applyBorder="1"/>
    <xf numFmtId="164" fontId="23" fillId="0" borderId="33" xfId="0" applyNumberFormat="1" applyFont="1" applyBorder="1"/>
    <xf numFmtId="0" fontId="23" fillId="2" borderId="38" xfId="0" applyFont="1" applyFill="1" applyBorder="1"/>
    <xf numFmtId="0" fontId="23" fillId="0" borderId="31" xfId="0" applyFont="1" applyBorder="1"/>
    <xf numFmtId="164" fontId="23" fillId="0" borderId="34" xfId="0" applyNumberFormat="1" applyFont="1" applyBorder="1"/>
    <xf numFmtId="2" fontId="0" fillId="0" borderId="5" xfId="0" applyNumberFormat="1" applyBorder="1"/>
    <xf numFmtId="2" fontId="0" fillId="0" borderId="3" xfId="0" applyNumberFormat="1" applyBorder="1"/>
    <xf numFmtId="0" fontId="2" fillId="11" borderId="41" xfId="0" applyFont="1" applyFill="1" applyBorder="1" applyAlignment="1">
      <alignment horizontal="center"/>
    </xf>
    <xf numFmtId="0" fontId="2" fillId="11" borderId="42" xfId="0" applyFont="1" applyFill="1" applyBorder="1" applyAlignment="1">
      <alignment horizontal="center"/>
    </xf>
    <xf numFmtId="2" fontId="0" fillId="0" borderId="34" xfId="0" applyNumberFormat="1" applyBorder="1"/>
    <xf numFmtId="2" fontId="37" fillId="0" borderId="20" xfId="0" applyNumberFormat="1" applyFont="1" applyBorder="1"/>
    <xf numFmtId="167" fontId="20" fillId="0" borderId="7" xfId="0" applyNumberFormat="1" applyFont="1" applyBorder="1"/>
    <xf numFmtId="2" fontId="20" fillId="0" borderId="7" xfId="0" applyNumberFormat="1" applyFont="1" applyBorder="1"/>
    <xf numFmtId="0" fontId="38" fillId="0" borderId="23" xfId="0" applyFont="1" applyBorder="1"/>
    <xf numFmtId="0" fontId="38" fillId="0" borderId="0" xfId="0" applyFont="1"/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5" fillId="5" borderId="2" xfId="0" applyFont="1" applyFill="1" applyBorder="1" applyAlignment="1">
      <alignment horizontal="center"/>
    </xf>
    <xf numFmtId="0" fontId="15" fillId="5" borderId="3" xfId="0" applyFont="1" applyFill="1" applyBorder="1" applyAlignment="1">
      <alignment horizontal="center"/>
    </xf>
    <xf numFmtId="0" fontId="18" fillId="3" borderId="2" xfId="0" applyFont="1" applyFill="1" applyBorder="1" applyAlignment="1">
      <alignment horizontal="center"/>
    </xf>
    <xf numFmtId="0" fontId="18" fillId="3" borderId="3" xfId="0" applyFont="1" applyFill="1" applyBorder="1" applyAlignment="1">
      <alignment horizontal="center"/>
    </xf>
    <xf numFmtId="0" fontId="18" fillId="3" borderId="25" xfId="0" applyFont="1" applyFill="1" applyBorder="1" applyAlignment="1">
      <alignment horizontal="center"/>
    </xf>
    <xf numFmtId="0" fontId="18" fillId="3" borderId="13" xfId="0" applyFont="1" applyFill="1" applyBorder="1" applyAlignment="1">
      <alignment horizontal="center"/>
    </xf>
    <xf numFmtId="0" fontId="18" fillId="3" borderId="9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 wrapText="1"/>
    </xf>
    <xf numFmtId="0" fontId="5" fillId="8" borderId="3" xfId="0" applyFont="1" applyFill="1" applyBorder="1" applyAlignment="1">
      <alignment horizontal="center" wrapText="1"/>
    </xf>
    <xf numFmtId="0" fontId="1" fillId="8" borderId="2" xfId="0" applyFont="1" applyFill="1" applyBorder="1" applyAlignment="1">
      <alignment horizontal="center"/>
    </xf>
    <xf numFmtId="0" fontId="1" fillId="8" borderId="3" xfId="0" applyFont="1" applyFill="1" applyBorder="1" applyAlignment="1">
      <alignment horizontal="center"/>
    </xf>
    <xf numFmtId="0" fontId="18" fillId="3" borderId="5" xfId="0" applyFont="1" applyFill="1" applyBorder="1" applyAlignment="1">
      <alignment horizontal="center"/>
    </xf>
    <xf numFmtId="0" fontId="18" fillId="3" borderId="26" xfId="0" applyFont="1" applyFill="1" applyBorder="1" applyAlignment="1">
      <alignment horizontal="center"/>
    </xf>
    <xf numFmtId="0" fontId="18" fillId="3" borderId="10" xfId="0" applyFont="1" applyFill="1" applyBorder="1" applyAlignment="1">
      <alignment horizontal="center"/>
    </xf>
    <xf numFmtId="0" fontId="2" fillId="8" borderId="25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" xfId="0" applyFont="1" applyFill="1" applyBorder="1" applyAlignment="1">
      <alignment horizontal="center"/>
    </xf>
    <xf numFmtId="0" fontId="2" fillId="8" borderId="3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18" fillId="8" borderId="2" xfId="0" applyFont="1" applyFill="1" applyBorder="1" applyAlignment="1">
      <alignment horizontal="center"/>
    </xf>
    <xf numFmtId="0" fontId="18" fillId="8" borderId="13" xfId="0" applyFont="1" applyFill="1" applyBorder="1" applyAlignment="1">
      <alignment horizontal="center"/>
    </xf>
    <xf numFmtId="0" fontId="18" fillId="8" borderId="9" xfId="0" applyFont="1" applyFill="1" applyBorder="1" applyAlignment="1">
      <alignment horizontal="center"/>
    </xf>
    <xf numFmtId="0" fontId="18" fillId="8" borderId="2" xfId="0" applyFont="1" applyFill="1" applyBorder="1" applyAlignment="1">
      <alignment horizontal="center" wrapText="1"/>
    </xf>
    <xf numFmtId="0" fontId="18" fillId="8" borderId="5" xfId="0" applyFont="1" applyFill="1" applyBorder="1" applyAlignment="1">
      <alignment horizontal="center" wrapText="1"/>
    </xf>
    <xf numFmtId="0" fontId="18" fillId="8" borderId="3" xfId="0" applyFont="1" applyFill="1" applyBorder="1" applyAlignment="1">
      <alignment horizontal="center" wrapText="1"/>
    </xf>
    <xf numFmtId="0" fontId="19" fillId="10" borderId="25" xfId="0" applyFont="1" applyFill="1" applyBorder="1" applyAlignment="1">
      <alignment horizontal="center"/>
    </xf>
    <xf numFmtId="0" fontId="19" fillId="10" borderId="13" xfId="0" applyFont="1" applyFill="1" applyBorder="1" applyAlignment="1">
      <alignment horizontal="center"/>
    </xf>
    <xf numFmtId="0" fontId="19" fillId="10" borderId="9" xfId="0" applyFont="1" applyFill="1" applyBorder="1" applyAlignment="1">
      <alignment horizontal="center"/>
    </xf>
    <xf numFmtId="2" fontId="23" fillId="2" borderId="2" xfId="0" applyNumberFormat="1" applyFont="1" applyFill="1" applyBorder="1" applyAlignment="1">
      <alignment horizontal="center"/>
    </xf>
    <xf numFmtId="2" fontId="23" fillId="2" borderId="5" xfId="0" applyNumberFormat="1" applyFont="1" applyFill="1" applyBorder="1" applyAlignment="1">
      <alignment horizontal="center"/>
    </xf>
    <xf numFmtId="2" fontId="23" fillId="2" borderId="3" xfId="0" applyNumberFormat="1" applyFont="1" applyFill="1" applyBorder="1" applyAlignment="1">
      <alignment horizontal="center"/>
    </xf>
    <xf numFmtId="2" fontId="23" fillId="2" borderId="12" xfId="0" applyNumberFormat="1" applyFont="1" applyFill="1" applyBorder="1" applyAlignment="1">
      <alignment horizontal="center"/>
    </xf>
    <xf numFmtId="2" fontId="23" fillId="2" borderId="26" xfId="0" applyNumberFormat="1" applyFont="1" applyFill="1" applyBorder="1" applyAlignment="1">
      <alignment horizontal="center"/>
    </xf>
    <xf numFmtId="2" fontId="23" fillId="2" borderId="10" xfId="0" applyNumberFormat="1" applyFont="1" applyFill="1" applyBorder="1" applyAlignment="1">
      <alignment horizontal="center"/>
    </xf>
    <xf numFmtId="0" fontId="19" fillId="10" borderId="2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3" xfId="0" applyFont="1" applyFill="1" applyBorder="1" applyAlignment="1">
      <alignment horizontal="center"/>
    </xf>
    <xf numFmtId="165" fontId="23" fillId="2" borderId="2" xfId="0" applyNumberFormat="1" applyFont="1" applyFill="1" applyBorder="1" applyAlignment="1">
      <alignment horizontal="center"/>
    </xf>
    <xf numFmtId="165" fontId="23" fillId="2" borderId="5" xfId="0" applyNumberFormat="1" applyFont="1" applyFill="1" applyBorder="1" applyAlignment="1">
      <alignment horizontal="center"/>
    </xf>
    <xf numFmtId="165" fontId="23" fillId="2" borderId="3" xfId="0" applyNumberFormat="1" applyFont="1" applyFill="1" applyBorder="1" applyAlignment="1">
      <alignment horizontal="center"/>
    </xf>
    <xf numFmtId="164" fontId="23" fillId="2" borderId="2" xfId="0" applyNumberFormat="1" applyFont="1" applyFill="1" applyBorder="1" applyAlignment="1">
      <alignment horizontal="center"/>
    </xf>
    <xf numFmtId="164" fontId="23" fillId="2" borderId="5" xfId="0" applyNumberFormat="1" applyFont="1" applyFill="1" applyBorder="1" applyAlignment="1">
      <alignment horizontal="center"/>
    </xf>
    <xf numFmtId="164" fontId="23" fillId="2" borderId="3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2" fontId="2" fillId="4" borderId="5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0" fontId="2" fillId="11" borderId="41" xfId="0" applyFont="1" applyFill="1" applyBorder="1" applyAlignment="1">
      <alignment horizontal="center"/>
    </xf>
    <xf numFmtId="0" fontId="2" fillId="11" borderId="42" xfId="0" applyFont="1" applyFill="1" applyBorder="1" applyAlignment="1">
      <alignment horizontal="center"/>
    </xf>
    <xf numFmtId="0" fontId="2" fillId="11" borderId="2" xfId="0" applyFont="1" applyFill="1" applyBorder="1" applyAlignment="1">
      <alignment horizontal="center"/>
    </xf>
    <xf numFmtId="0" fontId="2" fillId="11" borderId="3" xfId="0" applyFont="1" applyFill="1" applyBorder="1" applyAlignment="1">
      <alignment horizont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7" borderId="2" xfId="0" applyFont="1" applyFill="1" applyBorder="1" applyAlignment="1">
      <alignment horizontal="center" vertical="center"/>
    </xf>
    <xf numFmtId="0" fontId="23" fillId="7" borderId="3" xfId="0" applyFont="1" applyFill="1" applyBorder="1" applyAlignment="1">
      <alignment horizontal="center" vertical="center"/>
    </xf>
    <xf numFmtId="0" fontId="23" fillId="9" borderId="2" xfId="0" applyFont="1" applyFill="1" applyBorder="1" applyAlignment="1">
      <alignment horizontal="center" vertical="center"/>
    </xf>
    <xf numFmtId="0" fontId="23" fillId="9" borderId="3" xfId="0" applyFont="1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Wing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(INPUT!$B$19,INPUT!$C$19,INPUT!$D$19,INPUT!$D$19,INPUT!$C$19,INPUT!$B$19)</c:f>
              <c:numCache>
                <c:formatCode>General</c:formatCode>
                <c:ptCount val="6"/>
                <c:pt idx="0">
                  <c:v>0</c:v>
                </c:pt>
                <c:pt idx="1">
                  <c:v>5.73</c:v>
                </c:pt>
                <c:pt idx="2">
                  <c:v>16.850000000000001</c:v>
                </c:pt>
                <c:pt idx="3">
                  <c:v>16.850000000000001</c:v>
                </c:pt>
                <c:pt idx="4">
                  <c:v>5.73</c:v>
                </c:pt>
                <c:pt idx="5">
                  <c:v>0</c:v>
                </c:pt>
              </c:numCache>
            </c:numRef>
          </c:xVal>
          <c:yVal>
            <c:numRef>
              <c:f>(INPUT!$B$46,INPUT!$C$46,INPUT!$D$46,INPUT!$D$47,INPUT!$C$47,INPUT!$B$47)</c:f>
              <c:numCache>
                <c:formatCode>0.0000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0.66400000000000003</c:v>
                </c:pt>
                <c:pt idx="3">
                  <c:v>2.4239999999999999</c:v>
                </c:pt>
                <c:pt idx="4">
                  <c:v>3.16</c:v>
                </c:pt>
                <c:pt idx="5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E0-4070-8477-3B1109AE0960}"/>
            </c:ext>
          </c:extLst>
        </c:ser>
        <c:ser>
          <c:idx val="1"/>
          <c:order val="1"/>
          <c:tx>
            <c:v>Flap 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(INPUT!$B$44,INPUT!$B$44,INPUT!$C$44,INPUT!$C$44,INPUT!$B$44)</c:f>
              <c:numCache>
                <c:formatCode>0.0000</c:formatCode>
                <c:ptCount val="5"/>
                <c:pt idx="0">
                  <c:v>1.8535000000000001</c:v>
                </c:pt>
                <c:pt idx="1">
                  <c:v>1.8535000000000001</c:v>
                </c:pt>
                <c:pt idx="2">
                  <c:v>5.5605000000000011</c:v>
                </c:pt>
                <c:pt idx="3">
                  <c:v>5.5605000000000011</c:v>
                </c:pt>
                <c:pt idx="4">
                  <c:v>1.8535000000000001</c:v>
                </c:pt>
              </c:numCache>
            </c:numRef>
          </c:xVal>
          <c:yVal>
            <c:numRef>
              <c:f>(INPUT!$B$54,INPUT!$B$53,INPUT!$C$53,INPUT!$C$54,INPUT!$B$54)</c:f>
              <c:numCache>
                <c:formatCode>0.000</c:formatCode>
                <c:ptCount val="5"/>
                <c:pt idx="0">
                  <c:v>3.16</c:v>
                </c:pt>
                <c:pt idx="1">
                  <c:v>2.0540000000000003</c:v>
                </c:pt>
                <c:pt idx="2">
                  <c:v>2.0540000000000003</c:v>
                </c:pt>
                <c:pt idx="3">
                  <c:v>3.16</c:v>
                </c:pt>
                <c:pt idx="4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1E0-4070-8477-3B1109AE0960}"/>
            </c:ext>
          </c:extLst>
        </c:ser>
        <c:ser>
          <c:idx val="2"/>
          <c:order val="2"/>
          <c:tx>
            <c:v>Flap 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(INPUT!$D$44,INPUT!$D$44,INPUT!$E$44,INPUT!$E$44,INPUT!$D$44)</c:f>
              <c:numCache>
                <c:formatCode>0.0000</c:formatCode>
                <c:ptCount val="5"/>
                <c:pt idx="0">
                  <c:v>5.8975</c:v>
                </c:pt>
                <c:pt idx="1">
                  <c:v>5.8975</c:v>
                </c:pt>
                <c:pt idx="2">
                  <c:v>12.637500000000001</c:v>
                </c:pt>
                <c:pt idx="3">
                  <c:v>12.637500000000001</c:v>
                </c:pt>
                <c:pt idx="4">
                  <c:v>5.8975</c:v>
                </c:pt>
              </c:numCache>
            </c:numRef>
          </c:xVal>
          <c:yVal>
            <c:numRef>
              <c:f>(INPUT!$D$54,INPUT!$D$53,INPUT!$E$53,INPUT!$E$54,INPUT!$D$54)</c:f>
              <c:numCache>
                <c:formatCode>0.000</c:formatCode>
                <c:ptCount val="5"/>
                <c:pt idx="0">
                  <c:v>3.1198080090989531</c:v>
                </c:pt>
                <c:pt idx="1">
                  <c:v>2.0211888544226939</c:v>
                </c:pt>
                <c:pt idx="2">
                  <c:v>1.8541985166299049</c:v>
                </c:pt>
                <c:pt idx="3">
                  <c:v>2.6558212684284661</c:v>
                </c:pt>
                <c:pt idx="4">
                  <c:v>3.1198080090989531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1E0-4070-8477-3B1109AE0960}"/>
            </c:ext>
          </c:extLst>
        </c:ser>
        <c:ser>
          <c:idx val="3"/>
          <c:order val="3"/>
          <c:tx>
            <c:v>Slat 1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(INPUT!$B$45,INPUT!$B$45,INPUT!$C$45,INPUT!$C$45,INPUT!$B$45)</c:f>
              <c:numCache>
                <c:formatCode>0.0000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(INPUT!$B$57,INPUT!$B$56,INPUT!$C$56,INPUT!$C$57,INPUT!$B$57)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E0-4070-8477-3B1109AE0960}"/>
            </c:ext>
          </c:extLst>
        </c:ser>
        <c:ser>
          <c:idx val="4"/>
          <c:order val="4"/>
          <c:tx>
            <c:v>Slat 2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(INPUT!$D$45,INPUT!$D$45,INPUT!$E$45,INPUT!$E$45,INPUT!$D$45)</c:f>
              <c:numCache>
                <c:formatCode>0.0000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xVal>
          <c:yVal>
            <c:numRef>
              <c:f>(INPUT!$D$57,INPUT!$D$56,INPUT!$E$56,INPUT!$E$57,INPUT!$D$57)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E0-4070-8477-3B1109AE0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758799"/>
        <c:axId val="1337805151"/>
      </c:scatterChart>
      <c:valAx>
        <c:axId val="1340758799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37805151"/>
        <c:crosses val="autoZero"/>
        <c:crossBetween val="midCat"/>
      </c:valAx>
      <c:valAx>
        <c:axId val="1337805151"/>
        <c:scaling>
          <c:orientation val="maxMin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07587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RESULTS!$B$15</c:f>
              <c:strCache>
                <c:ptCount val="1"/>
                <c:pt idx="0">
                  <c:v>CLEAN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RESULTS!$A$26:$A$67</c:f>
              <c:numCache>
                <c:formatCode>0</c:formatCode>
                <c:ptCount val="42"/>
                <c:pt idx="0">
                  <c:v>-16.899999999999999</c:v>
                </c:pt>
                <c:pt idx="1">
                  <c:v>-15.899999999999999</c:v>
                </c:pt>
                <c:pt idx="2">
                  <c:v>-14.899999999999999</c:v>
                </c:pt>
                <c:pt idx="3">
                  <c:v>-13.899999999999999</c:v>
                </c:pt>
                <c:pt idx="4">
                  <c:v>-12.899999999999999</c:v>
                </c:pt>
                <c:pt idx="5">
                  <c:v>-11.899999999999999</c:v>
                </c:pt>
                <c:pt idx="6">
                  <c:v>-10.899999999999999</c:v>
                </c:pt>
                <c:pt idx="7">
                  <c:v>-9.8999999999999986</c:v>
                </c:pt>
                <c:pt idx="8">
                  <c:v>-8.8999999999999986</c:v>
                </c:pt>
                <c:pt idx="9">
                  <c:v>-7.8999999999999986</c:v>
                </c:pt>
                <c:pt idx="10">
                  <c:v>-6.8999999999999986</c:v>
                </c:pt>
                <c:pt idx="11">
                  <c:v>-5.8999999999999986</c:v>
                </c:pt>
                <c:pt idx="12">
                  <c:v>-4.8999999999999986</c:v>
                </c:pt>
                <c:pt idx="13">
                  <c:v>-3.8999999999999986</c:v>
                </c:pt>
                <c:pt idx="14">
                  <c:v>-2.8999999999999986</c:v>
                </c:pt>
                <c:pt idx="15">
                  <c:v>-1.8999999999999986</c:v>
                </c:pt>
                <c:pt idx="16">
                  <c:v>-0.89999999999999858</c:v>
                </c:pt>
                <c:pt idx="17">
                  <c:v>-0.89999999999999858</c:v>
                </c:pt>
                <c:pt idx="18">
                  <c:v>0.10000000000000142</c:v>
                </c:pt>
                <c:pt idx="19">
                  <c:v>1.1000000000000014</c:v>
                </c:pt>
                <c:pt idx="20">
                  <c:v>2.1000000000000014</c:v>
                </c:pt>
                <c:pt idx="21">
                  <c:v>3.1000000000000014</c:v>
                </c:pt>
                <c:pt idx="22">
                  <c:v>4.1000000000000014</c:v>
                </c:pt>
                <c:pt idx="23">
                  <c:v>5.1000000000000014</c:v>
                </c:pt>
                <c:pt idx="24">
                  <c:v>6.1000000000000014</c:v>
                </c:pt>
                <c:pt idx="25">
                  <c:v>7.1000000000000014</c:v>
                </c:pt>
                <c:pt idx="26" formatCode="0.0">
                  <c:v>7.2</c:v>
                </c:pt>
                <c:pt idx="27">
                  <c:v>8.1000000000000014</c:v>
                </c:pt>
                <c:pt idx="28">
                  <c:v>9.1000000000000014</c:v>
                </c:pt>
                <c:pt idx="29">
                  <c:v>10.100000000000001</c:v>
                </c:pt>
                <c:pt idx="30">
                  <c:v>11.100000000000001</c:v>
                </c:pt>
                <c:pt idx="31">
                  <c:v>12.100000000000001</c:v>
                </c:pt>
                <c:pt idx="32">
                  <c:v>13.100000000000001</c:v>
                </c:pt>
                <c:pt idx="33">
                  <c:v>14.100000000000001</c:v>
                </c:pt>
                <c:pt idx="34">
                  <c:v>15.100000000000001</c:v>
                </c:pt>
                <c:pt idx="35">
                  <c:v>16.100000000000001</c:v>
                </c:pt>
                <c:pt idx="36">
                  <c:v>17.100000000000001</c:v>
                </c:pt>
                <c:pt idx="37">
                  <c:v>18.100000000000001</c:v>
                </c:pt>
                <c:pt idx="38">
                  <c:v>19.100000000000001</c:v>
                </c:pt>
                <c:pt idx="39">
                  <c:v>20.100000000000001</c:v>
                </c:pt>
                <c:pt idx="40">
                  <c:v>21.1</c:v>
                </c:pt>
                <c:pt idx="41">
                  <c:v>22.1</c:v>
                </c:pt>
              </c:numCache>
            </c:numRef>
          </c:xVal>
          <c:yVal>
            <c:numRef>
              <c:f>RESULTS!$B$26:$B$67</c:f>
              <c:numCache>
                <c:formatCode>General</c:formatCode>
                <c:ptCount val="42"/>
                <c:pt idx="8" formatCode="0.00">
                  <c:v>-0.47469999999999979</c:v>
                </c:pt>
                <c:pt idx="9" formatCode="0.00">
                  <c:v>-0.35169999999999979</c:v>
                </c:pt>
                <c:pt idx="10" formatCode="0.00">
                  <c:v>-0.22869999999999979</c:v>
                </c:pt>
                <c:pt idx="11" formatCode="0.00">
                  <c:v>-0.10569999999999979</c:v>
                </c:pt>
                <c:pt idx="12" formatCode="0.00">
                  <c:v>1.7300000000000204E-2</c:v>
                </c:pt>
                <c:pt idx="13" formatCode="0.00">
                  <c:v>0.1403000000000002</c:v>
                </c:pt>
                <c:pt idx="14" formatCode="0.00">
                  <c:v>0.2633000000000002</c:v>
                </c:pt>
                <c:pt idx="15" formatCode="0.00">
                  <c:v>0.3863000000000002</c:v>
                </c:pt>
                <c:pt idx="16" formatCode="0.00">
                  <c:v>0.5093000000000002</c:v>
                </c:pt>
                <c:pt idx="17" formatCode="0.00">
                  <c:v>0.5093000000000002</c:v>
                </c:pt>
                <c:pt idx="18" formatCode="0.00">
                  <c:v>0.6323000000000002</c:v>
                </c:pt>
                <c:pt idx="19" formatCode="0.00">
                  <c:v>0.75530000000000019</c:v>
                </c:pt>
                <c:pt idx="20" formatCode="0.00">
                  <c:v>0.87830000000000019</c:v>
                </c:pt>
                <c:pt idx="21" formatCode="0.00">
                  <c:v>1.0013000000000001</c:v>
                </c:pt>
                <c:pt idx="22" formatCode="0.00">
                  <c:v>1.1243000000000003</c:v>
                </c:pt>
                <c:pt idx="23" formatCode="0.00">
                  <c:v>1.2473000000000001</c:v>
                </c:pt>
                <c:pt idx="24" formatCode="0.00">
                  <c:v>1.3703000000000003</c:v>
                </c:pt>
                <c:pt idx="25" formatCode="0.00">
                  <c:v>1.4933000000000001</c:v>
                </c:pt>
                <c:pt idx="26" formatCode="0.00">
                  <c:v>1.5056</c:v>
                </c:pt>
                <c:pt idx="27" formatCode="0.00">
                  <c:v>1.6163000000000003</c:v>
                </c:pt>
                <c:pt idx="28" formatCode="0.00">
                  <c:v>1.6649144633746444</c:v>
                </c:pt>
                <c:pt idx="29" formatCode="0.00">
                  <c:v>1.701459516217211</c:v>
                </c:pt>
                <c:pt idx="30" formatCode="0.00">
                  <c:v>1.7169285850947631</c:v>
                </c:pt>
                <c:pt idx="31" formatCode="0.00">
                  <c:v>1.7202046875000123</c:v>
                </c:pt>
                <c:pt idx="32" formatCode="0.00">
                  <c:v>1.7201708409256673</c:v>
                </c:pt>
                <c:pt idx="33" formatCode="0.00">
                  <c:v>1.7257100628644455</c:v>
                </c:pt>
                <c:pt idx="34" formatCode="0.00">
                  <c:v>1.7457053708090511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47-4EEC-A463-E8E9825A3704}"/>
            </c:ext>
          </c:extLst>
        </c:ser>
        <c:ser>
          <c:idx val="1"/>
          <c:order val="1"/>
          <c:tx>
            <c:strRef>
              <c:f>RESULTS!$C$15</c:f>
              <c:strCache>
                <c:ptCount val="1"/>
                <c:pt idx="0">
                  <c:v>HIGH LIFT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RESULTS!$A$26:$A$67</c:f>
              <c:numCache>
                <c:formatCode>0</c:formatCode>
                <c:ptCount val="42"/>
                <c:pt idx="0">
                  <c:v>-16.899999999999999</c:v>
                </c:pt>
                <c:pt idx="1">
                  <c:v>-15.899999999999999</c:v>
                </c:pt>
                <c:pt idx="2">
                  <c:v>-14.899999999999999</c:v>
                </c:pt>
                <c:pt idx="3">
                  <c:v>-13.899999999999999</c:v>
                </c:pt>
                <c:pt idx="4">
                  <c:v>-12.899999999999999</c:v>
                </c:pt>
                <c:pt idx="5">
                  <c:v>-11.899999999999999</c:v>
                </c:pt>
                <c:pt idx="6">
                  <c:v>-10.899999999999999</c:v>
                </c:pt>
                <c:pt idx="7">
                  <c:v>-9.8999999999999986</c:v>
                </c:pt>
                <c:pt idx="8">
                  <c:v>-8.8999999999999986</c:v>
                </c:pt>
                <c:pt idx="9">
                  <c:v>-7.8999999999999986</c:v>
                </c:pt>
                <c:pt idx="10">
                  <c:v>-6.8999999999999986</c:v>
                </c:pt>
                <c:pt idx="11">
                  <c:v>-5.8999999999999986</c:v>
                </c:pt>
                <c:pt idx="12">
                  <c:v>-4.8999999999999986</c:v>
                </c:pt>
                <c:pt idx="13">
                  <c:v>-3.8999999999999986</c:v>
                </c:pt>
                <c:pt idx="14">
                  <c:v>-2.8999999999999986</c:v>
                </c:pt>
                <c:pt idx="15">
                  <c:v>-1.8999999999999986</c:v>
                </c:pt>
                <c:pt idx="16">
                  <c:v>-0.89999999999999858</c:v>
                </c:pt>
                <c:pt idx="17">
                  <c:v>-0.89999999999999858</c:v>
                </c:pt>
                <c:pt idx="18">
                  <c:v>0.10000000000000142</c:v>
                </c:pt>
                <c:pt idx="19">
                  <c:v>1.1000000000000014</c:v>
                </c:pt>
                <c:pt idx="20">
                  <c:v>2.1000000000000014</c:v>
                </c:pt>
                <c:pt idx="21">
                  <c:v>3.1000000000000014</c:v>
                </c:pt>
                <c:pt idx="22">
                  <c:v>4.1000000000000014</c:v>
                </c:pt>
                <c:pt idx="23">
                  <c:v>5.1000000000000014</c:v>
                </c:pt>
                <c:pt idx="24">
                  <c:v>6.1000000000000014</c:v>
                </c:pt>
                <c:pt idx="25">
                  <c:v>7.1000000000000014</c:v>
                </c:pt>
                <c:pt idx="26" formatCode="0.0">
                  <c:v>7.2</c:v>
                </c:pt>
                <c:pt idx="27">
                  <c:v>8.1000000000000014</c:v>
                </c:pt>
                <c:pt idx="28">
                  <c:v>9.1000000000000014</c:v>
                </c:pt>
                <c:pt idx="29">
                  <c:v>10.100000000000001</c:v>
                </c:pt>
                <c:pt idx="30">
                  <c:v>11.100000000000001</c:v>
                </c:pt>
                <c:pt idx="31">
                  <c:v>12.100000000000001</c:v>
                </c:pt>
                <c:pt idx="32">
                  <c:v>13.100000000000001</c:v>
                </c:pt>
                <c:pt idx="33">
                  <c:v>14.100000000000001</c:v>
                </c:pt>
                <c:pt idx="34">
                  <c:v>15.100000000000001</c:v>
                </c:pt>
                <c:pt idx="35">
                  <c:v>16.100000000000001</c:v>
                </c:pt>
                <c:pt idx="36">
                  <c:v>17.100000000000001</c:v>
                </c:pt>
                <c:pt idx="37">
                  <c:v>18.100000000000001</c:v>
                </c:pt>
                <c:pt idx="38">
                  <c:v>19.100000000000001</c:v>
                </c:pt>
                <c:pt idx="39">
                  <c:v>20.100000000000001</c:v>
                </c:pt>
                <c:pt idx="40">
                  <c:v>21.1</c:v>
                </c:pt>
                <c:pt idx="41">
                  <c:v>22.1</c:v>
                </c:pt>
              </c:numCache>
            </c:numRef>
          </c:xVal>
          <c:yVal>
            <c:numRef>
              <c:f>RESULTS!$C$26:$C$67</c:f>
              <c:numCache>
                <c:formatCode>0.000</c:formatCode>
                <c:ptCount val="42"/>
                <c:pt idx="0">
                  <c:v>-5.4792062482520443E-3</c:v>
                </c:pt>
                <c:pt idx="1">
                  <c:v>0.11542497029285559</c:v>
                </c:pt>
                <c:pt idx="2">
                  <c:v>0.236329146833963</c:v>
                </c:pt>
                <c:pt idx="3">
                  <c:v>0.35723332337507041</c:v>
                </c:pt>
                <c:pt idx="4">
                  <c:v>0.47813749991617804</c:v>
                </c:pt>
                <c:pt idx="5">
                  <c:v>0.59904167645728545</c:v>
                </c:pt>
                <c:pt idx="6">
                  <c:v>0.71994585299839309</c:v>
                </c:pt>
                <c:pt idx="7">
                  <c:v>0.8408500295395005</c:v>
                </c:pt>
                <c:pt idx="8">
                  <c:v>0.96175420608060813</c:v>
                </c:pt>
                <c:pt idx="9">
                  <c:v>1.0826583826217155</c:v>
                </c:pt>
                <c:pt idx="10">
                  <c:v>1.203562559162823</c:v>
                </c:pt>
                <c:pt idx="11">
                  <c:v>1.3244667357039306</c:v>
                </c:pt>
                <c:pt idx="12">
                  <c:v>1.4453709122450382</c:v>
                </c:pt>
                <c:pt idx="13">
                  <c:v>1.5662750887861456</c:v>
                </c:pt>
                <c:pt idx="14">
                  <c:v>1.687179265327253</c:v>
                </c:pt>
                <c:pt idx="15">
                  <c:v>1.8080834418683607</c:v>
                </c:pt>
                <c:pt idx="16">
                  <c:v>1.9289876184094681</c:v>
                </c:pt>
                <c:pt idx="17">
                  <c:v>1.9289876184094681</c:v>
                </c:pt>
                <c:pt idx="18">
                  <c:v>2.0498917949505757</c:v>
                </c:pt>
                <c:pt idx="19">
                  <c:v>2.1720685939029285</c:v>
                </c:pt>
                <c:pt idx="20">
                  <c:v>2.2917005217550352</c:v>
                </c:pt>
                <c:pt idx="21">
                  <c:v>2.4112793878439698</c:v>
                </c:pt>
                <c:pt idx="22">
                  <c:v>2.5229567750974353</c:v>
                </c:pt>
                <c:pt idx="23">
                  <c:v>2.6188842664431338</c:v>
                </c:pt>
                <c:pt idx="24">
                  <c:v>2.691213444808767</c:v>
                </c:pt>
                <c:pt idx="25">
                  <c:v>2.7320958931220378</c:v>
                </c:pt>
                <c:pt idx="26">
                  <c:v>2.7341524037432015</c:v>
                </c:pt>
                <c:pt idx="27">
                  <c:v>2.7336831943106485</c:v>
                </c:pt>
                <c:pt idx="28">
                  <c:v>2.688126931302302</c:v>
                </c:pt>
                <c:pt idx="29">
                  <c:v>2.5875786870246995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47-4EEC-A463-E8E9825A3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7609615"/>
        <c:axId val="290860255"/>
      </c:scatterChart>
      <c:valAx>
        <c:axId val="2476096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2400" b="1"/>
                  <a:t>α</a:t>
                </a:r>
                <a:r>
                  <a:rPr lang="it-IT" sz="2400" b="1"/>
                  <a:t> (deg)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90860255"/>
        <c:crosses val="autoZero"/>
        <c:crossBetween val="midCat"/>
      </c:valAx>
      <c:valAx>
        <c:axId val="29086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2400" b="1"/>
                  <a:t>C</a:t>
                </a:r>
                <a:r>
                  <a:rPr lang="it-IT" sz="2400" b="1" baseline="-25000"/>
                  <a:t>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476096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1062990</xdr:colOff>
      <xdr:row>1</xdr:row>
      <xdr:rowOff>3810</xdr:rowOff>
    </xdr:from>
    <xdr:to>
      <xdr:col>15</xdr:col>
      <xdr:colOff>285750</xdr:colOff>
      <xdr:row>14</xdr:row>
      <xdr:rowOff>133350</xdr:rowOff>
    </xdr:to>
    <xdr:graphicFrame macro="">
      <xdr:nvGraphicFramePr>
        <xdr:cNvPr id="5" name="Grafico 1">
          <a:extLst>
            <a:ext uri="{FF2B5EF4-FFF2-40B4-BE49-F238E27FC236}">
              <a16:creationId xmlns:a16="http://schemas.microsoft.com/office/drawing/2014/main" id="{13057230-8221-4C40-A33D-101F38EFC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36</xdr:col>
      <xdr:colOff>252491</xdr:colOff>
      <xdr:row>51</xdr:row>
      <xdr:rowOff>178632</xdr:rowOff>
    </xdr:to>
    <xdr:grpSp>
      <xdr:nvGrpSpPr>
        <xdr:cNvPr id="23" name="Gruppo 22">
          <a:extLst>
            <a:ext uri="{FF2B5EF4-FFF2-40B4-BE49-F238E27FC236}">
              <a16:creationId xmlns:a16="http://schemas.microsoft.com/office/drawing/2014/main" id="{6A809D87-9173-454B-ACBB-D365131B5A49}"/>
            </a:ext>
          </a:extLst>
        </xdr:cNvPr>
        <xdr:cNvGrpSpPr/>
      </xdr:nvGrpSpPr>
      <xdr:grpSpPr>
        <a:xfrm>
          <a:off x="969818" y="0"/>
          <a:ext cx="24497946" cy="10728868"/>
          <a:chOff x="1377150" y="0"/>
          <a:chExt cx="21226541" cy="9336487"/>
        </a:xfrm>
      </xdr:grpSpPr>
      <xdr:pic>
        <xdr:nvPicPr>
          <xdr:cNvPr id="2" name="Immagine 1" descr="Delta Cl0_Flowchart">
            <a:extLst>
              <a:ext uri="{FF2B5EF4-FFF2-40B4-BE49-F238E27FC236}">
                <a16:creationId xmlns:a16="http://schemas.microsoft.com/office/drawing/2014/main" id="{932F411D-F85B-416E-B14F-B5C1DAAAF69E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01515" y="0"/>
            <a:ext cx="6044602" cy="529009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" name="Immagine 5">
            <a:extLst>
              <a:ext uri="{FF2B5EF4-FFF2-40B4-BE49-F238E27FC236}">
                <a16:creationId xmlns:a16="http://schemas.microsoft.com/office/drawing/2014/main" id="{47B9D445-7E90-4BA5-9439-276A271C93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561712" y="817418"/>
            <a:ext cx="8041979" cy="3571859"/>
          </a:xfrm>
          <a:prstGeom prst="rect">
            <a:avLst/>
          </a:prstGeom>
          <a:ln w="28575">
            <a:solidFill>
              <a:schemeClr val="tx1"/>
            </a:solidFill>
          </a:ln>
        </xdr:spPr>
      </xdr:pic>
      <xdr:grpSp>
        <xdr:nvGrpSpPr>
          <xdr:cNvPr id="13" name="Gruppo 12">
            <a:extLst>
              <a:ext uri="{FF2B5EF4-FFF2-40B4-BE49-F238E27FC236}">
                <a16:creationId xmlns:a16="http://schemas.microsoft.com/office/drawing/2014/main" id="{C0A071C5-2BFE-4CC3-B47E-BAC55AFB17EE}"/>
              </a:ext>
            </a:extLst>
          </xdr:cNvPr>
          <xdr:cNvGrpSpPr/>
        </xdr:nvGrpSpPr>
        <xdr:grpSpPr>
          <a:xfrm>
            <a:off x="1377150" y="5043054"/>
            <a:ext cx="5440080" cy="4293433"/>
            <a:chOff x="1377150" y="5043054"/>
            <a:chExt cx="5440080" cy="4293433"/>
          </a:xfrm>
        </xdr:grpSpPr>
        <xdr:pic>
          <xdr:nvPicPr>
            <xdr:cNvPr id="8" name="Immagine 7">
              <a:extLst>
                <a:ext uri="{FF2B5EF4-FFF2-40B4-BE49-F238E27FC236}">
                  <a16:creationId xmlns:a16="http://schemas.microsoft.com/office/drawing/2014/main" id="{D398E827-4796-4EFB-A724-F473B1D1726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377150" y="5514110"/>
              <a:ext cx="5440080" cy="3822377"/>
            </a:xfrm>
            <a:prstGeom prst="rect">
              <a:avLst/>
            </a:prstGeom>
            <a:ln w="28575">
              <a:solidFill>
                <a:schemeClr val="tx1"/>
              </a:solidFill>
            </a:ln>
          </xdr:spPr>
        </xdr:pic>
        <xdr:sp macro="" textlink="">
          <xdr:nvSpPr>
            <xdr:cNvPr id="11" name="CasellaDiTesto 10">
              <a:extLst>
                <a:ext uri="{FF2B5EF4-FFF2-40B4-BE49-F238E27FC236}">
                  <a16:creationId xmlns:a16="http://schemas.microsoft.com/office/drawing/2014/main" id="{BB21D67B-B7BF-4450-AF0A-797697202EEA}"/>
                </a:ext>
              </a:extLst>
            </xdr:cNvPr>
            <xdr:cNvSpPr txBox="1"/>
          </xdr:nvSpPr>
          <xdr:spPr>
            <a:xfrm>
              <a:off x="2438400" y="5043054"/>
              <a:ext cx="3343992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>
                  <a:solidFill>
                    <a:srgbClr val="FF0000"/>
                  </a:solidFill>
                </a:rPr>
                <a:t>Only</a:t>
              </a:r>
              <a:r>
                <a:rPr lang="it-IT" sz="2800" b="1" baseline="0">
                  <a:solidFill>
                    <a:srgbClr val="FF0000"/>
                  </a:solidFill>
                </a:rPr>
                <a:t> for PLAIN FLAPS</a:t>
              </a:r>
              <a:endParaRPr lang="it-IT" sz="2800" b="1">
                <a:solidFill>
                  <a:srgbClr val="FF0000"/>
                </a:solidFill>
              </a:endParaRPr>
            </a:p>
          </xdr:txBody>
        </xdr:sp>
      </xdr:grpSp>
      <xdr:grpSp>
        <xdr:nvGrpSpPr>
          <xdr:cNvPr id="14" name="Gruppo 13">
            <a:extLst>
              <a:ext uri="{FF2B5EF4-FFF2-40B4-BE49-F238E27FC236}">
                <a16:creationId xmlns:a16="http://schemas.microsoft.com/office/drawing/2014/main" id="{5A58903B-3335-48AD-8398-0E1D498D1FBB}"/>
              </a:ext>
            </a:extLst>
          </xdr:cNvPr>
          <xdr:cNvGrpSpPr/>
        </xdr:nvGrpSpPr>
        <xdr:grpSpPr>
          <a:xfrm>
            <a:off x="6849719" y="5070764"/>
            <a:ext cx="7542384" cy="4175746"/>
            <a:chOff x="7140664" y="5056909"/>
            <a:chExt cx="7542384" cy="4175746"/>
          </a:xfrm>
        </xdr:grpSpPr>
        <xdr:pic>
          <xdr:nvPicPr>
            <xdr:cNvPr id="10" name="Immagine 9">
              <a:extLst>
                <a:ext uri="{FF2B5EF4-FFF2-40B4-BE49-F238E27FC236}">
                  <a16:creationId xmlns:a16="http://schemas.microsoft.com/office/drawing/2014/main" id="{F795C0EE-3712-4894-A7B6-89A44953443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140664" y="5527962"/>
              <a:ext cx="7542384" cy="3704693"/>
            </a:xfrm>
            <a:prstGeom prst="rect">
              <a:avLst/>
            </a:prstGeom>
            <a:ln w="28575">
              <a:solidFill>
                <a:schemeClr val="tx1"/>
              </a:solidFill>
            </a:ln>
          </xdr:spPr>
        </xdr:pic>
        <xdr:sp macro="" textlink="">
          <xdr:nvSpPr>
            <xdr:cNvPr id="12" name="CasellaDiTesto 11">
              <a:extLst>
                <a:ext uri="{FF2B5EF4-FFF2-40B4-BE49-F238E27FC236}">
                  <a16:creationId xmlns:a16="http://schemas.microsoft.com/office/drawing/2014/main" id="{6F3C799C-F5AE-489A-B56D-670F90813E73}"/>
                </a:ext>
              </a:extLst>
            </xdr:cNvPr>
            <xdr:cNvSpPr txBox="1"/>
          </xdr:nvSpPr>
          <xdr:spPr>
            <a:xfrm>
              <a:off x="9545781" y="5056909"/>
              <a:ext cx="2366097" cy="530658"/>
            </a:xfrm>
            <a:prstGeom prst="rect">
              <a:avLst/>
            </a:prstGeom>
            <a:noFill/>
            <a:ln w="28575"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 baseline="0">
                  <a:solidFill>
                    <a:srgbClr val="FF0000"/>
                  </a:solidFill>
                </a:rPr>
                <a:t>For other flaps</a:t>
              </a:r>
              <a:endParaRPr lang="it-IT" sz="2800" b="1">
                <a:solidFill>
                  <a:srgbClr val="FF0000"/>
                </a:solidFill>
              </a:endParaRPr>
            </a:p>
          </xdr:txBody>
        </xdr:sp>
      </xdr:grpSp>
      <xdr:cxnSp macro="">
        <xdr:nvCxnSpPr>
          <xdr:cNvPr id="16" name="Connettore 2 15">
            <a:extLst>
              <a:ext uri="{FF2B5EF4-FFF2-40B4-BE49-F238E27FC236}">
                <a16:creationId xmlns:a16="http://schemas.microsoft.com/office/drawing/2014/main" id="{692F95AA-2208-4EE3-B4B5-1D6BD5431F5A}"/>
              </a:ext>
            </a:extLst>
          </xdr:cNvPr>
          <xdr:cNvCxnSpPr/>
        </xdr:nvCxnSpPr>
        <xdr:spPr>
          <a:xfrm flipH="1">
            <a:off x="5046134" y="4358794"/>
            <a:ext cx="1786466" cy="71197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8" name="Connettore 2 17">
            <a:extLst>
              <a:ext uri="{FF2B5EF4-FFF2-40B4-BE49-F238E27FC236}">
                <a16:creationId xmlns:a16="http://schemas.microsoft.com/office/drawing/2014/main" id="{FC628437-6257-4DDE-871C-FA4C14833FA9}"/>
              </a:ext>
            </a:extLst>
          </xdr:cNvPr>
          <xdr:cNvCxnSpPr>
            <a:endCxn id="12" idx="0"/>
          </xdr:cNvCxnSpPr>
        </xdr:nvCxnSpPr>
        <xdr:spPr>
          <a:xfrm>
            <a:off x="8940800" y="3345873"/>
            <a:ext cx="1497085" cy="1724891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1" name="Connettore 2 20">
            <a:extLst>
              <a:ext uri="{FF2B5EF4-FFF2-40B4-BE49-F238E27FC236}">
                <a16:creationId xmlns:a16="http://schemas.microsoft.com/office/drawing/2014/main" id="{BDEC2430-6FA3-46FE-9211-6A3805E07DE0}"/>
              </a:ext>
            </a:extLst>
          </xdr:cNvPr>
          <xdr:cNvCxnSpPr/>
        </xdr:nvCxnSpPr>
        <xdr:spPr>
          <a:xfrm>
            <a:off x="12242800" y="2591568"/>
            <a:ext cx="2463800" cy="222444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6</xdr:row>
      <xdr:rowOff>323850</xdr:rowOff>
    </xdr:from>
    <xdr:to>
      <xdr:col>38</xdr:col>
      <xdr:colOff>591978</xdr:colOff>
      <xdr:row>64</xdr:row>
      <xdr:rowOff>152729</xdr:rowOff>
    </xdr:to>
    <xdr:grpSp>
      <xdr:nvGrpSpPr>
        <xdr:cNvPr id="46" name="Gruppo 45">
          <a:extLst>
            <a:ext uri="{FF2B5EF4-FFF2-40B4-BE49-F238E27FC236}">
              <a16:creationId xmlns:a16="http://schemas.microsoft.com/office/drawing/2014/main" id="{BC91FECA-E954-4BFC-A556-8C59E130374F}"/>
            </a:ext>
          </a:extLst>
        </xdr:cNvPr>
        <xdr:cNvGrpSpPr/>
      </xdr:nvGrpSpPr>
      <xdr:grpSpPr>
        <a:xfrm>
          <a:off x="57150" y="2152650"/>
          <a:ext cx="27371083" cy="10524588"/>
          <a:chOff x="57150" y="2162175"/>
          <a:chExt cx="27423903" cy="10582604"/>
        </a:xfrm>
      </xdr:grpSpPr>
      <xdr:grpSp>
        <xdr:nvGrpSpPr>
          <xdr:cNvPr id="44" name="Gruppo 43">
            <a:extLst>
              <a:ext uri="{FF2B5EF4-FFF2-40B4-BE49-F238E27FC236}">
                <a16:creationId xmlns:a16="http://schemas.microsoft.com/office/drawing/2014/main" id="{15D3AA7F-C21F-4C7B-A099-E0684C8A15CC}"/>
              </a:ext>
            </a:extLst>
          </xdr:cNvPr>
          <xdr:cNvGrpSpPr/>
        </xdr:nvGrpSpPr>
        <xdr:grpSpPr>
          <a:xfrm>
            <a:off x="57150" y="2162175"/>
            <a:ext cx="27423903" cy="10582604"/>
            <a:chOff x="0" y="2143125"/>
            <a:chExt cx="28738353" cy="11306504"/>
          </a:xfrm>
        </xdr:grpSpPr>
        <xdr:grpSp>
          <xdr:nvGrpSpPr>
            <xdr:cNvPr id="35" name="Gruppo 34">
              <a:extLst>
                <a:ext uri="{FF2B5EF4-FFF2-40B4-BE49-F238E27FC236}">
                  <a16:creationId xmlns:a16="http://schemas.microsoft.com/office/drawing/2014/main" id="{680303B2-12E7-42E2-9706-013BC73F0C24}"/>
                </a:ext>
              </a:extLst>
            </xdr:cNvPr>
            <xdr:cNvGrpSpPr/>
          </xdr:nvGrpSpPr>
          <xdr:grpSpPr>
            <a:xfrm>
              <a:off x="0" y="2407226"/>
              <a:ext cx="28738353" cy="11042403"/>
              <a:chOff x="4130344" y="0"/>
              <a:chExt cx="26255445" cy="11233422"/>
            </a:xfrm>
          </xdr:grpSpPr>
          <xdr:pic>
            <xdr:nvPicPr>
              <xdr:cNvPr id="14" name="Immagine 13" descr="Delta Clmax_Flowchart">
                <a:extLst>
                  <a:ext uri="{FF2B5EF4-FFF2-40B4-BE49-F238E27FC236}">
                    <a16:creationId xmlns:a16="http://schemas.microsoft.com/office/drawing/2014/main" id="{2E928A1C-1C55-44CE-A175-482D44B6F0BF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3449299" y="2748741"/>
                <a:ext cx="6522720" cy="4741026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6" name="Immagine 15">
                <a:extLst>
                  <a:ext uri="{FF2B5EF4-FFF2-40B4-BE49-F238E27FC236}">
                    <a16:creationId xmlns:a16="http://schemas.microsoft.com/office/drawing/2014/main" id="{7BC5D85B-4AA3-4510-8854-ED6917F1CB1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574771" y="182880"/>
                <a:ext cx="8811491" cy="5220765"/>
              </a:xfrm>
              <a:prstGeom prst="rect">
                <a:avLst/>
              </a:prstGeom>
            </xdr:spPr>
          </xdr:pic>
          <xdr:pic>
            <xdr:nvPicPr>
              <xdr:cNvPr id="18" name="Immagine 17">
                <a:extLst>
                  <a:ext uri="{FF2B5EF4-FFF2-40B4-BE49-F238E27FC236}">
                    <a16:creationId xmlns:a16="http://schemas.microsoft.com/office/drawing/2014/main" id="{3E161541-BAAB-4941-8F51-5A90ACF81BA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0313533" y="0"/>
                <a:ext cx="6896065" cy="5409775"/>
              </a:xfrm>
              <a:prstGeom prst="rect">
                <a:avLst/>
              </a:prstGeom>
            </xdr:spPr>
          </xdr:pic>
          <xdr:pic>
            <xdr:nvPicPr>
              <xdr:cNvPr id="20" name="Immagine 19">
                <a:extLst>
                  <a:ext uri="{FF2B5EF4-FFF2-40B4-BE49-F238E27FC236}">
                    <a16:creationId xmlns:a16="http://schemas.microsoft.com/office/drawing/2014/main" id="{7616F772-0CFA-40CF-B4D9-4F881F40E5E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4130344" y="5422670"/>
                <a:ext cx="9311336" cy="5302640"/>
              </a:xfrm>
              <a:prstGeom prst="rect">
                <a:avLst/>
              </a:prstGeom>
            </xdr:spPr>
          </xdr:pic>
          <xdr:pic>
            <xdr:nvPicPr>
              <xdr:cNvPr id="22" name="Immagine 21">
                <a:extLst>
                  <a:ext uri="{FF2B5EF4-FFF2-40B4-BE49-F238E27FC236}">
                    <a16:creationId xmlns:a16="http://schemas.microsoft.com/office/drawing/2014/main" id="{D60A5ADE-B622-408D-8193-77F3F8F95D4B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20327389" y="5436524"/>
                <a:ext cx="10058400" cy="5796898"/>
              </a:xfrm>
              <a:prstGeom prst="rect">
                <a:avLst/>
              </a:prstGeom>
            </xdr:spPr>
          </xdr:pic>
          <xdr:cxnSp macro="">
            <xdr:nvCxnSpPr>
              <xdr:cNvPr id="24" name="Connettore 2 23">
                <a:extLst>
                  <a:ext uri="{FF2B5EF4-FFF2-40B4-BE49-F238E27FC236}">
                    <a16:creationId xmlns:a16="http://schemas.microsoft.com/office/drawing/2014/main" id="{7C5FD693-959D-435E-B118-7437E55E42FB}"/>
                  </a:ext>
                </a:extLst>
              </xdr:cNvPr>
              <xdr:cNvCxnSpPr/>
            </xdr:nvCxnSpPr>
            <xdr:spPr>
              <a:xfrm flipH="1" flipV="1">
                <a:off x="12291754" y="3183776"/>
                <a:ext cx="1468581" cy="648392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9" name="Connettore 2 28">
                <a:extLst>
                  <a:ext uri="{FF2B5EF4-FFF2-40B4-BE49-F238E27FC236}">
                    <a16:creationId xmlns:a16="http://schemas.microsoft.com/office/drawing/2014/main" id="{DDC85FA9-95E7-42AA-BC52-597E909DEF0E}"/>
                  </a:ext>
                </a:extLst>
              </xdr:cNvPr>
              <xdr:cNvCxnSpPr/>
            </xdr:nvCxnSpPr>
            <xdr:spPr>
              <a:xfrm flipH="1">
                <a:off x="12402589" y="6434051"/>
                <a:ext cx="1205347" cy="576349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1" name="Connettore 2 30">
                <a:extLst>
                  <a:ext uri="{FF2B5EF4-FFF2-40B4-BE49-F238E27FC236}">
                    <a16:creationId xmlns:a16="http://schemas.microsoft.com/office/drawing/2014/main" id="{F245A6B2-33B2-40B0-95B4-9FCFBF187F7E}"/>
                  </a:ext>
                </a:extLst>
              </xdr:cNvPr>
              <xdr:cNvCxnSpPr/>
            </xdr:nvCxnSpPr>
            <xdr:spPr>
              <a:xfrm flipV="1">
                <a:off x="19648516" y="3635433"/>
                <a:ext cx="1108364" cy="64562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33" name="Connettore 2 32">
                <a:extLst>
                  <a:ext uri="{FF2B5EF4-FFF2-40B4-BE49-F238E27FC236}">
                    <a16:creationId xmlns:a16="http://schemas.microsoft.com/office/drawing/2014/main" id="{3176EC41-24D8-4E31-95D4-FF118B62BDAE}"/>
                  </a:ext>
                </a:extLst>
              </xdr:cNvPr>
              <xdr:cNvCxnSpPr/>
            </xdr:nvCxnSpPr>
            <xdr:spPr>
              <a:xfrm>
                <a:off x="19496116" y="6350922"/>
                <a:ext cx="1205346" cy="886692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36" name="CasellaDiTesto 35">
              <a:extLst>
                <a:ext uri="{FF2B5EF4-FFF2-40B4-BE49-F238E27FC236}">
                  <a16:creationId xmlns:a16="http://schemas.microsoft.com/office/drawing/2014/main" id="{4C42DFD2-D54A-480D-8DE3-06C306AE0A31}"/>
                </a:ext>
              </a:extLst>
            </xdr:cNvPr>
            <xdr:cNvSpPr txBox="1"/>
          </xdr:nvSpPr>
          <xdr:spPr>
            <a:xfrm>
              <a:off x="25717501" y="3286125"/>
              <a:ext cx="2330630" cy="2440261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y = 0.00000006x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5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- 0.00000626x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4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+ 0.00026340x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3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- 0.00629464x</a:t>
              </a:r>
              <a:r>
                <a:rPr lang="en-US" sz="2000" b="1" baseline="30000">
                  <a:solidFill>
                    <a:srgbClr val="FF0000"/>
                  </a:solidFill>
                  <a:effectLst/>
                </a:rPr>
                <a:t>2</a:t>
              </a:r>
              <a:r>
                <a:rPr lang="en-US" sz="2000" b="1" baseline="0">
                  <a:solidFill>
                    <a:srgbClr val="FF0000"/>
                  </a:solidFill>
                  <a:effectLst/>
                </a:rPr>
                <a:t> + 0.10637590x + 0.00639059</a:t>
              </a:r>
            </a:p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(for extrapolation)</a:t>
              </a:r>
              <a:endParaRPr lang="it-IT" sz="20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38" name="Connettore 2 37">
              <a:extLst>
                <a:ext uri="{FF2B5EF4-FFF2-40B4-BE49-F238E27FC236}">
                  <a16:creationId xmlns:a16="http://schemas.microsoft.com/office/drawing/2014/main" id="{3B71197D-C674-4ECF-B4B1-B23FCF06EB5C}"/>
                </a:ext>
              </a:extLst>
            </xdr:cNvPr>
            <xdr:cNvCxnSpPr/>
          </xdr:nvCxnSpPr>
          <xdr:spPr>
            <a:xfrm flipH="1" flipV="1">
              <a:off x="24536400" y="3257550"/>
              <a:ext cx="1171576" cy="2286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40" name="CasellaDiTesto 39">
              <a:extLst>
                <a:ext uri="{FF2B5EF4-FFF2-40B4-BE49-F238E27FC236}">
                  <a16:creationId xmlns:a16="http://schemas.microsoft.com/office/drawing/2014/main" id="{CEB33153-44D0-4B64-914F-DA37133F914E}"/>
                </a:ext>
              </a:extLst>
            </xdr:cNvPr>
            <xdr:cNvSpPr txBox="1"/>
          </xdr:nvSpPr>
          <xdr:spPr>
            <a:xfrm>
              <a:off x="25269825" y="2143125"/>
              <a:ext cx="3327290" cy="433165"/>
            </a:xfrm>
            <a:prstGeom prst="rect">
              <a:avLst/>
            </a:prstGeom>
            <a:noFill/>
            <a:ln w="28575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lang="en-US" sz="2000" b="1" baseline="0">
                  <a:solidFill>
                    <a:srgbClr val="FF0000"/>
                  </a:solidFill>
                  <a:effectLst/>
                </a:rPr>
                <a:t>y = 0.04x (for extrapolation)</a:t>
              </a:r>
              <a:endParaRPr lang="it-IT" sz="2000" b="1">
                <a:solidFill>
                  <a:srgbClr val="FF0000"/>
                </a:solidFill>
              </a:endParaRPr>
            </a:p>
          </xdr:txBody>
        </xdr:sp>
        <xdr:cxnSp macro="">
          <xdr:nvCxnSpPr>
            <xdr:cNvPr id="41" name="Connettore 2 40">
              <a:extLst>
                <a:ext uri="{FF2B5EF4-FFF2-40B4-BE49-F238E27FC236}">
                  <a16:creationId xmlns:a16="http://schemas.microsoft.com/office/drawing/2014/main" id="{FF905BB5-134D-4B70-98B6-C45FD26AF9AB}"/>
                </a:ext>
              </a:extLst>
            </xdr:cNvPr>
            <xdr:cNvCxnSpPr/>
          </xdr:nvCxnSpPr>
          <xdr:spPr>
            <a:xfrm flipH="1">
              <a:off x="24517350" y="2333625"/>
              <a:ext cx="742951" cy="381000"/>
            </a:xfrm>
            <a:prstGeom prst="straightConnector1">
              <a:avLst/>
            </a:prstGeom>
            <a:ln w="3810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45" name="CasellaDiTesto 44">
            <a:extLst>
              <a:ext uri="{FF2B5EF4-FFF2-40B4-BE49-F238E27FC236}">
                <a16:creationId xmlns:a16="http://schemas.microsoft.com/office/drawing/2014/main" id="{35C27478-2DBD-40C1-921F-512C0DE8C1CF}"/>
              </a:ext>
            </a:extLst>
          </xdr:cNvPr>
          <xdr:cNvSpPr txBox="1"/>
        </xdr:nvSpPr>
        <xdr:spPr>
          <a:xfrm>
            <a:off x="5000625" y="11001375"/>
            <a:ext cx="4461093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800" b="1">
                <a:solidFill>
                  <a:srgbClr val="FF0000"/>
                </a:solidFill>
              </a:rPr>
              <a:t>In</a:t>
            </a:r>
            <a:r>
              <a:rPr lang="it-IT" sz="1800" b="1" baseline="0">
                <a:solidFill>
                  <a:srgbClr val="FF0000"/>
                </a:solidFill>
              </a:rPr>
              <a:t> case of OPTIMIZED_FOWLER assume K2=1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0</xdr:row>
      <xdr:rowOff>0</xdr:rowOff>
    </xdr:from>
    <xdr:to>
      <xdr:col>37</xdr:col>
      <xdr:colOff>263585</xdr:colOff>
      <xdr:row>56</xdr:row>
      <xdr:rowOff>139548</xdr:rowOff>
    </xdr:to>
    <xdr:grpSp>
      <xdr:nvGrpSpPr>
        <xdr:cNvPr id="34" name="Gruppo 33">
          <a:extLst>
            <a:ext uri="{FF2B5EF4-FFF2-40B4-BE49-F238E27FC236}">
              <a16:creationId xmlns:a16="http://schemas.microsoft.com/office/drawing/2014/main" id="{1E736E3B-A250-492E-8EE3-DA9614B0C30C}"/>
            </a:ext>
          </a:extLst>
        </xdr:cNvPr>
        <xdr:cNvGrpSpPr/>
      </xdr:nvGrpSpPr>
      <xdr:grpSpPr>
        <a:xfrm>
          <a:off x="190500" y="0"/>
          <a:ext cx="27158721" cy="11195475"/>
          <a:chOff x="190500" y="0"/>
          <a:chExt cx="27152660" cy="11255223"/>
        </a:xfrm>
      </xdr:grpSpPr>
      <xdr:pic>
        <xdr:nvPicPr>
          <xdr:cNvPr id="17" name="Immagine 16" descr="Delta Clmax_slat_Flowchart">
            <a:extLst>
              <a:ext uri="{FF2B5EF4-FFF2-40B4-BE49-F238E27FC236}">
                <a16:creationId xmlns:a16="http://schemas.microsoft.com/office/drawing/2014/main" id="{0DE8EEC6-31EA-4892-8FBA-2D7CF3C242D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67817" y="0"/>
            <a:ext cx="7757137" cy="545606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9" name="Immagine 18">
            <a:extLst>
              <a:ext uri="{FF2B5EF4-FFF2-40B4-BE49-F238E27FC236}">
                <a16:creationId xmlns:a16="http://schemas.microsoft.com/office/drawing/2014/main" id="{523261F6-A0BB-40AA-9ACB-6888049C8E5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500" y="3143250"/>
            <a:ext cx="9548073" cy="5974598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pic>
        <xdr:nvPicPr>
          <xdr:cNvPr id="21" name="Immagine 20">
            <a:extLst>
              <a:ext uri="{FF2B5EF4-FFF2-40B4-BE49-F238E27FC236}">
                <a16:creationId xmlns:a16="http://schemas.microsoft.com/office/drawing/2014/main" id="{7903094F-8066-4C53-AE4F-F84EAE95C9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17933" y="5676900"/>
            <a:ext cx="9202584" cy="5578323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pic>
        <xdr:nvPicPr>
          <xdr:cNvPr id="25" name="Immagine 24">
            <a:extLst>
              <a:ext uri="{FF2B5EF4-FFF2-40B4-BE49-F238E27FC236}">
                <a16:creationId xmlns:a16="http://schemas.microsoft.com/office/drawing/2014/main" id="{2C895385-2AC4-486F-90C7-2D168D23F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082820" y="3028950"/>
            <a:ext cx="8260340" cy="5014395"/>
          </a:xfrm>
          <a:prstGeom prst="rect">
            <a:avLst/>
          </a:prstGeom>
          <a:ln w="28575">
            <a:solidFill>
              <a:sysClr val="windowText" lastClr="000000"/>
            </a:solidFill>
          </a:ln>
        </xdr:spPr>
      </xdr:pic>
      <xdr:cxnSp macro="">
        <xdr:nvCxnSpPr>
          <xdr:cNvPr id="26" name="Connettore 2 25">
            <a:extLst>
              <a:ext uri="{FF2B5EF4-FFF2-40B4-BE49-F238E27FC236}">
                <a16:creationId xmlns:a16="http://schemas.microsoft.com/office/drawing/2014/main" id="{56725641-F653-4364-9438-CC8C08304DCB}"/>
              </a:ext>
            </a:extLst>
          </xdr:cNvPr>
          <xdr:cNvCxnSpPr/>
        </xdr:nvCxnSpPr>
        <xdr:spPr>
          <a:xfrm>
            <a:off x="17630319" y="2809875"/>
            <a:ext cx="1491758" cy="504825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29" name="Connettore 2 28">
            <a:extLst>
              <a:ext uri="{FF2B5EF4-FFF2-40B4-BE49-F238E27FC236}">
                <a16:creationId xmlns:a16="http://schemas.microsoft.com/office/drawing/2014/main" id="{5C62DEBA-6D33-41E0-8D72-E4ACCE15B6AA}"/>
              </a:ext>
            </a:extLst>
          </xdr:cNvPr>
          <xdr:cNvCxnSpPr/>
        </xdr:nvCxnSpPr>
        <xdr:spPr>
          <a:xfrm>
            <a:off x="15706738" y="5219700"/>
            <a:ext cx="255169" cy="847725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  <xdr:cxnSp macro="">
        <xdr:nvCxnSpPr>
          <xdr:cNvPr id="31" name="Connettore 2 30">
            <a:extLst>
              <a:ext uri="{FF2B5EF4-FFF2-40B4-BE49-F238E27FC236}">
                <a16:creationId xmlns:a16="http://schemas.microsoft.com/office/drawing/2014/main" id="{A7F48E08-8478-4CFC-99DF-D4F632AD6C7F}"/>
              </a:ext>
            </a:extLst>
          </xdr:cNvPr>
          <xdr:cNvCxnSpPr/>
        </xdr:nvCxnSpPr>
        <xdr:spPr>
          <a:xfrm flipH="1">
            <a:off x="8208695" y="2657475"/>
            <a:ext cx="2394663" cy="895350"/>
          </a:xfrm>
          <a:prstGeom prst="straightConnector1">
            <a:avLst/>
          </a:prstGeom>
          <a:ln w="57150">
            <a:tailEnd type="triangle"/>
          </a:ln>
        </xdr:spPr>
        <xdr:style>
          <a:lnRef idx="3">
            <a:schemeClr val="accent2"/>
          </a:lnRef>
          <a:fillRef idx="0">
            <a:schemeClr val="accent2"/>
          </a:fillRef>
          <a:effectRef idx="2">
            <a:schemeClr val="accent2"/>
          </a:effectRef>
          <a:fontRef idx="minor">
            <a:schemeClr val="tx1"/>
          </a:fontRef>
        </xdr:style>
      </xdr:cxn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1066800</xdr:colOff>
      <xdr:row>0</xdr:row>
      <xdr:rowOff>38100</xdr:rowOff>
    </xdr:from>
    <xdr:to>
      <xdr:col>25</xdr:col>
      <xdr:colOff>347402</xdr:colOff>
      <xdr:row>59</xdr:row>
      <xdr:rowOff>31241</xdr:rowOff>
    </xdr:to>
    <xdr:grpSp>
      <xdr:nvGrpSpPr>
        <xdr:cNvPr id="31" name="Gruppo 30">
          <a:extLst>
            <a:ext uri="{FF2B5EF4-FFF2-40B4-BE49-F238E27FC236}">
              <a16:creationId xmlns:a16="http://schemas.microsoft.com/office/drawing/2014/main" id="{C53D2D03-A40D-40F1-8A28-5AA8CAE4AD92}"/>
            </a:ext>
          </a:extLst>
        </xdr:cNvPr>
        <xdr:cNvGrpSpPr/>
      </xdr:nvGrpSpPr>
      <xdr:grpSpPr>
        <a:xfrm>
          <a:off x="3671455" y="38100"/>
          <a:ext cx="16418674" cy="11395432"/>
          <a:chOff x="3657600" y="38100"/>
          <a:chExt cx="16406552" cy="11461241"/>
        </a:xfrm>
      </xdr:grpSpPr>
      <xdr:grpSp>
        <xdr:nvGrpSpPr>
          <xdr:cNvPr id="29" name="Gruppo 28">
            <a:extLst>
              <a:ext uri="{FF2B5EF4-FFF2-40B4-BE49-F238E27FC236}">
                <a16:creationId xmlns:a16="http://schemas.microsoft.com/office/drawing/2014/main" id="{70246C19-5A1F-437E-8F72-B667674A8102}"/>
              </a:ext>
            </a:extLst>
          </xdr:cNvPr>
          <xdr:cNvGrpSpPr/>
        </xdr:nvGrpSpPr>
        <xdr:grpSpPr>
          <a:xfrm>
            <a:off x="3714750" y="38100"/>
            <a:ext cx="16349402" cy="11382883"/>
            <a:chOff x="3714750" y="38100"/>
            <a:chExt cx="15596927" cy="11601958"/>
          </a:xfrm>
        </xdr:grpSpPr>
        <xdr:grpSp>
          <xdr:nvGrpSpPr>
            <xdr:cNvPr id="27" name="Gruppo 26">
              <a:extLst>
                <a:ext uri="{FF2B5EF4-FFF2-40B4-BE49-F238E27FC236}">
                  <a16:creationId xmlns:a16="http://schemas.microsoft.com/office/drawing/2014/main" id="{4A334338-CE2C-4168-B102-189D6FB6288F}"/>
                </a:ext>
              </a:extLst>
            </xdr:cNvPr>
            <xdr:cNvGrpSpPr/>
          </xdr:nvGrpSpPr>
          <xdr:grpSpPr>
            <a:xfrm>
              <a:off x="3714750" y="38100"/>
              <a:ext cx="15596927" cy="11601958"/>
              <a:chOff x="5057775" y="361950"/>
              <a:chExt cx="15596927" cy="11601958"/>
            </a:xfrm>
          </xdr:grpSpPr>
          <xdr:pic>
            <xdr:nvPicPr>
              <xdr:cNvPr id="17" name="Immagine 16" descr="Delta Cl0_Flowchart">
                <a:extLst>
                  <a:ext uri="{FF2B5EF4-FFF2-40B4-BE49-F238E27FC236}">
                    <a16:creationId xmlns:a16="http://schemas.microsoft.com/office/drawing/2014/main" id="{77B111C3-9CFF-4173-9043-2DF8A4764D79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7801655" y="361950"/>
                <a:ext cx="9914845" cy="563880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19" name="Immagine 18">
                <a:extLst>
                  <a:ext uri="{FF2B5EF4-FFF2-40B4-BE49-F238E27FC236}">
                    <a16:creationId xmlns:a16="http://schemas.microsoft.com/office/drawing/2014/main" id="{6FC2C30B-96C1-4D96-B3AF-4BEC2ACBCCC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5057775" y="6096000"/>
                <a:ext cx="7132938" cy="5867908"/>
              </a:xfrm>
              <a:prstGeom prst="rect">
                <a:avLst/>
              </a:prstGeom>
            </xdr:spPr>
          </xdr:pic>
          <xdr:pic>
            <xdr:nvPicPr>
              <xdr:cNvPr id="21" name="Immagine 20">
                <a:extLst>
                  <a:ext uri="{FF2B5EF4-FFF2-40B4-BE49-F238E27FC236}">
                    <a16:creationId xmlns:a16="http://schemas.microsoft.com/office/drawing/2014/main" id="{AB46378E-13B5-42BE-A400-E7609434F3C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2668250" y="5305425"/>
                <a:ext cx="7986452" cy="5989839"/>
              </a:xfrm>
              <a:prstGeom prst="rect">
                <a:avLst/>
              </a:prstGeom>
            </xdr:spPr>
          </xdr:pic>
          <xdr:cxnSp macro="">
            <xdr:nvCxnSpPr>
              <xdr:cNvPr id="22" name="Connettore 2 21">
                <a:extLst>
                  <a:ext uri="{FF2B5EF4-FFF2-40B4-BE49-F238E27FC236}">
                    <a16:creationId xmlns:a16="http://schemas.microsoft.com/office/drawing/2014/main" id="{DFDF6834-01A5-4647-ABD9-F92EE16F06FD}"/>
                  </a:ext>
                </a:extLst>
              </xdr:cNvPr>
              <xdr:cNvCxnSpPr/>
            </xdr:nvCxnSpPr>
            <xdr:spPr>
              <a:xfrm flipH="1">
                <a:off x="7077075" y="5038725"/>
                <a:ext cx="937339" cy="133350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4" name="Connettore 2 23">
                <a:extLst>
                  <a:ext uri="{FF2B5EF4-FFF2-40B4-BE49-F238E27FC236}">
                    <a16:creationId xmlns:a16="http://schemas.microsoft.com/office/drawing/2014/main" id="{4418C0D9-A277-4976-A023-823C4BD71E1E}"/>
                  </a:ext>
                </a:extLst>
              </xdr:cNvPr>
              <xdr:cNvCxnSpPr/>
            </xdr:nvCxnSpPr>
            <xdr:spPr>
              <a:xfrm flipH="1">
                <a:off x="13077825" y="4914900"/>
                <a:ext cx="19050" cy="146685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" name="CasellaDiTesto 27">
              <a:extLst>
                <a:ext uri="{FF2B5EF4-FFF2-40B4-BE49-F238E27FC236}">
                  <a16:creationId xmlns:a16="http://schemas.microsoft.com/office/drawing/2014/main" id="{52C1BE51-C7C1-4052-B6A7-BE512FB8A7B4}"/>
                </a:ext>
              </a:extLst>
            </xdr:cNvPr>
            <xdr:cNvSpPr txBox="1"/>
          </xdr:nvSpPr>
          <xdr:spPr>
            <a:xfrm>
              <a:off x="13896975" y="847725"/>
              <a:ext cx="2404826" cy="53065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it-IT" sz="2800" b="1">
                  <a:solidFill>
                    <a:srgbClr val="FF0000"/>
                  </a:solidFill>
                </a:rPr>
                <a:t>(</a:t>
              </a:r>
              <a:r>
                <a:rPr lang="el-GR" sz="2800" b="1">
                  <a:solidFill>
                    <a:srgbClr val="FF0000"/>
                  </a:solidFill>
                </a:rPr>
                <a:t>α</a:t>
              </a:r>
              <a:r>
                <a:rPr lang="el-GR" sz="2800" b="1" baseline="-25000">
                  <a:solidFill>
                    <a:srgbClr val="FF0000"/>
                  </a:solidFill>
                </a:rPr>
                <a:t>δ</a:t>
              </a:r>
              <a:r>
                <a:rPr lang="it-IT" sz="2800" b="1">
                  <a:solidFill>
                    <a:srgbClr val="FF0000"/>
                  </a:solidFill>
                </a:rPr>
                <a:t>)</a:t>
              </a:r>
              <a:r>
                <a:rPr lang="it-IT" sz="2800" b="1" baseline="-25000">
                  <a:solidFill>
                    <a:srgbClr val="FF0000"/>
                  </a:solidFill>
                </a:rPr>
                <a:t>CL</a:t>
              </a:r>
              <a:r>
                <a:rPr lang="it-IT" sz="2800" b="1">
                  <a:solidFill>
                    <a:srgbClr val="FF0000"/>
                  </a:solidFill>
                </a:rPr>
                <a:t>/(</a:t>
              </a:r>
              <a:r>
                <a:rPr lang="el-GR" sz="2800" b="1">
                  <a:solidFill>
                    <a:srgbClr val="FF0000"/>
                  </a:solidFill>
                </a:rPr>
                <a:t>α</a:t>
              </a:r>
              <a:r>
                <a:rPr lang="el-GR" sz="2800" b="1" baseline="-25000">
                  <a:solidFill>
                    <a:srgbClr val="FF0000"/>
                  </a:solidFill>
                </a:rPr>
                <a:t>δ</a:t>
              </a:r>
              <a:r>
                <a:rPr lang="it-IT" sz="2800" b="1">
                  <a:solidFill>
                    <a:srgbClr val="FF0000"/>
                  </a:solidFill>
                </a:rPr>
                <a:t>)</a:t>
              </a:r>
              <a:r>
                <a:rPr lang="it-IT" sz="2800" b="1" baseline="-25000">
                  <a:solidFill>
                    <a:srgbClr val="FF0000"/>
                  </a:solidFill>
                </a:rPr>
                <a:t>Cl</a:t>
              </a:r>
              <a:r>
                <a:rPr lang="it-IT" sz="2800" b="1" baseline="0">
                  <a:solidFill>
                    <a:srgbClr val="FF0000"/>
                  </a:solidFill>
                </a:rPr>
                <a:t>=Kc</a:t>
              </a:r>
              <a:endParaRPr lang="it-IT" sz="2800" b="1" baseline="-25000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30" name="CasellaDiTesto 29">
            <a:extLst>
              <a:ext uri="{FF2B5EF4-FFF2-40B4-BE49-F238E27FC236}">
                <a16:creationId xmlns:a16="http://schemas.microsoft.com/office/drawing/2014/main" id="{BE840F8B-6FED-4220-AF7A-CFBA36B5046C}"/>
              </a:ext>
            </a:extLst>
          </xdr:cNvPr>
          <xdr:cNvSpPr txBox="1"/>
        </xdr:nvSpPr>
        <xdr:spPr>
          <a:xfrm>
            <a:off x="3657600" y="11125200"/>
            <a:ext cx="8171148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800" b="1">
                <a:solidFill>
                  <a:schemeClr val="tx1"/>
                </a:solidFill>
              </a:rPr>
              <a:t>The value of Kb is</a:t>
            </a:r>
            <a:r>
              <a:rPr lang="it-IT" sz="1800" b="1" baseline="0">
                <a:solidFill>
                  <a:schemeClr val="tx1"/>
                </a:solidFill>
              </a:rPr>
              <a:t> obtained subtracting the value at </a:t>
            </a:r>
            <a:r>
              <a:rPr lang="it-IT" sz="1800" b="1" baseline="0">
                <a:solidFill>
                  <a:srgbClr val="FF0000"/>
                </a:solidFill>
              </a:rPr>
              <a:t>eta_out </a:t>
            </a:r>
            <a:r>
              <a:rPr lang="it-IT" sz="1800" b="1" baseline="0">
                <a:solidFill>
                  <a:schemeClr val="tx1"/>
                </a:solidFill>
              </a:rPr>
              <a:t>and the value at </a:t>
            </a:r>
            <a:r>
              <a:rPr lang="it-IT" sz="1800" b="1" baseline="0">
                <a:solidFill>
                  <a:srgbClr val="FF0000"/>
                </a:solidFill>
              </a:rPr>
              <a:t>eta_in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43250</xdr:colOff>
      <xdr:row>8</xdr:row>
      <xdr:rowOff>9525</xdr:rowOff>
    </xdr:from>
    <xdr:to>
      <xdr:col>11</xdr:col>
      <xdr:colOff>493395</xdr:colOff>
      <xdr:row>23</xdr:row>
      <xdr:rowOff>38100</xdr:rowOff>
    </xdr:to>
    <xdr:grpSp>
      <xdr:nvGrpSpPr>
        <xdr:cNvPr id="19" name="Gruppo 18">
          <a:extLst>
            <a:ext uri="{FF2B5EF4-FFF2-40B4-BE49-F238E27FC236}">
              <a16:creationId xmlns:a16="http://schemas.microsoft.com/office/drawing/2014/main" id="{DE899474-9B60-445F-854C-E31CEAD9C87B}"/>
            </a:ext>
          </a:extLst>
        </xdr:cNvPr>
        <xdr:cNvGrpSpPr/>
      </xdr:nvGrpSpPr>
      <xdr:grpSpPr>
        <a:xfrm>
          <a:off x="43250" y="2322419"/>
          <a:ext cx="10436827" cy="2717987"/>
          <a:chOff x="43250" y="2828925"/>
          <a:chExt cx="10880020" cy="2743200"/>
        </a:xfrm>
      </xdr:grpSpPr>
      <xdr:pic>
        <xdr:nvPicPr>
          <xdr:cNvPr id="17" name="Immagine 16" descr="Delta Clmax_Flowchart">
            <a:extLst>
              <a:ext uri="{FF2B5EF4-FFF2-40B4-BE49-F238E27FC236}">
                <a16:creationId xmlns:a16="http://schemas.microsoft.com/office/drawing/2014/main" id="{4CBB755D-8559-4597-961D-78511BD32B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250" y="2828925"/>
            <a:ext cx="10880020" cy="27432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8" name="Immagine 17" descr="Swf">
            <a:extLst>
              <a:ext uri="{FF2B5EF4-FFF2-40B4-BE49-F238E27FC236}">
                <a16:creationId xmlns:a16="http://schemas.microsoft.com/office/drawing/2014/main" id="{8D219323-9AAD-4CF1-B5D7-82A999491E69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5749" y="4643676"/>
            <a:ext cx="5293995" cy="66174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790575</xdr:colOff>
      <xdr:row>1</xdr:row>
      <xdr:rowOff>162630</xdr:rowOff>
    </xdr:from>
    <xdr:to>
      <xdr:col>17</xdr:col>
      <xdr:colOff>36195</xdr:colOff>
      <xdr:row>6</xdr:row>
      <xdr:rowOff>34290</xdr:rowOff>
    </xdr:to>
    <xdr:pic>
      <xdr:nvPicPr>
        <xdr:cNvPr id="17" name="Immagine 16" descr="CLapha_Flap">
          <a:extLst>
            <a:ext uri="{FF2B5EF4-FFF2-40B4-BE49-F238E27FC236}">
              <a16:creationId xmlns:a16="http://schemas.microsoft.com/office/drawing/2014/main" id="{66B1D241-7261-4979-88F7-E8F6EAF6A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1775" y="438855"/>
          <a:ext cx="8294370" cy="1290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97378</xdr:colOff>
      <xdr:row>3</xdr:row>
      <xdr:rowOff>123825</xdr:rowOff>
    </xdr:from>
    <xdr:to>
      <xdr:col>11</xdr:col>
      <xdr:colOff>133350</xdr:colOff>
      <xdr:row>33</xdr:row>
      <xdr:rowOff>158115</xdr:rowOff>
    </xdr:to>
    <xdr:grpSp>
      <xdr:nvGrpSpPr>
        <xdr:cNvPr id="19" name="Gruppo 18">
          <a:extLst>
            <a:ext uri="{FF2B5EF4-FFF2-40B4-BE49-F238E27FC236}">
              <a16:creationId xmlns:a16="http://schemas.microsoft.com/office/drawing/2014/main" id="{EAC0ECAE-E047-4A20-A564-41F9E665C687}"/>
            </a:ext>
          </a:extLst>
        </xdr:cNvPr>
        <xdr:cNvGrpSpPr/>
      </xdr:nvGrpSpPr>
      <xdr:grpSpPr>
        <a:xfrm>
          <a:off x="97378" y="1109943"/>
          <a:ext cx="10686043" cy="5413113"/>
          <a:chOff x="1126078" y="1143000"/>
          <a:chExt cx="12949968" cy="5720715"/>
        </a:xfrm>
      </xdr:grpSpPr>
      <xdr:pic>
        <xdr:nvPicPr>
          <xdr:cNvPr id="17" name="Immagine 16" descr="DeltaAlpha_Flowchart">
            <a:extLst>
              <a:ext uri="{FF2B5EF4-FFF2-40B4-BE49-F238E27FC236}">
                <a16:creationId xmlns:a16="http://schemas.microsoft.com/office/drawing/2014/main" id="{64859E26-3BFA-489C-8F21-7F2B79C0E28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6078" y="1143000"/>
            <a:ext cx="12949968" cy="572071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CasellaDiTesto 17">
            <a:extLst>
              <a:ext uri="{FF2B5EF4-FFF2-40B4-BE49-F238E27FC236}">
                <a16:creationId xmlns:a16="http://schemas.microsoft.com/office/drawing/2014/main" id="{19DB65B8-BC06-44F2-A00B-3EAAAC92F3A8}"/>
              </a:ext>
            </a:extLst>
          </xdr:cNvPr>
          <xdr:cNvSpPr txBox="1"/>
        </xdr:nvSpPr>
        <xdr:spPr>
          <a:xfrm>
            <a:off x="11877675" y="6372225"/>
            <a:ext cx="1227644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it-IT" sz="1400" b="1"/>
              <a:t>(Mean Airfoil)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457802</xdr:colOff>
      <xdr:row>0</xdr:row>
      <xdr:rowOff>156210</xdr:rowOff>
    </xdr:from>
    <xdr:to>
      <xdr:col>34</xdr:col>
      <xdr:colOff>516947</xdr:colOff>
      <xdr:row>84</xdr:row>
      <xdr:rowOff>12191</xdr:rowOff>
    </xdr:to>
    <xdr:grpSp>
      <xdr:nvGrpSpPr>
        <xdr:cNvPr id="33" name="Gruppo 32">
          <a:extLst>
            <a:ext uri="{FF2B5EF4-FFF2-40B4-BE49-F238E27FC236}">
              <a16:creationId xmlns:a16="http://schemas.microsoft.com/office/drawing/2014/main" id="{148DCD3F-79C4-4459-92B2-596124496E32}"/>
            </a:ext>
          </a:extLst>
        </xdr:cNvPr>
        <xdr:cNvGrpSpPr/>
      </xdr:nvGrpSpPr>
      <xdr:grpSpPr>
        <a:xfrm>
          <a:off x="6011935" y="156210"/>
          <a:ext cx="19464745" cy="16467581"/>
          <a:chOff x="5497888" y="156210"/>
          <a:chExt cx="19479259" cy="16380495"/>
        </a:xfrm>
      </xdr:grpSpPr>
      <xdr:grpSp>
        <xdr:nvGrpSpPr>
          <xdr:cNvPr id="29" name="Gruppo 28">
            <a:extLst>
              <a:ext uri="{FF2B5EF4-FFF2-40B4-BE49-F238E27FC236}">
                <a16:creationId xmlns:a16="http://schemas.microsoft.com/office/drawing/2014/main" id="{AD41DA80-7BD7-42EB-85D3-4188B95798B3}"/>
              </a:ext>
            </a:extLst>
          </xdr:cNvPr>
          <xdr:cNvGrpSpPr/>
        </xdr:nvGrpSpPr>
        <xdr:grpSpPr>
          <a:xfrm>
            <a:off x="5497888" y="156210"/>
            <a:ext cx="19479259" cy="16380495"/>
            <a:chOff x="5497888" y="156210"/>
            <a:chExt cx="19479259" cy="16380495"/>
          </a:xfrm>
        </xdr:grpSpPr>
        <xdr:grpSp>
          <xdr:nvGrpSpPr>
            <xdr:cNvPr id="27" name="Gruppo 26">
              <a:extLst>
                <a:ext uri="{FF2B5EF4-FFF2-40B4-BE49-F238E27FC236}">
                  <a16:creationId xmlns:a16="http://schemas.microsoft.com/office/drawing/2014/main" id="{C0F04D29-19D6-4AF9-BBE9-6898CB19531D}"/>
                </a:ext>
              </a:extLst>
            </xdr:cNvPr>
            <xdr:cNvGrpSpPr/>
          </xdr:nvGrpSpPr>
          <xdr:grpSpPr>
            <a:xfrm>
              <a:off x="5497888" y="156210"/>
              <a:ext cx="19479259" cy="15895594"/>
              <a:chOff x="1585562" y="2350770"/>
              <a:chExt cx="19505385" cy="15714891"/>
            </a:xfrm>
          </xdr:grpSpPr>
          <xdr:pic>
            <xdr:nvPicPr>
              <xdr:cNvPr id="2" name="Immagine 1" descr="Delta CD0_FlowChart">
                <a:extLst>
                  <a:ext uri="{FF2B5EF4-FFF2-40B4-BE49-F238E27FC236}">
                    <a16:creationId xmlns:a16="http://schemas.microsoft.com/office/drawing/2014/main" id="{A24FEB58-0911-465F-A8A1-DF7915237D6C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7820025" y="3036570"/>
                <a:ext cx="6564630" cy="864108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pic>
            <xdr:nvPicPr>
              <xdr:cNvPr id="4" name="Immagine 3">
                <a:extLst>
                  <a:ext uri="{FF2B5EF4-FFF2-40B4-BE49-F238E27FC236}">
                    <a16:creationId xmlns:a16="http://schemas.microsoft.com/office/drawing/2014/main" id="{F8A74F04-BA51-41FD-886A-1A55BA811F8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585562" y="2476500"/>
                <a:ext cx="6034438" cy="4911141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6" name="Immagine 5">
                <a:extLst>
                  <a:ext uri="{FF2B5EF4-FFF2-40B4-BE49-F238E27FC236}">
                    <a16:creationId xmlns:a16="http://schemas.microsoft.com/office/drawing/2014/main" id="{C2A01658-D1EA-408F-8483-D75A33D40E07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4609445" y="2350770"/>
                <a:ext cx="6330960" cy="4995675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8" name="Immagine 7">
                <a:extLst>
                  <a:ext uri="{FF2B5EF4-FFF2-40B4-BE49-F238E27FC236}">
                    <a16:creationId xmlns:a16="http://schemas.microsoft.com/office/drawing/2014/main" id="{445FB85B-9D54-4DA7-90FB-7466B8821ACA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4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786889" y="7326631"/>
                <a:ext cx="5823584" cy="4389120"/>
              </a:xfrm>
              <a:prstGeom prst="rect">
                <a:avLst/>
              </a:prstGeom>
              <a:ln w="28575">
                <a:solidFill>
                  <a:sysClr val="windowText" lastClr="000000"/>
                </a:solidFill>
              </a:ln>
            </xdr:spPr>
          </xdr:pic>
          <xdr:pic>
            <xdr:nvPicPr>
              <xdr:cNvPr id="10" name="Immagine 9">
                <a:extLst>
                  <a:ext uri="{FF2B5EF4-FFF2-40B4-BE49-F238E27FC236}">
                    <a16:creationId xmlns:a16="http://schemas.microsoft.com/office/drawing/2014/main" id="{578E9C94-DB36-4673-BCC1-DF9630603E2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14580870" y="7355205"/>
                <a:ext cx="6510077" cy="5128467"/>
              </a:xfrm>
              <a:prstGeom prst="rect">
                <a:avLst/>
              </a:prstGeom>
              <a:ln w="38100">
                <a:solidFill>
                  <a:sysClr val="windowText" lastClr="000000"/>
                </a:solidFill>
              </a:ln>
            </xdr:spPr>
          </xdr:pic>
          <xdr:pic>
            <xdr:nvPicPr>
              <xdr:cNvPr id="12" name="Immagine 11">
                <a:extLst>
                  <a:ext uri="{FF2B5EF4-FFF2-40B4-BE49-F238E27FC236}">
                    <a16:creationId xmlns:a16="http://schemas.microsoft.com/office/drawing/2014/main" id="{1AC87DD3-E38F-4F2F-A7D8-BCE0C6DB53C6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6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7515225" y="11696700"/>
                <a:ext cx="7708296" cy="6368961"/>
              </a:xfrm>
              <a:prstGeom prst="rect">
                <a:avLst/>
              </a:prstGeom>
              <a:ln w="38100">
                <a:solidFill>
                  <a:sysClr val="windowText" lastClr="000000"/>
                </a:solidFill>
              </a:ln>
            </xdr:spPr>
          </xdr:pic>
          <xdr:cxnSp macro="">
            <xdr:nvCxnSpPr>
              <xdr:cNvPr id="14" name="Connettore 2 13">
                <a:extLst>
                  <a:ext uri="{FF2B5EF4-FFF2-40B4-BE49-F238E27FC236}">
                    <a16:creationId xmlns:a16="http://schemas.microsoft.com/office/drawing/2014/main" id="{4C1521D2-D3B5-4E00-8969-B1A5EEB3C3E1}"/>
                  </a:ext>
                </a:extLst>
              </xdr:cNvPr>
              <xdr:cNvCxnSpPr/>
            </xdr:nvCxnSpPr>
            <xdr:spPr>
              <a:xfrm flipH="1">
                <a:off x="6370320" y="4634865"/>
                <a:ext cx="1654556" cy="30289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6" name="Connettore 2 15">
                <a:extLst>
                  <a:ext uri="{FF2B5EF4-FFF2-40B4-BE49-F238E27FC236}">
                    <a16:creationId xmlns:a16="http://schemas.microsoft.com/office/drawing/2014/main" id="{53E1A1BE-E2FE-41CE-B20E-E102E039C646}"/>
                  </a:ext>
                </a:extLst>
              </xdr:cNvPr>
              <xdr:cNvCxnSpPr/>
            </xdr:nvCxnSpPr>
            <xdr:spPr>
              <a:xfrm flipH="1">
                <a:off x="6217920" y="7499985"/>
                <a:ext cx="1696466" cy="42481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18" name="Connettore 2 17">
                <a:extLst>
                  <a:ext uri="{FF2B5EF4-FFF2-40B4-BE49-F238E27FC236}">
                    <a16:creationId xmlns:a16="http://schemas.microsoft.com/office/drawing/2014/main" id="{50714913-96CA-4D65-8FCE-079EE7025FA0}"/>
                  </a:ext>
                </a:extLst>
              </xdr:cNvPr>
              <xdr:cNvCxnSpPr/>
            </xdr:nvCxnSpPr>
            <xdr:spPr>
              <a:xfrm flipV="1">
                <a:off x="14254226" y="4175760"/>
                <a:ext cx="833374" cy="93345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0" name="Connettore 2 19">
                <a:extLst>
                  <a:ext uri="{FF2B5EF4-FFF2-40B4-BE49-F238E27FC236}">
                    <a16:creationId xmlns:a16="http://schemas.microsoft.com/office/drawing/2014/main" id="{7E306AD6-2362-4087-A7BB-90C32DA6A227}"/>
                  </a:ext>
                </a:extLst>
              </xdr:cNvPr>
              <xdr:cNvCxnSpPr/>
            </xdr:nvCxnSpPr>
            <xdr:spPr>
              <a:xfrm>
                <a:off x="14112240" y="7680961"/>
                <a:ext cx="1066800" cy="274319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  <xdr:cxnSp macro="">
            <xdr:nvCxnSpPr>
              <xdr:cNvPr id="23" name="Connettore 2 22">
                <a:extLst>
                  <a:ext uri="{FF2B5EF4-FFF2-40B4-BE49-F238E27FC236}">
                    <a16:creationId xmlns:a16="http://schemas.microsoft.com/office/drawing/2014/main" id="{6E37849E-2AEB-4B77-93CB-3EB44FB7D19D}"/>
                  </a:ext>
                </a:extLst>
              </xdr:cNvPr>
              <xdr:cNvCxnSpPr/>
            </xdr:nvCxnSpPr>
            <xdr:spPr>
              <a:xfrm>
                <a:off x="12557760" y="11582400"/>
                <a:ext cx="91440" cy="457200"/>
              </a:xfrm>
              <a:prstGeom prst="straightConnector1">
                <a:avLst/>
              </a:prstGeom>
              <a:ln w="57150">
                <a:tailEnd type="triangle"/>
              </a:ln>
            </xdr:spPr>
            <xdr:style>
              <a:lnRef idx="3">
                <a:schemeClr val="accent2"/>
              </a:lnRef>
              <a:fillRef idx="0">
                <a:schemeClr val="accent2"/>
              </a:fillRef>
              <a:effectRef idx="2">
                <a:schemeClr val="accent2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28" name="CasellaDiTesto 27">
              <a:extLst>
                <a:ext uri="{FF2B5EF4-FFF2-40B4-BE49-F238E27FC236}">
                  <a16:creationId xmlns:a16="http://schemas.microsoft.com/office/drawing/2014/main" id="{212CCCC0-D4BC-4242-8558-C524C5DACA3E}"/>
                </a:ext>
              </a:extLst>
            </xdr:cNvPr>
            <xdr:cNvSpPr txBox="1"/>
          </xdr:nvSpPr>
          <xdr:spPr>
            <a:xfrm>
              <a:off x="10801350" y="16154400"/>
              <a:ext cx="8825593" cy="382305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noAutofit/>
            </a:bodyPr>
            <a:lstStyle/>
            <a:p>
              <a:r>
                <a:rPr lang="it-IT" sz="1800" b="1">
                  <a:solidFill>
                    <a:schemeClr val="tx1"/>
                  </a:solidFill>
                </a:rPr>
                <a:t>The value of </a:t>
              </a:r>
              <a:r>
                <a:rPr lang="el-GR" sz="1800" b="1">
                  <a:solidFill>
                    <a:schemeClr val="tx1"/>
                  </a:solidFill>
                </a:rPr>
                <a:t>δ</a:t>
              </a:r>
              <a:r>
                <a:rPr lang="it-IT" sz="1800" b="1" baseline="-25000">
                  <a:solidFill>
                    <a:schemeClr val="tx1"/>
                  </a:solidFill>
                </a:rPr>
                <a:t>3</a:t>
              </a:r>
              <a:r>
                <a:rPr lang="it-IT" sz="1800" b="1" baseline="0">
                  <a:solidFill>
                    <a:schemeClr val="tx1"/>
                  </a:solidFill>
                </a:rPr>
                <a:t> is obtained entering the chart with a value of </a:t>
              </a:r>
              <a:r>
                <a:rPr lang="it-IT" sz="1800" b="1" baseline="0">
                  <a:solidFill>
                    <a:srgbClr val="FF0000"/>
                  </a:solidFill>
                </a:rPr>
                <a:t>b</a:t>
              </a:r>
              <a:r>
                <a:rPr lang="it-IT" sz="1800" b="1" baseline="-25000">
                  <a:solidFill>
                    <a:srgbClr val="FF0000"/>
                  </a:solidFill>
                </a:rPr>
                <a:t>f</a:t>
              </a:r>
              <a:r>
                <a:rPr lang="it-IT" sz="1800" b="1" baseline="0">
                  <a:solidFill>
                    <a:srgbClr val="FF0000"/>
                  </a:solidFill>
                </a:rPr>
                <a:t>/b</a:t>
              </a:r>
              <a:r>
                <a:rPr lang="it-IT" sz="1800" b="1" baseline="0">
                  <a:solidFill>
                    <a:schemeClr val="tx1"/>
                  </a:solidFill>
                </a:rPr>
                <a:t> equal to </a:t>
              </a:r>
              <a:r>
                <a:rPr lang="it-IT" sz="1800" b="1" baseline="0">
                  <a:solidFill>
                    <a:srgbClr val="FF0000"/>
                  </a:solidFill>
                </a:rPr>
                <a:t>eta_out - eta_in</a:t>
              </a:r>
              <a:endParaRPr lang="it-IT" sz="18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32" name="CasellaDiTesto 31">
            <a:extLst>
              <a:ext uri="{FF2B5EF4-FFF2-40B4-BE49-F238E27FC236}">
                <a16:creationId xmlns:a16="http://schemas.microsoft.com/office/drawing/2014/main" id="{DC57B35A-379B-4271-9A20-F25011C9892B}"/>
              </a:ext>
            </a:extLst>
          </xdr:cNvPr>
          <xdr:cNvSpPr txBox="1"/>
        </xdr:nvSpPr>
        <xdr:spPr>
          <a:xfrm>
            <a:off x="21706114" y="10003972"/>
            <a:ext cx="301557" cy="264560"/>
          </a:xfrm>
          <a:prstGeom prst="rect">
            <a:avLst/>
          </a:prstGeom>
          <a:solidFill>
            <a:sysClr val="window" lastClr="FFFFFF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l-GR" sz="1100"/>
              <a:t>δ</a:t>
            </a:r>
            <a:r>
              <a:rPr lang="it-IT" sz="1100"/>
              <a:t>f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676275</xdr:colOff>
      <xdr:row>3</xdr:row>
      <xdr:rowOff>209550</xdr:rowOff>
    </xdr:from>
    <xdr:to>
      <xdr:col>24</xdr:col>
      <xdr:colOff>47625</xdr:colOff>
      <xdr:row>43</xdr:row>
      <xdr:rowOff>88391</xdr:rowOff>
    </xdr:to>
    <xdr:grpSp>
      <xdr:nvGrpSpPr>
        <xdr:cNvPr id="27" name="Gruppo 26">
          <a:extLst>
            <a:ext uri="{FF2B5EF4-FFF2-40B4-BE49-F238E27FC236}">
              <a16:creationId xmlns:a16="http://schemas.microsoft.com/office/drawing/2014/main" id="{B4AA5A23-941B-40E1-BD57-8FFD488FC5EB}"/>
            </a:ext>
          </a:extLst>
        </xdr:cNvPr>
        <xdr:cNvGrpSpPr/>
      </xdr:nvGrpSpPr>
      <xdr:grpSpPr>
        <a:xfrm>
          <a:off x="676275" y="869950"/>
          <a:ext cx="17947217" cy="8167708"/>
          <a:chOff x="678033" y="866775"/>
          <a:chExt cx="17724267" cy="8022716"/>
        </a:xfrm>
      </xdr:grpSpPr>
      <xdr:grpSp>
        <xdr:nvGrpSpPr>
          <xdr:cNvPr id="20" name="Gruppo 19">
            <a:extLst>
              <a:ext uri="{FF2B5EF4-FFF2-40B4-BE49-F238E27FC236}">
                <a16:creationId xmlns:a16="http://schemas.microsoft.com/office/drawing/2014/main" id="{9AA255CE-778D-458F-91CE-02E8D3C57C54}"/>
              </a:ext>
            </a:extLst>
          </xdr:cNvPr>
          <xdr:cNvGrpSpPr/>
        </xdr:nvGrpSpPr>
        <xdr:grpSpPr>
          <a:xfrm>
            <a:off x="678033" y="866775"/>
            <a:ext cx="17724267" cy="7629524"/>
            <a:chOff x="820908" y="581025"/>
            <a:chExt cx="17724267" cy="6933779"/>
          </a:xfrm>
        </xdr:grpSpPr>
        <xdr:pic>
          <xdr:nvPicPr>
            <xdr:cNvPr id="2" name="Immagine 1" descr="Delta CM">
              <a:extLst>
                <a:ext uri="{FF2B5EF4-FFF2-40B4-BE49-F238E27FC236}">
                  <a16:creationId xmlns:a16="http://schemas.microsoft.com/office/drawing/2014/main" id="{22BBD8E1-F87E-44F2-86B5-6B01DCCB81F6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755243" y="581025"/>
              <a:ext cx="9259968" cy="1773555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pic>
          <xdr:nvPicPr>
            <xdr:cNvPr id="6" name="Immagine 5">
              <a:extLst>
                <a:ext uri="{FF2B5EF4-FFF2-40B4-BE49-F238E27FC236}">
                  <a16:creationId xmlns:a16="http://schemas.microsoft.com/office/drawing/2014/main" id="{071E04C9-3D2B-4F70-99EE-DFBCA1BD506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820908" y="2501601"/>
              <a:ext cx="5772150" cy="4023709"/>
            </a:xfrm>
            <a:prstGeom prst="rect">
              <a:avLst/>
            </a:prstGeom>
          </xdr:spPr>
        </xdr:pic>
        <xdr:pic>
          <xdr:nvPicPr>
            <xdr:cNvPr id="8" name="Immagine 7">
              <a:extLst>
                <a:ext uri="{FF2B5EF4-FFF2-40B4-BE49-F238E27FC236}">
                  <a16:creationId xmlns:a16="http://schemas.microsoft.com/office/drawing/2014/main" id="{9B40ABC3-37DA-48E1-A1C0-27495D9BF4C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5863" r="8454" b="2178"/>
            <a:stretch/>
          </xdr:blipFill>
          <xdr:spPr>
            <a:xfrm>
              <a:off x="6600825" y="2520060"/>
              <a:ext cx="6438900" cy="4994744"/>
            </a:xfrm>
            <a:prstGeom prst="rect">
              <a:avLst/>
            </a:prstGeom>
          </xdr:spPr>
        </xdr:pic>
        <xdr:pic>
          <xdr:nvPicPr>
            <xdr:cNvPr id="10" name="Immagine 9">
              <a:extLst>
                <a:ext uri="{FF2B5EF4-FFF2-40B4-BE49-F238E27FC236}">
                  <a16:creationId xmlns:a16="http://schemas.microsoft.com/office/drawing/2014/main" id="{4BBDBFD5-AAF7-4C85-ADFC-4F7C07B1C0F1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4335" r="6461"/>
            <a:stretch/>
          </xdr:blipFill>
          <xdr:spPr>
            <a:xfrm>
              <a:off x="13154024" y="2482051"/>
              <a:ext cx="5391151" cy="4683731"/>
            </a:xfrm>
            <a:prstGeom prst="rect">
              <a:avLst/>
            </a:prstGeom>
          </xdr:spPr>
        </xdr:pic>
        <xdr:sp macro="" textlink="">
          <xdr:nvSpPr>
            <xdr:cNvPr id="11" name="Ovale 10">
              <a:extLst>
                <a:ext uri="{FF2B5EF4-FFF2-40B4-BE49-F238E27FC236}">
                  <a16:creationId xmlns:a16="http://schemas.microsoft.com/office/drawing/2014/main" id="{7D8FD0EC-6C97-4C5D-8E30-7F9BB1FE9213}"/>
                </a:ext>
              </a:extLst>
            </xdr:cNvPr>
            <xdr:cNvSpPr/>
          </xdr:nvSpPr>
          <xdr:spPr>
            <a:xfrm>
              <a:off x="7105650" y="1000125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12" name="Ovale 11">
              <a:extLst>
                <a:ext uri="{FF2B5EF4-FFF2-40B4-BE49-F238E27FC236}">
                  <a16:creationId xmlns:a16="http://schemas.microsoft.com/office/drawing/2014/main" id="{E6922B43-7C72-4015-9B6D-E82B81A27D62}"/>
                </a:ext>
              </a:extLst>
            </xdr:cNvPr>
            <xdr:cNvSpPr/>
          </xdr:nvSpPr>
          <xdr:spPr>
            <a:xfrm>
              <a:off x="7839075" y="990600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sp macro="" textlink="">
          <xdr:nvSpPr>
            <xdr:cNvPr id="13" name="Ovale 12">
              <a:extLst>
                <a:ext uri="{FF2B5EF4-FFF2-40B4-BE49-F238E27FC236}">
                  <a16:creationId xmlns:a16="http://schemas.microsoft.com/office/drawing/2014/main" id="{AC233D34-085B-4E6F-B01E-6F1E82BE2A59}"/>
                </a:ext>
              </a:extLst>
            </xdr:cNvPr>
            <xdr:cNvSpPr/>
          </xdr:nvSpPr>
          <xdr:spPr>
            <a:xfrm>
              <a:off x="8553450" y="1581150"/>
              <a:ext cx="381000" cy="342900"/>
            </a:xfrm>
            <a:prstGeom prst="ellipse">
              <a:avLst/>
            </a:prstGeom>
            <a:noFill/>
            <a:ln w="28575" cap="flat" cmpd="sng" algn="ctr">
              <a:solidFill>
                <a:schemeClr val="accent2"/>
              </a:solidFill>
              <a:prstDash val="solid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accent2"/>
            </a:fontRef>
          </xdr:style>
          <xdr:txBody>
            <a:bodyPr vertOverflow="clip" horzOverflow="clip" rtlCol="0" anchor="t"/>
            <a:lstStyle/>
            <a:p>
              <a:pPr algn="l"/>
              <a:endParaRPr lang="it-IT" sz="1100"/>
            </a:p>
          </xdr:txBody>
        </xdr:sp>
        <xdr:cxnSp macro="">
          <xdr:nvCxnSpPr>
            <xdr:cNvPr id="14" name="Connettore 2 13">
              <a:extLst>
                <a:ext uri="{FF2B5EF4-FFF2-40B4-BE49-F238E27FC236}">
                  <a16:creationId xmlns:a16="http://schemas.microsoft.com/office/drawing/2014/main" id="{CEECC34C-105E-44EC-B68E-91D0F10094C4}"/>
                </a:ext>
              </a:extLst>
            </xdr:cNvPr>
            <xdr:cNvCxnSpPr>
              <a:stCxn id="11" idx="4"/>
            </xdr:cNvCxnSpPr>
          </xdr:nvCxnSpPr>
          <xdr:spPr>
            <a:xfrm>
              <a:off x="7296150" y="1343025"/>
              <a:ext cx="171450" cy="1306881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6" name="Connettore 2 15">
              <a:extLst>
                <a:ext uri="{FF2B5EF4-FFF2-40B4-BE49-F238E27FC236}">
                  <a16:creationId xmlns:a16="http://schemas.microsoft.com/office/drawing/2014/main" id="{BFBBB194-F8D9-4B25-9A9C-938BCB4A2279}"/>
                </a:ext>
              </a:extLst>
            </xdr:cNvPr>
            <xdr:cNvCxnSpPr>
              <a:stCxn id="12" idx="3"/>
            </xdr:cNvCxnSpPr>
          </xdr:nvCxnSpPr>
          <xdr:spPr>
            <a:xfrm flipH="1">
              <a:off x="5105400" y="1283283"/>
              <a:ext cx="2789471" cy="1297371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8" name="Connettore 2 17">
              <a:extLst>
                <a:ext uri="{FF2B5EF4-FFF2-40B4-BE49-F238E27FC236}">
                  <a16:creationId xmlns:a16="http://schemas.microsoft.com/office/drawing/2014/main" id="{458C6D45-3252-492B-A356-CD2BDAC7B212}"/>
                </a:ext>
              </a:extLst>
            </xdr:cNvPr>
            <xdr:cNvCxnSpPr>
              <a:stCxn id="13" idx="5"/>
            </xdr:cNvCxnSpPr>
          </xdr:nvCxnSpPr>
          <xdr:spPr>
            <a:xfrm>
              <a:off x="8878654" y="1873834"/>
              <a:ext cx="5475521" cy="732790"/>
            </a:xfrm>
            <a:prstGeom prst="straightConnector1">
              <a:avLst/>
            </a:prstGeom>
            <a:ln w="57150">
              <a:tailEnd type="triangle"/>
            </a:ln>
          </xdr:spPr>
          <xdr:style>
            <a:lnRef idx="3">
              <a:schemeClr val="accent2"/>
            </a:lnRef>
            <a:fillRef idx="0">
              <a:schemeClr val="accent2"/>
            </a:fillRef>
            <a:effectRef idx="2">
              <a:schemeClr val="accent2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CasellaDiTesto 23">
            <a:extLst>
              <a:ext uri="{FF2B5EF4-FFF2-40B4-BE49-F238E27FC236}">
                <a16:creationId xmlns:a16="http://schemas.microsoft.com/office/drawing/2014/main" id="{12BE0899-C89D-448F-AC61-9FC71E893E8E}"/>
              </a:ext>
            </a:extLst>
          </xdr:cNvPr>
          <xdr:cNvSpPr txBox="1"/>
        </xdr:nvSpPr>
        <xdr:spPr>
          <a:xfrm>
            <a:off x="7962899" y="8515350"/>
            <a:ext cx="10039351" cy="37414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it-IT" sz="1800" b="1">
                <a:solidFill>
                  <a:schemeClr val="tx1"/>
                </a:solidFill>
              </a:rPr>
              <a:t>The values of </a:t>
            </a:r>
            <a:r>
              <a:rPr lang="el-GR" sz="1800" b="1">
                <a:solidFill>
                  <a:schemeClr val="tx1"/>
                </a:solidFill>
              </a:rPr>
              <a:t>μ</a:t>
            </a:r>
            <a:r>
              <a:rPr lang="it-IT" sz="1800" b="1" baseline="-25000">
                <a:solidFill>
                  <a:schemeClr val="tx1"/>
                </a:solidFill>
              </a:rPr>
              <a:t>2</a:t>
            </a:r>
            <a:r>
              <a:rPr lang="it-IT" sz="1800" b="1" baseline="0">
                <a:solidFill>
                  <a:schemeClr val="tx1"/>
                </a:solidFill>
              </a:rPr>
              <a:t> and </a:t>
            </a:r>
            <a:r>
              <a:rPr lang="it-IT" sz="18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μ</a:t>
            </a:r>
            <a:r>
              <a:rPr lang="it-IT" sz="1100" b="1" baseline="-250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 </a:t>
            </a:r>
            <a:r>
              <a:rPr lang="it-IT" sz="1800" b="1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are</a:t>
            </a:r>
            <a:r>
              <a:rPr lang="it-IT" sz="1800" b="1" baseline="0">
                <a:solidFill>
                  <a:schemeClr val="tx1"/>
                </a:solidFill>
              </a:rPr>
              <a:t> obtained entering the charts with a value of </a:t>
            </a:r>
            <a:r>
              <a:rPr lang="it-IT" sz="1800" b="1" baseline="0">
                <a:solidFill>
                  <a:srgbClr val="FF0000"/>
                </a:solidFill>
              </a:rPr>
              <a:t>b</a:t>
            </a:r>
            <a:r>
              <a:rPr lang="it-IT" sz="1800" b="1" baseline="-25000">
                <a:solidFill>
                  <a:srgbClr val="FF0000"/>
                </a:solidFill>
              </a:rPr>
              <a:t>f</a:t>
            </a:r>
            <a:r>
              <a:rPr lang="it-IT" sz="1800" b="1" baseline="0">
                <a:solidFill>
                  <a:srgbClr val="FF0000"/>
                </a:solidFill>
              </a:rPr>
              <a:t>/b</a:t>
            </a:r>
            <a:r>
              <a:rPr lang="it-IT" sz="1800" b="1" baseline="0">
                <a:solidFill>
                  <a:schemeClr val="tx1"/>
                </a:solidFill>
              </a:rPr>
              <a:t> equal to </a:t>
            </a:r>
            <a:r>
              <a:rPr lang="it-IT" sz="1800" b="1" baseline="0">
                <a:solidFill>
                  <a:srgbClr val="FF0000"/>
                </a:solidFill>
              </a:rPr>
              <a:t>eta_out - eta_in</a:t>
            </a:r>
            <a:endParaRPr lang="it-IT" sz="18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142875</xdr:colOff>
      <xdr:row>0</xdr:row>
      <xdr:rowOff>219074</xdr:rowOff>
    </xdr:from>
    <xdr:to>
      <xdr:col>15</xdr:col>
      <xdr:colOff>409575</xdr:colOff>
      <xdr:row>23</xdr:row>
      <xdr:rowOff>180974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FBDC2C4C-A593-426C-99D1-96F9F42D9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I79"/>
  <sheetViews>
    <sheetView zoomScale="80" zoomScaleNormal="80" workbookViewId="0">
      <selection activeCell="C7" sqref="C7"/>
    </sheetView>
  </sheetViews>
  <sheetFormatPr defaultRowHeight="14.4" x14ac:dyDescent="0.3"/>
  <cols>
    <col min="1" max="1" width="26.109375" bestFit="1" customWidth="1"/>
    <col min="2" max="2" width="23.5546875" customWidth="1"/>
    <col min="3" max="4" width="20.88671875" customWidth="1"/>
    <col min="5" max="5" width="15.88671875" customWidth="1"/>
    <col min="6" max="7" width="18.6640625" bestFit="1" customWidth="1"/>
    <col min="8" max="8" width="18.44140625" bestFit="1" customWidth="1"/>
    <col min="9" max="9" width="13.6640625" customWidth="1"/>
    <col min="10" max="11" width="9.33203125" bestFit="1" customWidth="1"/>
  </cols>
  <sheetData>
    <row r="1" spans="1:2" ht="18.600000000000001" thickBot="1" x14ac:dyDescent="0.4">
      <c r="A1" s="237" t="s">
        <v>0</v>
      </c>
      <c r="B1" s="238"/>
    </row>
    <row r="2" spans="1:2" ht="15" thickBot="1" x14ac:dyDescent="0.35">
      <c r="A2" s="235" t="s">
        <v>1</v>
      </c>
      <c r="B2" s="236"/>
    </row>
    <row r="3" spans="1:2" ht="15" thickBot="1" x14ac:dyDescent="0.35">
      <c r="A3" s="2" t="s">
        <v>2</v>
      </c>
      <c r="B3" s="1">
        <v>0</v>
      </c>
    </row>
    <row r="4" spans="1:2" ht="15" thickBot="1" x14ac:dyDescent="0.35">
      <c r="A4" s="239" t="s">
        <v>3</v>
      </c>
      <c r="B4" s="240"/>
    </row>
    <row r="5" spans="1:2" x14ac:dyDescent="0.3">
      <c r="A5" s="22" t="s">
        <v>4</v>
      </c>
      <c r="B5" s="19">
        <v>12.47</v>
      </c>
    </row>
    <row r="6" spans="1:2" x14ac:dyDescent="0.3">
      <c r="A6" s="23" t="s">
        <v>5</v>
      </c>
      <c r="B6" s="20">
        <v>90.92</v>
      </c>
    </row>
    <row r="7" spans="1:2" ht="15.6" x14ac:dyDescent="0.35">
      <c r="A7" s="23" t="s">
        <v>6</v>
      </c>
      <c r="B7" s="20">
        <v>3.64</v>
      </c>
    </row>
    <row r="8" spans="1:2" ht="15.6" x14ac:dyDescent="0.35">
      <c r="A8" s="23" t="s">
        <v>7</v>
      </c>
      <c r="B8" s="139">
        <v>1.7</v>
      </c>
    </row>
    <row r="9" spans="1:2" ht="15.6" x14ac:dyDescent="0.35">
      <c r="A9" s="23" t="s">
        <v>8</v>
      </c>
      <c r="B9" s="20">
        <v>1.6</v>
      </c>
    </row>
    <row r="10" spans="1:2" ht="16.2" thickBot="1" x14ac:dyDescent="0.4">
      <c r="A10" s="24" t="s">
        <v>9</v>
      </c>
      <c r="B10" s="229">
        <v>0.48199999999999998</v>
      </c>
    </row>
    <row r="11" spans="1:2" ht="15" thickBot="1" x14ac:dyDescent="0.35">
      <c r="A11" s="239" t="s">
        <v>10</v>
      </c>
      <c r="B11" s="240"/>
    </row>
    <row r="12" spans="1:2" ht="15.6" x14ac:dyDescent="0.35">
      <c r="A12" s="22" t="s">
        <v>11</v>
      </c>
      <c r="B12" s="19">
        <v>12.8</v>
      </c>
    </row>
    <row r="13" spans="1:2" ht="16.2" x14ac:dyDescent="0.3">
      <c r="A13" s="23" t="s">
        <v>12</v>
      </c>
      <c r="B13" s="20">
        <v>7.2</v>
      </c>
    </row>
    <row r="14" spans="1:2" ht="15.6" x14ac:dyDescent="0.35">
      <c r="A14" s="17" t="s">
        <v>13</v>
      </c>
      <c r="B14" s="20">
        <v>0.123</v>
      </c>
    </row>
    <row r="15" spans="1:2" ht="15.6" x14ac:dyDescent="0.35">
      <c r="A15" s="17" t="s">
        <v>14</v>
      </c>
      <c r="B15" s="20">
        <v>0.62</v>
      </c>
    </row>
    <row r="16" spans="1:2" ht="16.8" x14ac:dyDescent="0.35">
      <c r="A16" s="17" t="s">
        <v>15</v>
      </c>
      <c r="B16" s="20">
        <v>1.48</v>
      </c>
    </row>
    <row r="17" spans="1:7" ht="16.2" thickBot="1" x14ac:dyDescent="0.4">
      <c r="A17" s="18" t="s">
        <v>16</v>
      </c>
      <c r="B17" s="21">
        <v>1.72</v>
      </c>
    </row>
    <row r="18" spans="1:7" ht="15" thickBot="1" x14ac:dyDescent="0.35">
      <c r="A18" s="241" t="s">
        <v>17</v>
      </c>
      <c r="B18" s="242"/>
      <c r="C18" s="242"/>
      <c r="D18" s="243"/>
    </row>
    <row r="19" spans="1:7" x14ac:dyDescent="0.3">
      <c r="A19" s="28" t="s">
        <v>18</v>
      </c>
      <c r="B19" s="7">
        <v>0</v>
      </c>
      <c r="C19" s="8">
        <v>5.73</v>
      </c>
      <c r="D19" s="9">
        <v>16.850000000000001</v>
      </c>
    </row>
    <row r="20" spans="1:7" x14ac:dyDescent="0.3">
      <c r="A20" s="26" t="s">
        <v>19</v>
      </c>
      <c r="B20" s="10">
        <v>3.16</v>
      </c>
      <c r="C20" s="3">
        <v>3.16</v>
      </c>
      <c r="D20" s="11">
        <v>1.76</v>
      </c>
    </row>
    <row r="21" spans="1:7" ht="15.6" x14ac:dyDescent="0.35">
      <c r="A21" s="26" t="s">
        <v>20</v>
      </c>
      <c r="B21" s="10">
        <v>0.18</v>
      </c>
      <c r="C21" s="3">
        <v>0.18</v>
      </c>
      <c r="D21" s="11">
        <v>0.15</v>
      </c>
    </row>
    <row r="22" spans="1:7" x14ac:dyDescent="0.3">
      <c r="A22" s="26" t="s">
        <v>21</v>
      </c>
      <c r="B22" s="10">
        <v>0.1169</v>
      </c>
      <c r="C22" s="10">
        <v>0.1169</v>
      </c>
      <c r="D22" s="11">
        <v>5.8099999999999999E-2</v>
      </c>
    </row>
    <row r="23" spans="1:7" ht="15.6" x14ac:dyDescent="0.35">
      <c r="A23" s="26" t="s">
        <v>22</v>
      </c>
      <c r="B23" s="10">
        <v>0.123</v>
      </c>
      <c r="C23" s="3">
        <v>0.123</v>
      </c>
      <c r="D23" s="11">
        <v>0.11899999999999999</v>
      </c>
    </row>
    <row r="24" spans="1:7" ht="15.6" x14ac:dyDescent="0.35">
      <c r="A24" s="26" t="s">
        <v>23</v>
      </c>
      <c r="B24" s="10">
        <v>0.65600000000000003</v>
      </c>
      <c r="C24" s="3">
        <v>0.65600000000000003</v>
      </c>
      <c r="D24" s="11">
        <v>0.64400000000000002</v>
      </c>
    </row>
    <row r="25" spans="1:7" ht="15" thickBot="1" x14ac:dyDescent="0.35">
      <c r="A25" s="27" t="s">
        <v>24</v>
      </c>
      <c r="B25" s="29" t="s">
        <v>167</v>
      </c>
      <c r="C25" s="29" t="s">
        <v>167</v>
      </c>
      <c r="D25" s="29" t="s">
        <v>167</v>
      </c>
    </row>
    <row r="26" spans="1:7" ht="15" thickBot="1" x14ac:dyDescent="0.35">
      <c r="A26" s="239" t="s">
        <v>25</v>
      </c>
      <c r="B26" s="248"/>
      <c r="C26" s="248"/>
      <c r="D26" s="248"/>
      <c r="E26" s="240"/>
      <c r="G26" s="67" t="s">
        <v>26</v>
      </c>
    </row>
    <row r="27" spans="1:7" ht="15" thickBot="1" x14ac:dyDescent="0.35">
      <c r="A27" s="35"/>
      <c r="B27" s="36" t="s">
        <v>27</v>
      </c>
      <c r="C27" s="36" t="s">
        <v>28</v>
      </c>
      <c r="D27" s="36" t="s">
        <v>29</v>
      </c>
      <c r="E27" s="36" t="s">
        <v>30</v>
      </c>
      <c r="G27" s="68" t="s">
        <v>31</v>
      </c>
    </row>
    <row r="28" spans="1:7" x14ac:dyDescent="0.3">
      <c r="A28" s="16" t="s">
        <v>32</v>
      </c>
      <c r="B28" s="126" t="s">
        <v>31</v>
      </c>
      <c r="C28" s="127" t="s">
        <v>31</v>
      </c>
      <c r="D28" s="127"/>
      <c r="E28" s="128"/>
      <c r="G28" s="69" t="s">
        <v>33</v>
      </c>
    </row>
    <row r="29" spans="1:7" ht="15.6" x14ac:dyDescent="0.35">
      <c r="A29" s="17" t="s">
        <v>34</v>
      </c>
      <c r="B29" s="10">
        <v>0.35</v>
      </c>
      <c r="C29" s="3">
        <v>0.35</v>
      </c>
      <c r="D29" s="3"/>
      <c r="E29" s="11"/>
      <c r="G29" s="69" t="s">
        <v>35</v>
      </c>
    </row>
    <row r="30" spans="1:7" ht="15.6" x14ac:dyDescent="0.35">
      <c r="A30" s="17" t="s">
        <v>36</v>
      </c>
      <c r="B30" s="10">
        <v>40</v>
      </c>
      <c r="C30" s="3">
        <v>40</v>
      </c>
      <c r="D30" s="3"/>
      <c r="E30" s="11"/>
      <c r="G30" s="69" t="s">
        <v>37</v>
      </c>
    </row>
    <row r="31" spans="1:7" ht="15.6" x14ac:dyDescent="0.35">
      <c r="A31" s="17" t="s">
        <v>38</v>
      </c>
      <c r="B31" s="10">
        <v>0.11</v>
      </c>
      <c r="C31" s="3">
        <v>0.35</v>
      </c>
      <c r="D31" s="3"/>
      <c r="E31" s="11"/>
      <c r="G31" s="69" t="s">
        <v>39</v>
      </c>
    </row>
    <row r="32" spans="1:7" ht="16.2" thickBot="1" x14ac:dyDescent="0.4">
      <c r="A32" s="18" t="s">
        <v>40</v>
      </c>
      <c r="B32" s="129">
        <v>0.33</v>
      </c>
      <c r="C32" s="233">
        <v>0.75</v>
      </c>
      <c r="D32" s="12"/>
      <c r="E32" s="13"/>
      <c r="G32" s="70" t="s">
        <v>41</v>
      </c>
    </row>
    <row r="33" spans="1:9" ht="15" thickBot="1" x14ac:dyDescent="0.35">
      <c r="A33" s="239" t="s">
        <v>42</v>
      </c>
      <c r="B33" s="249"/>
      <c r="C33" s="249"/>
      <c r="D33" s="249"/>
      <c r="E33" s="250"/>
    </row>
    <row r="34" spans="1:9" ht="15" thickBot="1" x14ac:dyDescent="0.35">
      <c r="A34" s="35"/>
      <c r="B34" s="36" t="s">
        <v>43</v>
      </c>
      <c r="C34" s="36" t="s">
        <v>44</v>
      </c>
      <c r="D34" s="36" t="s">
        <v>45</v>
      </c>
      <c r="E34" s="36" t="s">
        <v>46</v>
      </c>
    </row>
    <row r="35" spans="1:9" ht="15.6" x14ac:dyDescent="0.35">
      <c r="A35" s="16" t="s">
        <v>47</v>
      </c>
      <c r="B35" s="5"/>
      <c r="C35" s="4"/>
      <c r="D35" s="4"/>
      <c r="E35" s="25"/>
    </row>
    <row r="36" spans="1:9" ht="15.6" x14ac:dyDescent="0.35">
      <c r="A36" s="17" t="s">
        <v>48</v>
      </c>
      <c r="B36" s="6"/>
      <c r="C36" s="3"/>
      <c r="D36" s="3"/>
      <c r="E36" s="11"/>
    </row>
    <row r="37" spans="1:9" x14ac:dyDescent="0.3">
      <c r="A37" s="17" t="s">
        <v>49</v>
      </c>
      <c r="B37" s="6"/>
      <c r="C37" s="3"/>
      <c r="D37" s="3"/>
      <c r="E37" s="11"/>
    </row>
    <row r="38" spans="1:9" ht="15.6" x14ac:dyDescent="0.35">
      <c r="A38" s="17" t="s">
        <v>38</v>
      </c>
      <c r="B38" s="6"/>
      <c r="C38" s="3"/>
      <c r="D38" s="3"/>
      <c r="E38" s="11"/>
    </row>
    <row r="39" spans="1:9" ht="16.2" thickBot="1" x14ac:dyDescent="0.4">
      <c r="A39" s="18" t="s">
        <v>40</v>
      </c>
      <c r="B39" s="15"/>
      <c r="C39" s="12"/>
      <c r="D39" s="12"/>
      <c r="E39" s="13"/>
    </row>
    <row r="41" spans="1:9" ht="15" thickBot="1" x14ac:dyDescent="0.35"/>
    <row r="42" spans="1:9" ht="15" thickBot="1" x14ac:dyDescent="0.35">
      <c r="A42" s="256" t="s">
        <v>50</v>
      </c>
      <c r="B42" s="257"/>
      <c r="C42" s="257"/>
      <c r="D42" s="257"/>
      <c r="E42" s="257"/>
      <c r="F42" s="257"/>
      <c r="G42" s="257"/>
      <c r="H42" s="257"/>
      <c r="I42" s="258"/>
    </row>
    <row r="43" spans="1:9" x14ac:dyDescent="0.3">
      <c r="A43" s="32" t="s">
        <v>18</v>
      </c>
      <c r="B43" s="100">
        <v>0</v>
      </c>
      <c r="C43" s="112">
        <f>0.332*0.5*32.01</f>
        <v>5.3136599999999996</v>
      </c>
      <c r="D43" s="112">
        <f>32.01*0.5</f>
        <v>16.004999999999999</v>
      </c>
      <c r="E43" s="112"/>
      <c r="F43" s="112"/>
      <c r="G43" s="112"/>
      <c r="H43" s="112"/>
      <c r="I43" s="101"/>
    </row>
    <row r="44" spans="1:9" ht="15.6" x14ac:dyDescent="0.35">
      <c r="A44" s="32" t="s">
        <v>51</v>
      </c>
      <c r="B44" s="102">
        <f>B31*$D$19</f>
        <v>1.8535000000000001</v>
      </c>
      <c r="C44" s="113">
        <f>B32*$D$19</f>
        <v>5.5605000000000011</v>
      </c>
      <c r="D44" s="113">
        <f>C31*$D$19</f>
        <v>5.8975</v>
      </c>
      <c r="E44" s="113">
        <f>C32*$D$19</f>
        <v>12.637500000000001</v>
      </c>
      <c r="F44" s="113">
        <f>D31*$D$19</f>
        <v>0</v>
      </c>
      <c r="G44" s="113">
        <f>D32*$D$19</f>
        <v>0</v>
      </c>
      <c r="H44" s="113">
        <f>E31*$D$19</f>
        <v>0</v>
      </c>
      <c r="I44" s="103">
        <f>E32*$D$19</f>
        <v>0</v>
      </c>
    </row>
    <row r="45" spans="1:9" ht="15.6" x14ac:dyDescent="0.35">
      <c r="A45" s="32" t="s">
        <v>52</v>
      </c>
      <c r="B45" s="102">
        <f>B38*$D$19</f>
        <v>0</v>
      </c>
      <c r="C45" s="113">
        <f>B39*$D$19</f>
        <v>0</v>
      </c>
      <c r="D45" s="113">
        <f>C38*$D$19</f>
        <v>0</v>
      </c>
      <c r="E45" s="113">
        <f>C39*$D$19</f>
        <v>0</v>
      </c>
      <c r="F45" s="113">
        <f>D38*$D$19</f>
        <v>0</v>
      </c>
      <c r="G45" s="113">
        <f>D39*$D$19</f>
        <v>0</v>
      </c>
      <c r="H45" s="113">
        <f>E38*$D$19</f>
        <v>0</v>
      </c>
      <c r="I45" s="103">
        <f>E39*$D$19</f>
        <v>0</v>
      </c>
    </row>
    <row r="46" spans="1:9" ht="15.6" x14ac:dyDescent="0.35">
      <c r="A46" s="33" t="s">
        <v>53</v>
      </c>
      <c r="B46" s="102">
        <v>0</v>
      </c>
      <c r="C46" s="113">
        <v>0</v>
      </c>
      <c r="D46" s="113">
        <v>0.66400000000000003</v>
      </c>
      <c r="E46" s="113"/>
      <c r="F46" s="113"/>
      <c r="G46" s="113"/>
      <c r="H46" s="113"/>
      <c r="I46" s="103"/>
    </row>
    <row r="47" spans="1:9" ht="16.2" thickBot="1" x14ac:dyDescent="0.4">
      <c r="A47" s="34" t="s">
        <v>54</v>
      </c>
      <c r="B47" s="104">
        <f>B46+B20</f>
        <v>3.16</v>
      </c>
      <c r="C47" s="114">
        <f>C46+C20</f>
        <v>3.16</v>
      </c>
      <c r="D47" s="114">
        <f>D46+D20</f>
        <v>2.4239999999999999</v>
      </c>
      <c r="E47" s="114"/>
      <c r="F47" s="114"/>
      <c r="G47" s="114"/>
      <c r="H47" s="114"/>
      <c r="I47" s="105"/>
    </row>
    <row r="48" spans="1:9" ht="15" thickBot="1" x14ac:dyDescent="0.35">
      <c r="G48" s="30"/>
    </row>
    <row r="49" spans="1:9" ht="15" thickBot="1" x14ac:dyDescent="0.35">
      <c r="A49" s="31"/>
      <c r="B49" s="259" t="s">
        <v>55</v>
      </c>
      <c r="C49" s="260"/>
      <c r="D49" s="260"/>
      <c r="E49" s="260"/>
      <c r="F49" s="260"/>
      <c r="G49" s="260"/>
      <c r="H49" s="260"/>
      <c r="I49" s="261"/>
    </row>
    <row r="50" spans="1:9" ht="15" thickBot="1" x14ac:dyDescent="0.35">
      <c r="A50" s="31"/>
      <c r="B50" s="244" t="s">
        <v>56</v>
      </c>
      <c r="C50" s="245"/>
      <c r="D50" s="244" t="s">
        <v>57</v>
      </c>
      <c r="E50" s="245"/>
      <c r="F50" s="244" t="s">
        <v>58</v>
      </c>
      <c r="G50" s="245"/>
      <c r="H50" s="244" t="s">
        <v>59</v>
      </c>
      <c r="I50" s="245"/>
    </row>
    <row r="51" spans="1:9" ht="16.2" thickBot="1" x14ac:dyDescent="0.4">
      <c r="A51" s="38"/>
      <c r="B51" s="39" t="s">
        <v>38</v>
      </c>
      <c r="C51" s="40" t="s">
        <v>40</v>
      </c>
      <c r="D51" s="47" t="s">
        <v>38</v>
      </c>
      <c r="E51" s="40" t="s">
        <v>40</v>
      </c>
      <c r="F51" s="47" t="s">
        <v>38</v>
      </c>
      <c r="G51" s="40" t="s">
        <v>40</v>
      </c>
      <c r="H51" s="47" t="s">
        <v>38</v>
      </c>
      <c r="I51" s="40" t="s">
        <v>40</v>
      </c>
    </row>
    <row r="52" spans="1:9" ht="15.6" x14ac:dyDescent="0.35">
      <c r="A52" s="46" t="s">
        <v>60</v>
      </c>
      <c r="B52" s="88">
        <f>IF(ISBLANK($B$31),,IF($B$31*$D$19&lt;$C$19,$B$29*($B$67*$B$31*$D$19+$C$67),$B$29*($D$67*$B$31*$D$19+$E$67)))</f>
        <v>1.1059999999999999</v>
      </c>
      <c r="C52" s="89">
        <f>IF(ISBLANK($B$32),,IF($B$32*$D$19&lt;$C$19,$B$29*($B$67*$B$32*$D$19+$C$67),$B$29*($D$67*$B$32*$D$19+$E$67)))</f>
        <v>1.1059999999999999</v>
      </c>
      <c r="D52" s="90">
        <f>IF(ISBLANK($C$31),,IF($C$31*$D$19&lt;$C$19,$C$29*($B$67*$C$31*$D$19+$C$67),$C$29*($D$67*$C$31*$D$19+$E$67)))</f>
        <v>1.0986191546762589</v>
      </c>
      <c r="E52" s="89">
        <f>IF(ISBLANK($C$32),,IF($C$32*$D$19&lt;$C$19,$C$29*($B$67*$C$32*$D$19+$C$67),$C$29*($D$67*$C$32*$D$19+$E$67)))</f>
        <v>0.80162275179856113</v>
      </c>
      <c r="F52" s="14">
        <f>IF(ISBLANK($D$31),,IF($D$31*$D$19&lt;$C$19,$D$29*($B$67*$D$31*$D$19+$C$67),$D$29*($D$67*$D$31*$D$19+$E$67)))</f>
        <v>0</v>
      </c>
      <c r="G52" s="9">
        <f>IF(ISBLANK($D$32),,IF($D$32*$D$19&lt;$C$19,$D$29*($B$67*$D$32*$D$19+$C$67),$D$29*($D$67*$D$32*$D$19+$E$67)))</f>
        <v>0</v>
      </c>
      <c r="H52" s="14">
        <f>IF(ISBLANK($E$31),,IF($E$31*$D$19&lt;$C$19,$E$29*($B$67*$E$31*$D$19+$C$67),$E$29*($D$67*$E$31*$D$19+$E$67)))</f>
        <v>0</v>
      </c>
      <c r="I52" s="9">
        <f>IF(ISBLANK($E$32),,IF($E$32*$D$19&lt;$C$19,$E$29*($B$67*$E$32*$D$19+$C$67),$E$29*($D$67*$E$32*$D$19+$E$67)))</f>
        <v>0</v>
      </c>
    </row>
    <row r="53" spans="1:9" ht="15.6" x14ac:dyDescent="0.35">
      <c r="A53" s="33" t="s">
        <v>61</v>
      </c>
      <c r="B53" s="91">
        <f>$B$54-$B$52</f>
        <v>2.0540000000000003</v>
      </c>
      <c r="C53" s="92">
        <f>$C$54-$C$52</f>
        <v>2.0540000000000003</v>
      </c>
      <c r="D53" s="93">
        <f>$D$54-$D$52</f>
        <v>2.0211888544226939</v>
      </c>
      <c r="E53" s="92">
        <f>$E$54-$E$52</f>
        <v>1.8541985166299049</v>
      </c>
      <c r="F53" s="6">
        <f>$F$54-$F$52</f>
        <v>0</v>
      </c>
      <c r="G53" s="11">
        <f>$G$54-$G$52</f>
        <v>0</v>
      </c>
      <c r="H53" s="6">
        <f>$H$54-$H$52</f>
        <v>0</v>
      </c>
      <c r="I53" s="11">
        <f>$I$54-$I$52</f>
        <v>0</v>
      </c>
    </row>
    <row r="54" spans="1:9" ht="15.6" x14ac:dyDescent="0.35">
      <c r="A54" s="33" t="s">
        <v>62</v>
      </c>
      <c r="B54" s="91">
        <f>IF(ISBLANK($B$31),,IF($B$31*$D$19&lt;$C$19,$B$73*$B$31*$D$19+$C$73,$D$73*$B$31*$D$19+$E$73))</f>
        <v>3.16</v>
      </c>
      <c r="C54" s="92">
        <f>IF(ISBLANK($B$32),,IF($B$32*$D$19&lt;$C$19,$B$73*$B$32*$D$19+$C$73,$D$73*$B$32*$D$19+$E$73))</f>
        <v>3.16</v>
      </c>
      <c r="D54" s="93">
        <f>IF(ISBLANK($C$31),,IF($C$31*$D$19&lt;$C$19,$B$73*$C$31*$D$19+$C$73,$D$73*$C$31*$D$19+$E$73))</f>
        <v>3.1198080090989531</v>
      </c>
      <c r="E54" s="92">
        <f>IF(ISBLANK($C$32),,IF($C$32*$D$19&lt;$C$19,$B$73*$C$32*$D$19+$C$73,$D$73*$C$32*$D$19+$E$73))</f>
        <v>2.6558212684284661</v>
      </c>
      <c r="F54" s="6">
        <f>IF(ISBLANK($D$31),,IF($D$31*$D$19&lt;$C$19,$B$73*$D$31*$D$19+$C$73,$D$73*$D$31*$D$19+$E$73))</f>
        <v>0</v>
      </c>
      <c r="G54" s="11">
        <f>IF(ISBLANK($D$32),,IF($D$32*$D$19&lt;$C$19,$B$73*$D$32*$D$19+$C$73,$D$73*$D$32*$D$19+$E$73))</f>
        <v>0</v>
      </c>
      <c r="H54" s="6">
        <f>IF(ISBLANK($E$31),,IF($E$31*$D$19&lt;$C$19,$B$73*$E$31*$D$19+$C$73,$D$73*$E$31*$D$19+$E$73))</f>
        <v>0</v>
      </c>
      <c r="I54" s="11">
        <f>IF(ISBLANK($E$32),,IF($E$32*$D$19&lt;$C$19,$B$73*$E$32*$D$19+$C$73,$D$73*$E$32*$D$19+$E$73))</f>
        <v>0</v>
      </c>
    </row>
    <row r="55" spans="1:9" ht="15.6" x14ac:dyDescent="0.35">
      <c r="A55" s="33" t="s">
        <v>63</v>
      </c>
      <c r="B55" s="91">
        <f>IF(ISBLANK($B$38),,IF($B$38*$D$19&lt;$C$19,$B$36*($B$67*$B$38*$D$19+$C$67),$B$36*($D$67*$B$38*$D$19+$E$67)))</f>
        <v>0</v>
      </c>
      <c r="C55" s="92">
        <f>IF(ISBLANK($B$39),,IF($B$39*$D$19&lt;$C$19,$B$36*($B$67*$B$39*$D$19+$C$67),$B$36*($D$67*$B$39*$D$19+$E$67)))</f>
        <v>0</v>
      </c>
      <c r="D55" s="93">
        <f>IF(ISBLANK($C$38),,IF($C$38*$D$19&lt;$C$19,$C$36*($B$67*$C$38*$D$19+$C$67),$C$36*($D$67*$C$38*$D$19+$E$67)))</f>
        <v>0</v>
      </c>
      <c r="E55" s="92">
        <f>IF(ISBLANK($C$39),,IF($C$39*$D$19&lt;$C$19,$C$36*($B$67*$C$39*$D$19+$C$67),$C$36*($D$67*$C$39*$D$19+$E$67)))</f>
        <v>0</v>
      </c>
      <c r="F55" s="6">
        <f>IF(ISBLANK($D$38),,IF($D$38*$D$19&lt;$C$19,$D$36*($B$67*$D$38*$D$19+$C$67),$D$36*($D$67*$D$38*$D$19+$E$67)))</f>
        <v>0</v>
      </c>
      <c r="G55" s="11">
        <f>IF(ISBLANK($D$39),,IF($D$39*$D$19&lt;$C$19,$D$36*($B$67*$D$39*$D$19+$C$67),$D$36*($D$67*$D$39*$D$19+$E$67)))</f>
        <v>0</v>
      </c>
      <c r="H55" s="6">
        <f>IF(ISBLANK($E$38),,IF($E$38*$D$19&lt;$C$19,$E$36*($B$67*$E$38*$D$19+$C$67),$E$36*($D$67*$E$38*$D$19+$E$67)))</f>
        <v>0</v>
      </c>
      <c r="I55" s="11">
        <f>IF(ISBLANK($E$39),,IF($E$39*$D$19&lt;$C$19,$E$36*($B$67*$E$39*$D$19+$C$67),$E$36*($D$67*$E$39*$D$19+$E$67)))</f>
        <v>0</v>
      </c>
    </row>
    <row r="56" spans="1:9" ht="15.6" x14ac:dyDescent="0.35">
      <c r="A56" s="33" t="s">
        <v>64</v>
      </c>
      <c r="B56" s="91">
        <f>IF(ISBLANK($B$38),,IF($B$38*$D$19&lt;$C$19,$B$72*$B$38*$D$19+$C$72,$D$72*$B$38*$D$19+$E$72))</f>
        <v>0</v>
      </c>
      <c r="C56" s="92">
        <f>IF(ISBLANK($B$39),,IF($B$39*$D$19&lt;$C$19,$B$72*$B$39*$D$19+$C$72,$D$72*$B$39*$D$19+$E$72))</f>
        <v>0</v>
      </c>
      <c r="D56" s="93">
        <f>IF(ISBLANK($C$38),,IF($C$38*$D$19&lt;$C$19,$B$72*$C$38*$D$19+$C$72,$D$72*$C$38*$D$19+$E$72))</f>
        <v>0</v>
      </c>
      <c r="E56" s="92">
        <f>IF(ISBLANK($C$39),,IF($C$39*$D$19&lt;$C$19,$B$72*$C$39*$D$19+$C$72,$D$72*$C$39*$D$19+$E$72))</f>
        <v>0</v>
      </c>
      <c r="F56" s="6">
        <f>IF(ISBLANK($D$38),,IF($D$38*$D$19&lt;$C$19,$B$72*$D$38*$D$19+$C$72,$D$72*$D$38*$D$19+$E$72))</f>
        <v>0</v>
      </c>
      <c r="G56" s="11">
        <f>IF(ISBLANK($D$39),,IF($D$39*$D$19&lt;$C$19,$B$72*$D$39*$D$19+$C$72,$D$72*$D$39*$D$19+$E$72))</f>
        <v>0</v>
      </c>
      <c r="H56" s="6">
        <f>IF(ISBLANK($E$38),,IF($E$38*$D$19&lt;$C$19,$B$72*$E$38*$D$19+$C$72,$D$72*$E$38*$D$19+$E$72))</f>
        <v>0</v>
      </c>
      <c r="I56" s="11">
        <f>IF(ISBLANK($E$39),,IF($E$39*$D$19&lt;$C$19,$B$72*$E$39*$D$19+$C$72,$D$72*$E$39*$D$19+$E$72))</f>
        <v>0</v>
      </c>
    </row>
    <row r="57" spans="1:9" ht="16.2" thickBot="1" x14ac:dyDescent="0.4">
      <c r="A57" s="34" t="s">
        <v>65</v>
      </c>
      <c r="B57" s="94">
        <f>$B$56+$B$55</f>
        <v>0</v>
      </c>
      <c r="C57" s="95">
        <f>$C$56+$C$55</f>
        <v>0</v>
      </c>
      <c r="D57" s="96">
        <f>$D$56+$D$55</f>
        <v>0</v>
      </c>
      <c r="E57" s="95">
        <f>$E$56+$E$55</f>
        <v>0</v>
      </c>
      <c r="F57" s="15">
        <f>$F$56+$F$55</f>
        <v>0</v>
      </c>
      <c r="G57" s="13">
        <f>$G$56+$G$55</f>
        <v>0</v>
      </c>
      <c r="H57" s="15">
        <f>$H$56+$H$55</f>
        <v>0</v>
      </c>
      <c r="I57" s="13">
        <f>$I$56+$I$55</f>
        <v>0</v>
      </c>
    </row>
    <row r="58" spans="1:9" ht="15.6" x14ac:dyDescent="0.35">
      <c r="A58" s="32" t="s">
        <v>66</v>
      </c>
      <c r="B58" s="97">
        <f>IF(ISBLANK($B$31),,IF($B$31*$D$19&lt;$C$19,$B$68*$B$31*$D$19+$C$68,$D$68*$B$31*$D$19+$E$68))</f>
        <v>0.123</v>
      </c>
      <c r="C58" s="98">
        <f>IF(ISBLANK($B$32),,IF($B$32*$D$19&lt;$C$19,$B$68*$B$32*$D$19+$C$68,$D$68*$B$32*$D$19+$E$68))</f>
        <v>0.123</v>
      </c>
      <c r="D58" s="99">
        <f>IF(ISBLANK($C$31),,IF($C$31*$D$19&lt;$C$19,$B$68*$C$31*$D$19+$C$68,$D$68*$C$31*$D$19+$E$68))</f>
        <v>0.12293974820143884</v>
      </c>
      <c r="E58" s="98">
        <f>IF(ISBLANK($C$32),,IF($C$32*$D$19&lt;$C$19,$B$68*$C$32*$D$19+$C$68,$D$68*$C$32*$D$19+$E$68))</f>
        <v>0.12051528776978415</v>
      </c>
      <c r="F58" s="5">
        <f>IF(ISBLANK($D$31),,IF($D$31*$D$19&lt;$C$19,$B$68*$D$31*$D$19+$C$68,$D$68*$D$31*$D$19+$E$68))</f>
        <v>0</v>
      </c>
      <c r="G58" s="25">
        <f>IF(ISBLANK($D$32),,IF($D$32*$D$19&lt;$C$19,$B$68*$D$32*$D$19+$C$68,$D$68*$D$32*$D$19+$E$68))</f>
        <v>0</v>
      </c>
      <c r="H58" s="5">
        <f>IF(ISBLANK($E$31),,IF($E$31*$D$19&lt;$C$19,$B$68*$E$31*$D$19+$C$68,$D$68*$E$31*$D$19+$E$68))</f>
        <v>0</v>
      </c>
      <c r="I58" s="25">
        <f>IF(ISBLANK($E$32),,IF($E$32*$D$19&lt;$C$19,$B$68*$E$32*$D$19+$C$68,$D$68*$E$32*$D$19+$E$68))</f>
        <v>0</v>
      </c>
    </row>
    <row r="59" spans="1:9" ht="15.6" x14ac:dyDescent="0.35">
      <c r="A59" s="33" t="s">
        <v>67</v>
      </c>
      <c r="B59" s="91">
        <f>IF(ISBLANK($B$31),,IF($B$31*$D$19&lt;$C$19,$B$69*$B$31*$D$19+$C$69,$D$69*$B$31*$D$19+$E$69))</f>
        <v>0.65600000000000003</v>
      </c>
      <c r="C59" s="92">
        <f>IF(ISBLANK($B$32),,IF($B$32*$D$19&lt;$C$19,$B$69*$B$32*$D$19+$C$69,$D$69*$B$32*$D$19+$E$69))</f>
        <v>0.65600000000000003</v>
      </c>
      <c r="D59" s="93">
        <f>IF(ISBLANK($C$31),,IF($C$31*$D$19&lt;$C$19,$B$69*$C$31*$D$19+$C$69,$D$69*$C$31*$D$19+$E$69))</f>
        <v>0.65581924460431662</v>
      </c>
      <c r="E59" s="92">
        <f>IF(ISBLANK($C$32),,IF($C$32*$D$19&lt;$C$19,$B$69*$C$32*$D$19+$C$69,$D$69*$C$32*$D$19+$E$69))</f>
        <v>0.6485458633093526</v>
      </c>
      <c r="F59" s="6">
        <f>IF(ISBLANK($D$31),,IF($D$31*$D$19&lt;$C$19,$B$69*$D$31*$D$19+$C$69,$D$69*$D$31*$D$19+$E$69))</f>
        <v>0</v>
      </c>
      <c r="G59" s="11">
        <f>IF(ISBLANK($D$32),,IF($D$32*$D$19&lt;$C$19,$B$69*$D$32*$D$19+$C$69,$D$69*$D$32*$D$19+$E$69))</f>
        <v>0</v>
      </c>
      <c r="H59" s="6">
        <f>IF(ISBLANK($E$31),,IF($E$31*$D$19&lt;$C$19,$B$69*$E$31*$D$19+$C$69,$D$69*$E$31*$D$19+$E$69))</f>
        <v>0</v>
      </c>
      <c r="I59" s="11">
        <f>IF(ISBLANK($E$32),,IF($E$32*$D$19&lt;$C$19,$B$69*$E$32*$D$19+$C$69,$D$69*$E$32*$D$19+$E$69))</f>
        <v>0</v>
      </c>
    </row>
    <row r="60" spans="1:9" ht="15.6" x14ac:dyDescent="0.35">
      <c r="A60" s="33" t="s">
        <v>68</v>
      </c>
      <c r="B60" s="91">
        <f>IF(ISBLANK($B$31),,IF($B$31*$D$19&lt;$C$19,$B$70*$B$31*$D$19+$C$70,$D$70*$B$31*$D$19+$E$70))</f>
        <v>0.18</v>
      </c>
      <c r="C60" s="92">
        <f>IF(ISBLANK($B$32),,IF($B$32*$D$19&lt;$C$19,$B$70*$B$32*$D$19+$C$70,$D$70*$B$32*$D$19+$E$70))</f>
        <v>0.18</v>
      </c>
      <c r="D60" s="93">
        <f>IF(ISBLANK($C$31),,IF($C$31*$D$19&lt;$C$19,$B$70*$C$31*$D$19+$C$70,$D$70*$C$31*$D$19+$E$70))</f>
        <v>0.17954811151079134</v>
      </c>
      <c r="E60" s="92">
        <f>IF(ISBLANK($C$32),,IF($C$32*$D$19&lt;$C$19,$B$70*$C$32*$D$19+$C$70,$D$70*$C$32*$D$19+$E$70))</f>
        <v>0.16136465827338128</v>
      </c>
      <c r="F60" s="6">
        <f>IF(ISBLANK($D$31),,IF($D$31*$D$19&lt;$C$19,$B$70*$D$31*$D$19+$C$70,$D$70*$D$31*$D$19+$E$70))</f>
        <v>0</v>
      </c>
      <c r="G60" s="11">
        <f>IF(ISBLANK($D$32),,IF($D$32*$D$19&lt;$C$19,$B$70*$D$32*$D$19+$C$70,$D$70*$D$32*$D$19+$E$70))</f>
        <v>0</v>
      </c>
      <c r="H60" s="6">
        <f>IF(ISBLANK($E$31),,IF($E$31*$D$19&lt;$C$19,$B$70*$E$31*$D$19+$C$70,$D$70*$E$31*$D$19+$E$70))</f>
        <v>0</v>
      </c>
      <c r="I60" s="11">
        <f>IF(ISBLANK($E$32),,IF($E$32*$D$19&lt;$C$19,$B$70*$E$32*$D$19+$C$70,$D$70*$E$32*$D$19+$E$70))</f>
        <v>0</v>
      </c>
    </row>
    <row r="61" spans="1:9" ht="15.6" x14ac:dyDescent="0.35">
      <c r="A61" s="33" t="s">
        <v>69</v>
      </c>
      <c r="B61" s="91">
        <f>IF(ISBLANK($B$38),,IF($B$38*$D$19&lt;$C$19,$B$70*$B$38*$D$19+$C$70,$D$70*$B$38*$D$19+$E$70))</f>
        <v>0</v>
      </c>
      <c r="C61" s="92">
        <f>IF(ISBLANK($B$39),,IF($B$39*$D$19&lt;$C$19,$B$70*$B$39*$D$19+$C$70,$D$70*$B$39*$D$19+$E$70))</f>
        <v>0</v>
      </c>
      <c r="D61" s="93">
        <f>IF(ISBLANK($C$38),,IF($C$38*$D$19&lt;$C$19,$B$70*$C$38*$D$19+$C$70,$D$70*$C$38*$D$19+$E$70))</f>
        <v>0</v>
      </c>
      <c r="E61" s="92">
        <f>IF(ISBLANK($C$39),,IF($C$39*$D$19&lt;$C$19,$B$70*$C$39*$D$19+$C$70,$D$70*$C$39*$D$19+$E$70))</f>
        <v>0</v>
      </c>
      <c r="F61" s="6">
        <f>IF(ISBLANK($D$38),,IF($D$38*$D$19&lt;$C$19,$B$70*$D$38*$D$19+$C$70,$D$70*$D$38*$D$19+$E$70))</f>
        <v>0</v>
      </c>
      <c r="G61" s="11">
        <f>IF(ISBLANK($D$39),,IF($D$39*$D$19&lt;$C$19,$B$70*$D$39*$D$19+$C$70,$D$70*$D$39*$D$19+$E$70))</f>
        <v>0</v>
      </c>
      <c r="H61" s="6">
        <f>IF(ISBLANK($E$38),,IF($E$38*$D$19&lt;$C$19,$B$70*$E$38*$D$19+$C$70,$D$70*$E$38*$D$19+$E$70))</f>
        <v>0</v>
      </c>
      <c r="I61" s="11">
        <f>IF(ISBLANK($E$39),,IF($E$39*$D$19&lt;$C$19,$B$70*$E$39*$D$19+$C$70,$D$70*$E$39*$D$19+$E$70))</f>
        <v>0</v>
      </c>
    </row>
    <row r="62" spans="1:9" ht="16.2" thickBot="1" x14ac:dyDescent="0.4">
      <c r="A62" s="34" t="s">
        <v>70</v>
      </c>
      <c r="B62" s="94">
        <f>IF(ISBLANK($B$38),,IF($B$38*$D$19&lt;$C$19,(($B$71*$B$38*$D$19+$C$71)/($B$67*$B$38*$D$19+$C$67))/$B$61,(($D$71*$B$38*$D$19+$E$71)/($D$67*$B$38*$D$19+$E$67))/$B$61))</f>
        <v>0</v>
      </c>
      <c r="C62" s="95">
        <f>IF(ISBLANK($B$39),,IF($B$39*$D$19&lt;$C$19,(($B$71*$B$39*$D$19+$C$71)/($B$67*$B$39*$D$19+$C$67))/$C$61,(($D$71*$B$39*$D$19+$E$71)/($D$67*$B$39*$D$19+$E$67))/$C$61))</f>
        <v>0</v>
      </c>
      <c r="D62" s="96">
        <f>IF(ISBLANK($C$38),,IF($C$38*$D$19&lt;$C$19,(($B$71*$C$38*$D$19+$C$71)/($B$67*$C$38*$D$19+$C$67))/$D$61,(($D$71*$C$38*$D$19+$E$71)/($D$67*$C$38*$D$19+$E$67))/$D$61))</f>
        <v>0</v>
      </c>
      <c r="E62" s="95">
        <f>IF(ISBLANK($C$39),,IF($C$39*$D$19&lt;$C$19,(($B$71*$C$39*$D$19+$C$71)/($B$67*$C$39*$D$19+$C$67))/$E$61,(($D$71*$C$39*$D$19+$E$71)/($D$67*$C$39*$D$19+$E$67))/$E$61))</f>
        <v>0</v>
      </c>
      <c r="F62" s="15">
        <f>IF(ISBLANK($D$38),,IF($D$38*$D$19&lt;$C$19,(($B$71*$D$38*$D$19+$C$71)/($B$67*$D$38*$D$19+$C$67))/$F$61,(($D$71*$D$38*$D$19+$E$71)/($D$67*$D$38*$D$19+$E$67))/$F$61))</f>
        <v>0</v>
      </c>
      <c r="G62" s="13">
        <f>IF(ISBLANK($D$39),,IF($D$39*$D$19&lt;$C$19,(($B$71*$D$39*$D$19+$C$71)/($B$67*$D$39*$D$19+$C$67))/$G$61,(($D$71*$D$39*$D$19+$E$71)/($D$67*$D$39*$D$19+$E$67))/$B$61))</f>
        <v>0</v>
      </c>
      <c r="H62" s="15">
        <f>IF(ISBLANK($E$38),,IF($E$38*$D$19&lt;$C$19,(($B$71*$E$38*$D$19+$C$71)/($B$67*$E$38*$D$19+$C$67))/$H$61,(($D$71*$E$38*$D$19+$E$71)/($D$67*$E$38*$D$19+$E$67))/$B$61))</f>
        <v>0</v>
      </c>
      <c r="I62" s="13">
        <f>IF(ISBLANK($E$39),,IF($E$39*$D$19&lt;$C$19,(($B$71*$E$39*$D$19+$C$71)/($B$67*$E$39*$D$19+$C$67))/$I$61,(($D$71*$E$39*$D$19+$E$71)/($D$67*$E$39*$D$19+$E$67))/$B$61))</f>
        <v>0</v>
      </c>
    </row>
    <row r="63" spans="1:9" ht="15" thickBot="1" x14ac:dyDescent="0.35"/>
    <row r="64" spans="1:9" ht="15" thickBot="1" x14ac:dyDescent="0.35">
      <c r="A64" s="246" t="s">
        <v>71</v>
      </c>
      <c r="B64" s="255"/>
      <c r="C64" s="255"/>
      <c r="D64" s="255"/>
      <c r="E64" s="247"/>
    </row>
    <row r="65" spans="1:5" ht="15" thickBot="1" x14ac:dyDescent="0.35">
      <c r="A65" s="251" t="s">
        <v>72</v>
      </c>
      <c r="B65" s="253" t="s">
        <v>73</v>
      </c>
      <c r="C65" s="254"/>
      <c r="D65" s="253" t="s">
        <v>74</v>
      </c>
      <c r="E65" s="254"/>
    </row>
    <row r="66" spans="1:5" ht="15" thickBot="1" x14ac:dyDescent="0.35">
      <c r="A66" s="252"/>
      <c r="B66" s="44" t="s">
        <v>75</v>
      </c>
      <c r="C66" s="45" t="s">
        <v>76</v>
      </c>
      <c r="D66" s="44" t="s">
        <v>75</v>
      </c>
      <c r="E66" s="45" t="s">
        <v>76</v>
      </c>
    </row>
    <row r="67" spans="1:5" x14ac:dyDescent="0.3">
      <c r="A67" s="41" t="s">
        <v>19</v>
      </c>
      <c r="B67" s="106">
        <f t="array" ref="B67:C67">LINEST(B20:C20,B19:C19,TRUE,FALSE)</f>
        <v>0</v>
      </c>
      <c r="C67" s="106">
        <v>3.16</v>
      </c>
      <c r="D67" s="106">
        <f t="array" ref="D67:E67">LINEST(C20:D20,C19:D19,TRUE,FALSE)</f>
        <v>-0.12589928057553953</v>
      </c>
      <c r="E67" s="107">
        <v>3.8814028776978415</v>
      </c>
    </row>
    <row r="68" spans="1:5" ht="15.6" x14ac:dyDescent="0.35">
      <c r="A68" s="42" t="s">
        <v>77</v>
      </c>
      <c r="B68" s="108">
        <f t="array" ref="B68:C68">LINEST(B23:C23,B20:C20,TRUE,FALSE)</f>
        <v>0</v>
      </c>
      <c r="C68" s="108">
        <v>0.123</v>
      </c>
      <c r="D68" s="108">
        <f t="array" ref="D68:E68">LINEST(C23:D23,C19:D19,TRUE,FALSE)</f>
        <v>-3.5971223021582756E-4</v>
      </c>
      <c r="E68" s="109">
        <v>0.12506115107913668</v>
      </c>
    </row>
    <row r="69" spans="1:5" ht="15.6" x14ac:dyDescent="0.35">
      <c r="A69" s="42" t="s">
        <v>78</v>
      </c>
      <c r="B69" s="108">
        <f t="array" ref="B69:C69">LINEST(B24:C24,B19:C19,TRUE,FALSE)</f>
        <v>0</v>
      </c>
      <c r="C69" s="108">
        <v>0.65600000000000003</v>
      </c>
      <c r="D69" s="108">
        <f t="array" ref="D69:E69">LINEST(C24:D24,C19:D19,TRUE,FALSE)</f>
        <v>-1.0791366906474831E-3</v>
      </c>
      <c r="E69" s="109">
        <v>0.66218345323741012</v>
      </c>
    </row>
    <row r="70" spans="1:5" x14ac:dyDescent="0.3">
      <c r="A70" s="42" t="s">
        <v>79</v>
      </c>
      <c r="B70" s="108">
        <f t="array" ref="B70:C70">LINEST(B21:C21,B19:C19,TRUE,FALSE)</f>
        <v>0</v>
      </c>
      <c r="C70" s="108">
        <v>0.18</v>
      </c>
      <c r="D70" s="108">
        <f t="array" ref="D70:E70">LINEST(C21:D21,C19:D19,TRUE,FALSE)</f>
        <v>-2.6978417266187039E-3</v>
      </c>
      <c r="E70" s="109">
        <v>0.19545863309352515</v>
      </c>
    </row>
    <row r="71" spans="1:5" x14ac:dyDescent="0.3">
      <c r="A71" s="42" t="s">
        <v>80</v>
      </c>
      <c r="B71" s="108">
        <f t="array" ref="B71:C71">LINEST(B22:C22,B19:C19,TRUE,FALSE)</f>
        <v>0</v>
      </c>
      <c r="C71" s="108">
        <v>0.1169</v>
      </c>
      <c r="D71" s="108">
        <f t="array" ref="D71:E71">LINEST(C22:D22,C19:D19,TRUE,FALSE)</f>
        <v>-5.2877697841726603E-3</v>
      </c>
      <c r="E71" s="109">
        <v>0.14719892086330932</v>
      </c>
    </row>
    <row r="72" spans="1:5" ht="15.6" x14ac:dyDescent="0.35">
      <c r="A72" s="42" t="s">
        <v>53</v>
      </c>
      <c r="B72" s="108">
        <f t="array" ref="B72:C72">LINEST(B46:C46,B43:C43,TRUE,FALSE)</f>
        <v>0</v>
      </c>
      <c r="C72" s="108">
        <v>0</v>
      </c>
      <c r="D72" s="108">
        <f t="array" ref="D72:E72">LINEST(C46:D46,C43:D43,TRUE,FALSE)</f>
        <v>6.2106340271659122E-2</v>
      </c>
      <c r="E72" s="109">
        <v>-0.33001197604790417</v>
      </c>
    </row>
    <row r="73" spans="1:5" ht="16.2" thickBot="1" x14ac:dyDescent="0.4">
      <c r="A73" s="43" t="s">
        <v>54</v>
      </c>
      <c r="B73" s="110">
        <f t="array" ref="B73:C73">LINEST(B47:C47,B43:C43,TRUE,FALSE)</f>
        <v>0</v>
      </c>
      <c r="C73" s="110">
        <v>3.16</v>
      </c>
      <c r="D73" s="110">
        <f t="array" ref="D73:E73">LINEST(C47:D47,C43:D43,TRUE,FALSE)</f>
        <v>-6.8840762710754705E-2</v>
      </c>
      <c r="E73" s="111">
        <v>3.5257964071856289</v>
      </c>
    </row>
    <row r="74" spans="1:5" ht="15" thickBot="1" x14ac:dyDescent="0.35"/>
    <row r="75" spans="1:5" ht="15" thickBot="1" x14ac:dyDescent="0.35">
      <c r="A75" s="246" t="s">
        <v>81</v>
      </c>
      <c r="B75" s="247"/>
      <c r="C75" s="130"/>
      <c r="D75" s="130"/>
      <c r="E75" s="130"/>
    </row>
    <row r="76" spans="1:5" x14ac:dyDescent="0.3">
      <c r="A76" s="131" t="s">
        <v>82</v>
      </c>
      <c r="B76" s="134">
        <f>$B$20*$C$19/$B$6</f>
        <v>0.19915090189177301</v>
      </c>
    </row>
    <row r="77" spans="1:5" x14ac:dyDescent="0.3">
      <c r="A77" s="132" t="s">
        <v>83</v>
      </c>
      <c r="B77" s="135">
        <f>($C$20*$C$19/$B$6)+($C$20*($D$19-$C$19)/$B$6)</f>
        <v>0.58563572371315442</v>
      </c>
    </row>
    <row r="78" spans="1:5" ht="15" thickBot="1" x14ac:dyDescent="0.35">
      <c r="A78" s="133" t="s">
        <v>84</v>
      </c>
      <c r="B78" s="136">
        <f>$D$20*($D$19-$C$19)/$B$6</f>
        <v>0.21525736911570612</v>
      </c>
    </row>
    <row r="79" spans="1:5" x14ac:dyDescent="0.3">
      <c r="B79" s="137"/>
    </row>
  </sheetData>
  <mergeCells count="18">
    <mergeCell ref="F50:G50"/>
    <mergeCell ref="H50:I50"/>
    <mergeCell ref="A75:B75"/>
    <mergeCell ref="A26:E26"/>
    <mergeCell ref="A33:E33"/>
    <mergeCell ref="A65:A66"/>
    <mergeCell ref="B65:C65"/>
    <mergeCell ref="D65:E65"/>
    <mergeCell ref="A64:E64"/>
    <mergeCell ref="A42:I42"/>
    <mergeCell ref="B49:I49"/>
    <mergeCell ref="B50:C50"/>
    <mergeCell ref="D50:E50"/>
    <mergeCell ref="A2:B2"/>
    <mergeCell ref="A1:B1"/>
    <mergeCell ref="A4:B4"/>
    <mergeCell ref="A11:B11"/>
    <mergeCell ref="A18:D18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E9"/>
  <sheetViews>
    <sheetView zoomScale="110" zoomScaleNormal="110" workbookViewId="0">
      <selection activeCell="B5" sqref="B5"/>
    </sheetView>
  </sheetViews>
  <sheetFormatPr defaultRowHeight="14.4" x14ac:dyDescent="0.3"/>
  <cols>
    <col min="1" max="1" width="14.109375" bestFit="1" customWidth="1"/>
    <col min="2" max="3" width="25" bestFit="1" customWidth="1"/>
    <col min="4" max="4" width="15.5546875" customWidth="1"/>
    <col min="5" max="5" width="12.332031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48" t="s">
        <v>86</v>
      </c>
      <c r="B2" s="58">
        <v>0.3</v>
      </c>
      <c r="C2" s="59">
        <v>0.3</v>
      </c>
      <c r="D2" s="59"/>
      <c r="E2" s="60"/>
    </row>
    <row r="3" spans="1:5" ht="21" x14ac:dyDescent="0.4">
      <c r="A3" s="49" t="s">
        <v>49</v>
      </c>
      <c r="B3" s="61">
        <f>IF(ISBLANK(B2),,1+(B2*INPUT!B29))</f>
        <v>1.105</v>
      </c>
      <c r="C3" s="62">
        <f>IF(ISBLANK(C2),,1+(C2*INPUT!C29))</f>
        <v>1.105</v>
      </c>
      <c r="D3" s="62">
        <f>IF(ISBLANK(D2),,1+(D2*INPUT!D29))</f>
        <v>0</v>
      </c>
      <c r="E3" s="63">
        <f>IF(ISBLANK(E2),,1+(E2*INPUT!E29))</f>
        <v>0</v>
      </c>
    </row>
    <row r="4" spans="1:5" ht="24.6" x14ac:dyDescent="0.55000000000000004">
      <c r="A4" s="50" t="s">
        <v>87</v>
      </c>
      <c r="B4" s="230">
        <f>IF(ISBLANK(INPUT!B29),,ACOS((2*INPUT!B29)-1))</f>
        <v>1.8754889808102941</v>
      </c>
      <c r="C4" s="62">
        <f>IF(ISBLANK(INPUT!C29),,ACOS((2*INPUT!C29)-1))</f>
        <v>1.8754889808102941</v>
      </c>
      <c r="D4" s="62">
        <f>IF(ISBLANK(INPUT!D29),,ACOS((2*INPUT!D29)-1))</f>
        <v>0</v>
      </c>
      <c r="E4" s="63">
        <f>IF(ISBLANK(INPUT!E29),,ACOS((2*INPUT!E29)-1))</f>
        <v>0</v>
      </c>
    </row>
    <row r="5" spans="1:5" ht="24.6" x14ac:dyDescent="0.55000000000000004">
      <c r="A5" s="51" t="s">
        <v>88</v>
      </c>
      <c r="B5" s="61">
        <f>IF(ISBLANK(INPUT!B29),,1-((B4-SIN(B4))/PI()))</f>
        <v>0.70666159460860589</v>
      </c>
      <c r="C5" s="61">
        <f>IF(ISBLANK(INPUT!C29),,1-((C4-SIN(C4))/PI()))</f>
        <v>0.70666159460860589</v>
      </c>
      <c r="D5" s="61">
        <f>IF(ISBLANK(INPUT!D29),,1-((D4-SIN(D4))/PI()))</f>
        <v>0</v>
      </c>
      <c r="E5" s="61">
        <f>IF(ISBLANK(INPUT!E29),,1-((E4-SIN(E4))/PI()))</f>
        <v>0</v>
      </c>
    </row>
    <row r="6" spans="1:5" ht="24.6" x14ac:dyDescent="0.55000000000000004">
      <c r="A6" s="51" t="s">
        <v>89</v>
      </c>
      <c r="B6" s="61">
        <v>0.44</v>
      </c>
      <c r="C6" s="62">
        <v>0.44</v>
      </c>
      <c r="D6" s="62"/>
      <c r="E6" s="63"/>
    </row>
    <row r="7" spans="1:5" ht="25.2" thickBot="1" x14ac:dyDescent="0.6">
      <c r="A7" s="52" t="s">
        <v>90</v>
      </c>
      <c r="B7" s="64">
        <f>B5*B6*INPUT!B30*AVERAGE(INPUT!B58:C58)</f>
        <v>1.5297810200087101</v>
      </c>
      <c r="C7" s="65">
        <f>C5*C6*INPUT!C30*AVERAGE(INPUT!D58:E58)</f>
        <v>1.5139548506272955</v>
      </c>
      <c r="D7" s="65">
        <f t="shared" ref="D7:E7" si="0">D5*D6</f>
        <v>0</v>
      </c>
      <c r="E7" s="66">
        <f t="shared" si="0"/>
        <v>0</v>
      </c>
    </row>
    <row r="8" spans="1:5" ht="34.200000000000003" thickBot="1" x14ac:dyDescent="0.8">
      <c r="A8" s="53" t="s">
        <v>91</v>
      </c>
      <c r="B8" s="55">
        <f>(B7*B3)+(AVERAGE(INPUT!B59,INPUT!C59)*(B3-1))</f>
        <v>1.7592880271096247</v>
      </c>
      <c r="C8" s="56">
        <f>(C7*C3)+(AVERAGE(INPUT!D59,INPUT!E59)*(C3-1))</f>
        <v>1.7413992781086292</v>
      </c>
      <c r="D8" s="56">
        <f>(D7*D3)+(AVERAGE(INPUT!F59,INPUT!G59)*(D3-1))</f>
        <v>0</v>
      </c>
      <c r="E8" s="57">
        <f>(E7*E3)+(AVERAGE(INPUT!H59,INPUT!I59)*(E3-1))</f>
        <v>0</v>
      </c>
    </row>
    <row r="9" spans="1:5" ht="34.200000000000003" thickBot="1" x14ac:dyDescent="0.8">
      <c r="A9" s="54" t="s">
        <v>92</v>
      </c>
      <c r="B9" s="265">
        <f>SUM(B8:E8)</f>
        <v>3.5006873052182539</v>
      </c>
      <c r="C9" s="266"/>
      <c r="D9" s="266"/>
      <c r="E9" s="267"/>
    </row>
  </sheetData>
  <mergeCells count="2">
    <mergeCell ref="B1:E1"/>
    <mergeCell ref="B9:E9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E7"/>
  <sheetViews>
    <sheetView zoomScale="55" zoomScaleNormal="55" workbookViewId="0">
      <selection activeCell="B7" sqref="B7:E7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8.88671875" bestFit="1" customWidth="1"/>
    <col min="6" max="6" width="16.6640625" customWidth="1"/>
    <col min="7" max="7" width="13.6640625" customWidth="1"/>
    <col min="8" max="8" width="14.88671875" bestFit="1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71" t="s">
        <v>93</v>
      </c>
      <c r="B2" s="58">
        <v>1.71</v>
      </c>
      <c r="C2" s="59">
        <v>1.6</v>
      </c>
      <c r="D2" s="59"/>
      <c r="E2" s="60"/>
    </row>
    <row r="3" spans="1:5" ht="21" x14ac:dyDescent="0.4">
      <c r="A3" s="72" t="s">
        <v>94</v>
      </c>
      <c r="B3" s="61">
        <f xml:space="preserve"> 0.00000006*35^5 - 0.00000626*35^4 + 0.0002634*35^3 - 0.00629464*35^2 + 0.1063759*35 + 0.00639059</f>
        <v>1.0692880899999984</v>
      </c>
      <c r="C3" s="62">
        <f xml:space="preserve"> 0.00000006*35^5 - 0.00000626*35^4 + 0.0002634*35^3 - 0.00629464*35^2 + 0.1063759*35 + 0.00639059</f>
        <v>1.0692880899999984</v>
      </c>
      <c r="D3" s="62"/>
      <c r="E3" s="63"/>
    </row>
    <row r="4" spans="1:5" ht="21" x14ac:dyDescent="0.4">
      <c r="A4" s="73" t="s">
        <v>95</v>
      </c>
      <c r="B4" s="61">
        <v>0.98</v>
      </c>
      <c r="C4" s="62">
        <v>0.98</v>
      </c>
      <c r="D4" s="62"/>
      <c r="E4" s="63"/>
    </row>
    <row r="5" spans="1:5" ht="21.6" thickBot="1" x14ac:dyDescent="0.45">
      <c r="A5" s="74" t="s">
        <v>96</v>
      </c>
      <c r="B5" s="64">
        <v>0.99</v>
      </c>
      <c r="C5" s="65">
        <v>0.99</v>
      </c>
      <c r="D5" s="65"/>
      <c r="E5" s="66"/>
    </row>
    <row r="6" spans="1:5" ht="34.200000000000003" thickBot="1" x14ac:dyDescent="0.8">
      <c r="A6" s="117" t="s">
        <v>97</v>
      </c>
      <c r="B6" s="75">
        <f>B5*B4*B3*B2</f>
        <v>1.7739938514097773</v>
      </c>
      <c r="C6" s="118">
        <f>C5*C4*C3*C2</f>
        <v>1.6598772878687975</v>
      </c>
      <c r="D6" s="118">
        <f t="shared" ref="D6:E6" si="0">D5*D4*D3*D2</f>
        <v>0</v>
      </c>
      <c r="E6" s="119">
        <f t="shared" si="0"/>
        <v>0</v>
      </c>
    </row>
    <row r="7" spans="1:5" ht="34.200000000000003" thickBot="1" x14ac:dyDescent="0.8">
      <c r="A7" s="54" t="s">
        <v>98</v>
      </c>
      <c r="B7" s="268">
        <f>SUM(B6:E6)</f>
        <v>3.4338711392785748</v>
      </c>
      <c r="C7" s="269"/>
      <c r="D7" s="269"/>
      <c r="E7" s="270"/>
    </row>
  </sheetData>
  <mergeCells count="2">
    <mergeCell ref="B1:E1"/>
    <mergeCell ref="B7:E7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E6"/>
  <sheetViews>
    <sheetView zoomScale="55" zoomScaleNormal="55" workbookViewId="0">
      <selection activeCell="B2" sqref="B2"/>
    </sheetView>
  </sheetViews>
  <sheetFormatPr defaultRowHeight="14.4" x14ac:dyDescent="0.3"/>
  <cols>
    <col min="1" max="1" width="27.88671875" bestFit="1" customWidth="1"/>
    <col min="2" max="2" width="18.5546875" customWidth="1"/>
    <col min="3" max="3" width="16.88671875" customWidth="1"/>
    <col min="4" max="4" width="10.44140625" customWidth="1"/>
    <col min="5" max="5" width="11.3320312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99</v>
      </c>
      <c r="C1" s="263"/>
      <c r="D1" s="263"/>
      <c r="E1" s="264"/>
    </row>
    <row r="2" spans="1:5" ht="24.6" x14ac:dyDescent="0.55000000000000004">
      <c r="A2" s="71" t="s">
        <v>100</v>
      </c>
      <c r="B2" s="76">
        <v>2.1999999999999999E-2</v>
      </c>
      <c r="C2" s="77">
        <v>2.1999999999999999E-2</v>
      </c>
      <c r="D2" s="77"/>
      <c r="E2" s="78"/>
    </row>
    <row r="3" spans="1:5" ht="21.6" x14ac:dyDescent="0.45">
      <c r="A3" s="73" t="s">
        <v>101</v>
      </c>
      <c r="B3" s="79">
        <v>1.65</v>
      </c>
      <c r="C3" s="80">
        <v>1.7</v>
      </c>
      <c r="D3" s="80"/>
      <c r="E3" s="81"/>
    </row>
    <row r="4" spans="1:5" ht="25.2" thickBot="1" x14ac:dyDescent="0.6">
      <c r="A4" s="73" t="s">
        <v>89</v>
      </c>
      <c r="B4" s="85">
        <v>0.7</v>
      </c>
      <c r="C4" s="86">
        <v>0.7</v>
      </c>
      <c r="D4" s="86"/>
      <c r="E4" s="87"/>
    </row>
    <row r="5" spans="1:5" ht="34.200000000000003" thickBot="1" x14ac:dyDescent="0.8">
      <c r="A5" s="53" t="s">
        <v>97</v>
      </c>
      <c r="B5" s="55">
        <f>B2*B3*B4*Delta_Cl0_2D!B3*INPUT!B35</f>
        <v>0</v>
      </c>
      <c r="C5" s="56">
        <f>C4*C3*C2*Delta_Cl0_2D!C3*INPUT!C35</f>
        <v>0</v>
      </c>
      <c r="D5" s="56">
        <f>D4*D3*D2*Delta_Cl0_2D!D3*INPUT!D35</f>
        <v>0</v>
      </c>
      <c r="E5" s="57">
        <f>E4*E3*E2*Delta_Cl0_2D!E3*INPUT!E35</f>
        <v>0</v>
      </c>
    </row>
    <row r="6" spans="1:5" ht="34.200000000000003" thickBot="1" x14ac:dyDescent="0.8">
      <c r="A6" s="54" t="s">
        <v>98</v>
      </c>
      <c r="B6" s="265">
        <f>SUM(B5:E5)</f>
        <v>0</v>
      </c>
      <c r="C6" s="266"/>
      <c r="D6" s="266"/>
      <c r="E6" s="267"/>
    </row>
  </sheetData>
  <mergeCells count="2">
    <mergeCell ref="B1:E1"/>
    <mergeCell ref="B6:E6"/>
  </mergeCells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E5"/>
  <sheetViews>
    <sheetView tabSelected="1" zoomScale="55" zoomScaleNormal="55" workbookViewId="0">
      <selection activeCell="B3" sqref="B3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4.886718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71" t="s">
        <v>85</v>
      </c>
      <c r="C1" s="272"/>
      <c r="D1" s="272"/>
      <c r="E1" s="273"/>
    </row>
    <row r="2" spans="1:5" ht="21" x14ac:dyDescent="0.4">
      <c r="A2" s="115" t="s">
        <v>102</v>
      </c>
      <c r="B2" s="82">
        <v>0.27</v>
      </c>
      <c r="C2" s="83">
        <v>0.52</v>
      </c>
      <c r="D2" s="83"/>
      <c r="E2" s="84"/>
    </row>
    <row r="3" spans="1:5" ht="21.6" thickBot="1" x14ac:dyDescent="0.45">
      <c r="A3" s="116" t="s">
        <v>103</v>
      </c>
      <c r="B3" s="79">
        <v>1.02</v>
      </c>
      <c r="C3" s="80">
        <v>1.02</v>
      </c>
      <c r="D3" s="80"/>
      <c r="E3" s="81"/>
    </row>
    <row r="4" spans="1:5" ht="34.200000000000003" thickBot="1" x14ac:dyDescent="0.8">
      <c r="A4" s="53" t="s">
        <v>104</v>
      </c>
      <c r="B4" s="55">
        <f>IF(ISBLANK(INPUT!B31),,Delta_Cl0_2D!B8*(INPUT!B14/AVERAGE(INPUT!B58:C58))*Delta_CL0_3D!B3*Delta_CL0_3D!B2)</f>
        <v>0.48450792266599069</v>
      </c>
      <c r="C4" s="55">
        <f>IF(ISBLANK(INPUT!C31),,Delta_Cl0_2D!C8*(INPUT!B14/AVERAGE(INPUT!D58:E58))*Delta_CL0_3D!C3*Delta_CL0_3D!C2)</f>
        <v>0.93329345463047386</v>
      </c>
      <c r="D4" s="55">
        <f>IF(ISBLANK(INPUT!D31),,Delta_Cl0_2D!D8*(INPUT!B14/AVERAGE(INPUT!F58:G58))*Delta_CL0_3D!D3*Delta_CL0_3D!D2)</f>
        <v>0</v>
      </c>
      <c r="E4" s="120">
        <f>IF(ISBLANK(INPUT!E31),,Delta_Cl0_2D!E8*(INPUT!B14/AVERAGE(INPUT!H58:I58))*Delta_CL0_3D!E3*Delta_CL0_3D!E2)</f>
        <v>0</v>
      </c>
    </row>
    <row r="5" spans="1:5" ht="34.200000000000003" thickBot="1" x14ac:dyDescent="0.8">
      <c r="A5" s="54" t="s">
        <v>105</v>
      </c>
      <c r="B5" s="265">
        <f>SUM(B4:E4)</f>
        <v>1.4178013772964646</v>
      </c>
      <c r="C5" s="266"/>
      <c r="D5" s="266"/>
      <c r="E5" s="267"/>
    </row>
  </sheetData>
  <mergeCells count="2">
    <mergeCell ref="B1:E1"/>
    <mergeCell ref="B5:E5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I5"/>
  <sheetViews>
    <sheetView zoomScale="85" zoomScaleNormal="85" workbookViewId="0">
      <selection activeCell="B3" sqref="B3"/>
    </sheetView>
  </sheetViews>
  <sheetFormatPr defaultRowHeight="14.4" x14ac:dyDescent="0.3"/>
  <cols>
    <col min="1" max="1" width="19.33203125" customWidth="1"/>
    <col min="2" max="2" width="18.5546875" customWidth="1"/>
    <col min="3" max="4" width="9.5546875" bestFit="1" customWidth="1"/>
    <col min="5" max="5" width="10.10937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9" ht="21.6" thickBot="1" x14ac:dyDescent="0.45">
      <c r="A1" s="37"/>
      <c r="B1" s="262" t="s">
        <v>85</v>
      </c>
      <c r="C1" s="263"/>
      <c r="D1" s="263"/>
      <c r="E1" s="264"/>
      <c r="F1" s="262" t="s">
        <v>99</v>
      </c>
      <c r="G1" s="263"/>
      <c r="H1" s="263"/>
      <c r="I1" s="264"/>
    </row>
    <row r="2" spans="1:9" ht="24.6" x14ac:dyDescent="0.55000000000000004">
      <c r="A2" s="71" t="s">
        <v>106</v>
      </c>
      <c r="B2" s="58">
        <f>INPUT!$D$19*INPUT!$B$7*(2-(1-INPUT!$B$10)*(INPUT!B31+INPUT!B32))*(INPUT!B32-INPUT!B31)</f>
        <v>23.911526038400005</v>
      </c>
      <c r="C2" s="59">
        <f>INPUT!$D$19*INPUT!$B$7*(2-(1-INPUT!$B$10)*(INPUT!C31+INPUT!C32))*(INPUT!C32-INPUT!C31)</f>
        <v>35.087954720000006</v>
      </c>
      <c r="D2" s="59">
        <f>INPUT!$D$19*INPUT!$B$7*(2-(1-INPUT!$B$10)*(INPUT!D31+INPUT!D32))*(INPUT!D32-INPUT!D31)</f>
        <v>0</v>
      </c>
      <c r="E2" s="60">
        <f>INPUT!$D$19*INPUT!$B$7*(2-(1-INPUT!$B$10)*(INPUT!E31+INPUT!E32))*(INPUT!E32-INPUT!E31)</f>
        <v>0</v>
      </c>
      <c r="F2" s="58">
        <f>INPUT!$D$19*INPUT!$B$7*(2-(1-INPUT!$B$10)*(INPUT!B38+INPUT!B39))*(INPUT!B39-INPUT!B38)</f>
        <v>0</v>
      </c>
      <c r="G2" s="59">
        <f>INPUT!$D$19*INPUT!$B$7*(2-(1-INPUT!$B$10)*(INPUT!C38+INPUT!C39))*(INPUT!C39-INPUT!C38)</f>
        <v>0</v>
      </c>
      <c r="H2" s="59">
        <f>INPUT!$D$19*INPUT!$B$7*(2-(1-INPUT!$B$10)*(INPUT!D38+INPUT!D39))*(INPUT!D39-INPUT!D38)</f>
        <v>0</v>
      </c>
      <c r="I2" s="60">
        <f>INPUT!$D$19*INPUT!$B$7*(2-(1-INPUT!$B$10)*(INPUT!E38+INPUT!E39))*(INPUT!E39-INPUT!E38)</f>
        <v>0</v>
      </c>
    </row>
    <row r="3" spans="1:9" ht="25.2" thickBot="1" x14ac:dyDescent="0.6">
      <c r="A3" s="121" t="s">
        <v>107</v>
      </c>
      <c r="B3" s="64">
        <f>IF(ISBLANK(INPUT!B31),,1-0.08*COS(INPUT!$B$9/57.3)^2)*(COS(INPUT!$B$9/57.3)^(3/4))</f>
        <v>0.91979334790909495</v>
      </c>
      <c r="C3" s="65">
        <f>IF(ISBLANK(INPUT!C31),,1-0.08*COS(INPUT!$B$9/57.3)^2)*(COS(INPUT!$B$9/57.3)^(3/4))</f>
        <v>0.91979334790909495</v>
      </c>
      <c r="D3" s="65">
        <f>IF(ISBLANK(INPUT!D31),,1-0.08*COS(INPUT!$B$9/57.3)^2)*(COS(INPUT!$B$9/57.3)^(3/4))</f>
        <v>0</v>
      </c>
      <c r="E3" s="66">
        <f>IF(ISBLANK(INPUT!E31),,1-0.08*COS(INPUT!$B$9/57.3)^2)*(COS(INPUT!$B$9/57.3)^(3/4))</f>
        <v>0</v>
      </c>
      <c r="F3" s="64">
        <f>IF(ISBLANK(INPUT!B38),,1-0.08*COS(INPUT!$B$9/57.3)^2)*(COS(INPUT!$B$9/57.3)^(3/4))</f>
        <v>0</v>
      </c>
      <c r="G3" s="65">
        <f>IF(ISBLANK(INPUT!C38),,1-0.08*COS(INPUT!$B$9/57.3)^2)*(COS(INPUT!$B$9/57.3)^(3/4))</f>
        <v>0</v>
      </c>
      <c r="H3" s="65">
        <f>IF(ISBLANK(INPUT!D38),,1-0.08*COS(INPUT!$B$9/57.3)^2)*(COS(INPUT!$B$9/57.3)^(3/4))</f>
        <v>0</v>
      </c>
      <c r="I3" s="66">
        <f>IF(ISBLANK(INPUT!E38),,1-0.08*COS(INPUT!$B$9/57.3)^2)*(COS(INPUT!$B$9/57.3)^(3/4))</f>
        <v>0</v>
      </c>
    </row>
    <row r="4" spans="1:9" ht="34.200000000000003" thickBot="1" x14ac:dyDescent="0.8">
      <c r="A4" s="53" t="s">
        <v>108</v>
      </c>
      <c r="B4" s="75">
        <f>Delta_Clmax_flap_2D!B6*Delta_CLmax_3D!B2/INPUT!$B$6*Delta_CLmax_3D!B3</f>
        <v>0.42913134845948825</v>
      </c>
      <c r="C4" s="75">
        <f>Delta_Clmax_flap_2D!C6*Delta_CLmax_3D!C2/INPUT!$B$6*Delta_CLmax_3D!C3</f>
        <v>0.58920289726349051</v>
      </c>
      <c r="D4" s="75">
        <f>Delta_Clmax_flap_2D!D6*Delta_CLmax_3D!D2/INPUT!$B$6*Delta_CLmax_3D!D3</f>
        <v>0</v>
      </c>
      <c r="E4" s="75">
        <f>Delta_Clmax_flap_2D!E6*Delta_CLmax_3D!E2/INPUT!$B$6*Delta_CLmax_3D!E3</f>
        <v>0</v>
      </c>
      <c r="F4" s="75">
        <f>Delta_Clmax_slat_2D!B5*Delta_CLmax_3D!F2/INPUT!$B$6*Delta_CLmax_3D!F3</f>
        <v>0</v>
      </c>
      <c r="G4" s="75">
        <f>Delta_Clmax_slat_2D!C5*Delta_CLmax_3D!G2/INPUT!$B$6*Delta_CLmax_3D!G3</f>
        <v>0</v>
      </c>
      <c r="H4" s="75">
        <f>Delta_Clmax_slat_2D!D5*Delta_CLmax_3D!H2/INPUT!$B$6*Delta_CLmax_3D!H3</f>
        <v>0</v>
      </c>
      <c r="I4" s="75">
        <f>Delta_Clmax_slat_2D!E5*Delta_CLmax_3D!I2/INPUT!$B$6*Delta_CLmax_3D!I3</f>
        <v>0</v>
      </c>
    </row>
    <row r="5" spans="1:9" ht="34.200000000000003" thickBot="1" x14ac:dyDescent="0.8">
      <c r="A5" s="54" t="s">
        <v>109</v>
      </c>
      <c r="B5" s="265">
        <f>SUM(B4:I4)</f>
        <v>1.0183342457229787</v>
      </c>
      <c r="C5" s="266"/>
      <c r="D5" s="266"/>
      <c r="E5" s="266"/>
      <c r="F5" s="266"/>
      <c r="G5" s="266"/>
      <c r="H5" s="266"/>
      <c r="I5" s="267"/>
    </row>
  </sheetData>
  <mergeCells count="3">
    <mergeCell ref="B1:E1"/>
    <mergeCell ref="F1:I1"/>
    <mergeCell ref="B5:I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E3"/>
  <sheetViews>
    <sheetView zoomScale="85" zoomScaleNormal="85" workbookViewId="0">
      <selection activeCell="C2" sqref="C2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4.886718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34.200000000000003" thickBot="1" x14ac:dyDescent="0.8">
      <c r="A2" s="53" t="s">
        <v>110</v>
      </c>
      <c r="B2" s="122">
        <f>IF(ISBLANK(INPUT!B31),,INPUT!$B$14*(1+((Delta_CL0_3D!B4/Delta_Cl0_2D!B8)*(Delta_Cl0_2D!B3*(1-(INPUT!B29/Delta_Cl0_2D!B3*SIN(INPUT!B30/57.3)^2))-1))))</f>
        <v>0.12165879017758949</v>
      </c>
      <c r="C2" s="122">
        <f>IF(ISBLANK(INPUT!C31),,INPUT!$B$14*(1+((Delta_CL0_3D!C4/Delta_Cl0_2D!C8)*(Delta_Cl0_2D!C3*(1-(INPUT!C29/Delta_Cl0_2D!C3*SIN(INPUT!C30/57.3)^2))-1))))</f>
        <v>0.1203899270283713</v>
      </c>
      <c r="D2" s="122">
        <f>IF(ISBLANK(INPUT!D31),,INPUT!$B$14*(1+((Delta_CL0_3D!D4/Delta_Cl0_2D!D8)*(Delta_Cl0_2D!D3*(1-(INPUT!D29/Delta_Cl0_2D!D3*SIN(INPUT!D30/57.3)^2))-1))))</f>
        <v>0</v>
      </c>
      <c r="E2" s="122">
        <f>IF(ISBLANK(INPUT!E31),,INPUT!$B$14*(1+((Delta_CL0_3D!E4/Delta_Cl0_2D!E8)*(Delta_Cl0_2D!E3*(1-(INPUT!E29/Delta_Cl0_2D!E3*SIN(INPUT!E30/57.3)^2))-1))))</f>
        <v>0</v>
      </c>
    </row>
    <row r="3" spans="1:5" ht="34.200000000000003" thickBot="1" x14ac:dyDescent="0.8">
      <c r="A3" s="54" t="s">
        <v>111</v>
      </c>
      <c r="B3" s="274">
        <f>((B2*Delta_CLmax_3D!B2)+(CL_alpha_flap_down!C2*Delta_CLmax_3D!C2)+(CL_alpha_flap_down!D2*Delta_CLmax_3D!D2)+(CL_alpha_flap_down!E2*Delta_CLmax_3D!E2))/SUM(Delta_CLmax_3D!B2:E2)</f>
        <v>0.12090417654110751</v>
      </c>
      <c r="C3" s="275"/>
      <c r="D3" s="275"/>
      <c r="E3" s="276"/>
    </row>
  </sheetData>
  <mergeCells count="2">
    <mergeCell ref="B1:E1"/>
    <mergeCell ref="B3:E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M14"/>
  <sheetViews>
    <sheetView zoomScale="85" zoomScaleNormal="85" workbookViewId="0">
      <selection activeCell="B3" sqref="B3"/>
    </sheetView>
  </sheetViews>
  <sheetFormatPr defaultRowHeight="14.4" x14ac:dyDescent="0.3"/>
  <cols>
    <col min="1" max="1" width="22.6640625" bestFit="1" customWidth="1"/>
    <col min="2" max="2" width="18.5546875" customWidth="1"/>
    <col min="3" max="3" width="16.88671875" customWidth="1"/>
    <col min="4" max="4" width="8.6640625" customWidth="1"/>
    <col min="5" max="5" width="10.109375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13" ht="21.6" thickBot="1" x14ac:dyDescent="0.45">
      <c r="A1" s="123" t="s">
        <v>112</v>
      </c>
      <c r="B1" s="138">
        <f>INPUT!B76*INPUT!B21+INPUT!B77*INPUT!C21+INPUT!B78*INPUT!D21</f>
        <v>0.17355019797624285</v>
      </c>
    </row>
    <row r="2" spans="1:13" ht="21.6" thickBot="1" x14ac:dyDescent="0.45">
      <c r="A2" s="123" t="s">
        <v>113</v>
      </c>
      <c r="B2" s="124">
        <v>3.7</v>
      </c>
    </row>
    <row r="3" spans="1:13" ht="34.200000000000003" thickBot="1" x14ac:dyDescent="0.8">
      <c r="A3" s="54" t="s">
        <v>114</v>
      </c>
      <c r="B3" s="125">
        <v>1.85</v>
      </c>
    </row>
    <row r="14" spans="1:13" x14ac:dyDescent="0.3">
      <c r="M14" s="234"/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F0"/>
  </sheetPr>
  <dimension ref="A1:E6"/>
  <sheetViews>
    <sheetView topLeftCell="F55" zoomScale="90" zoomScaleNormal="90" workbookViewId="0">
      <selection activeCell="C11" sqref="C11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3.109375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1.6" thickBot="1" x14ac:dyDescent="0.45">
      <c r="A1" s="37"/>
      <c r="B1" s="262" t="s">
        <v>85</v>
      </c>
      <c r="C1" s="263"/>
      <c r="D1" s="263"/>
      <c r="E1" s="264"/>
    </row>
    <row r="2" spans="1:5" ht="24.6" x14ac:dyDescent="0.55000000000000004">
      <c r="A2" s="48" t="s">
        <v>115</v>
      </c>
      <c r="B2" s="157">
        <v>2.25</v>
      </c>
      <c r="C2" s="59">
        <v>2.25</v>
      </c>
      <c r="D2" s="59"/>
      <c r="E2" s="60"/>
    </row>
    <row r="3" spans="1:5" ht="24.6" x14ac:dyDescent="0.55000000000000004">
      <c r="A3" s="50" t="s">
        <v>116</v>
      </c>
      <c r="B3" s="159">
        <v>3.9E-2</v>
      </c>
      <c r="C3" s="80">
        <v>3.9E-2</v>
      </c>
      <c r="D3" s="62"/>
      <c r="E3" s="63"/>
    </row>
    <row r="4" spans="1:5" ht="25.2" thickBot="1" x14ac:dyDescent="0.6">
      <c r="A4" s="116" t="s">
        <v>117</v>
      </c>
      <c r="B4" s="158">
        <v>0.25</v>
      </c>
      <c r="C4" s="65">
        <v>0.48</v>
      </c>
      <c r="D4" s="65"/>
      <c r="E4" s="66"/>
    </row>
    <row r="5" spans="1:5" ht="34.200000000000003" thickBot="1" x14ac:dyDescent="0.8">
      <c r="A5" s="143" t="s">
        <v>118</v>
      </c>
      <c r="B5" s="122">
        <f>B4*B3*B2</f>
        <v>2.1937499999999999E-2</v>
      </c>
      <c r="C5" s="122">
        <f t="shared" ref="C5:E5" si="0">C4*C3*C2</f>
        <v>4.2120000000000005E-2</v>
      </c>
      <c r="D5" s="122">
        <f t="shared" si="0"/>
        <v>0</v>
      </c>
      <c r="E5" s="122">
        <f t="shared" si="0"/>
        <v>0</v>
      </c>
    </row>
    <row r="6" spans="1:5" ht="34.200000000000003" thickBot="1" x14ac:dyDescent="0.8">
      <c r="A6" s="54" t="s">
        <v>119</v>
      </c>
      <c r="B6" s="274">
        <f>SUM(B5:E5)</f>
        <v>6.4057500000000003E-2</v>
      </c>
      <c r="C6" s="275"/>
      <c r="D6" s="275"/>
      <c r="E6" s="276"/>
    </row>
  </sheetData>
  <mergeCells count="2">
    <mergeCell ref="B1:E1"/>
    <mergeCell ref="B6:E6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E9"/>
  <sheetViews>
    <sheetView zoomScale="90" zoomScaleNormal="90" workbookViewId="0">
      <selection activeCell="B1" sqref="B1"/>
    </sheetView>
  </sheetViews>
  <sheetFormatPr defaultRowHeight="14.4" x14ac:dyDescent="0.3"/>
  <cols>
    <col min="1" max="1" width="19.33203125" customWidth="1"/>
    <col min="2" max="2" width="18.5546875" customWidth="1"/>
    <col min="3" max="3" width="16.88671875" customWidth="1"/>
    <col min="4" max="5" width="11" bestFit="1" customWidth="1"/>
    <col min="6" max="6" width="16.6640625" customWidth="1"/>
    <col min="7" max="7" width="13.6640625" customWidth="1"/>
    <col min="8" max="8" width="14.88671875" customWidth="1"/>
    <col min="9" max="9" width="15.44140625" customWidth="1"/>
  </cols>
  <sheetData>
    <row r="1" spans="1:5" ht="22.2" thickBot="1" x14ac:dyDescent="0.5">
      <c r="A1" s="140" t="s">
        <v>120</v>
      </c>
      <c r="B1" s="141">
        <f>Delta_CL0_3D!B5+CL_alpha_flap_down!B3*INPUT!B3</f>
        <v>1.4178013772964646</v>
      </c>
    </row>
    <row r="3" spans="1:5" ht="15" thickBot="1" x14ac:dyDescent="0.35">
      <c r="A3" s="31"/>
    </row>
    <row r="4" spans="1:5" ht="21.6" thickBot="1" x14ac:dyDescent="0.45">
      <c r="A4" s="142"/>
      <c r="B4" s="262" t="s">
        <v>85</v>
      </c>
      <c r="C4" s="263"/>
      <c r="D4" s="263"/>
      <c r="E4" s="264"/>
    </row>
    <row r="5" spans="1:5" ht="21.6" x14ac:dyDescent="0.45">
      <c r="A5" s="144" t="s">
        <v>121</v>
      </c>
      <c r="B5" s="147">
        <v>0.2</v>
      </c>
      <c r="C5" s="148">
        <v>0.2</v>
      </c>
      <c r="D5" s="148"/>
      <c r="E5" s="149"/>
    </row>
    <row r="6" spans="1:5" ht="21.6" x14ac:dyDescent="0.45">
      <c r="A6" s="145" t="s">
        <v>122</v>
      </c>
      <c r="B6" s="150">
        <v>0.35</v>
      </c>
      <c r="C6" s="151">
        <v>0.56999999999999995</v>
      </c>
      <c r="D6" s="151"/>
      <c r="E6" s="152"/>
    </row>
    <row r="7" spans="1:5" ht="22.2" thickBot="1" x14ac:dyDescent="0.5">
      <c r="A7" s="146" t="s">
        <v>123</v>
      </c>
      <c r="B7" s="153">
        <v>4.4999999999999998E-2</v>
      </c>
      <c r="C7" s="154">
        <v>5.8999999999999997E-2</v>
      </c>
      <c r="D7" s="154"/>
      <c r="E7" s="155"/>
    </row>
    <row r="8" spans="1:5" ht="34.200000000000003" thickBot="1" x14ac:dyDescent="0.8">
      <c r="A8" s="143" t="s">
        <v>124</v>
      </c>
      <c r="B8" s="156">
        <f>B6*(-(B5*Delta_CLmax_3D!B4*Delta_Cl0_2D!B3)-((Delta_CMc4!$B$1+(Delta_Clmax_flap_2D!B6*(1-(Delta_CLmax_3D!B2/INPUT!$B$6))))*(1/8)*Delta_Cl0_2D!B3*(Delta_Cl0_2D!B3-1)))+(0.7*INPUT!$B$5/(1+(INPUT!$B$5/2))*Delta_CMc4!B7*Delta_Clmax_flap_2D!B6*TAN(INPUT!$B$9/57.3))</f>
        <v>-4.4336797795201957E-2</v>
      </c>
      <c r="C8" s="156">
        <f>C6*(-(C5*Delta_CLmax_3D!C4*Delta_Cl0_2D!C3)-((Delta_CMc4!$B$1+(Delta_Clmax_flap_2D!C6*(1-(Delta_CLmax_3D!C2/INPUT!$B$6))))*(1/8)*Delta_Cl0_2D!C3*(Delta_Cl0_2D!C3-1)))+(0.7*INPUT!$B$5/(1+(INPUT!$B$5/2))*Delta_CMc4!C7*Delta_Clmax_flap_2D!C6*TAN(INPUT!$B$9/57.3))</f>
        <v>-9.1068696659255211E-2</v>
      </c>
      <c r="D8" s="156">
        <f>D6*(-(D5*Delta_CLmax_3D!D4*Delta_Cl0_2D!D3)-((Delta_CMc4!$B$1+(Delta_Clmax_flap_2D!D6*(1-(Delta_CLmax_3D!D2/INPUT!$B$6))))*(1/8)*Delta_Cl0_2D!D3*(Delta_Cl0_2D!D3-1)))+(0.7*INPUT!$B$5/(1+(INPUT!$B$5/2))*Delta_CMc4!D7*Delta_Clmax_flap_2D!D6*TAN(INPUT!$B$9/57.3))</f>
        <v>0</v>
      </c>
      <c r="E8" s="156">
        <f>E6*(-(E5*Delta_CLmax_3D!E4*Delta_Cl0_2D!E3)-((Delta_CMc4!$B$1+(Delta_Clmax_flap_2D!E6*(1-(Delta_CLmax_3D!E2/INPUT!$B$6))))*(1/8)*Delta_Cl0_2D!E3*(Delta_Cl0_2D!E3-1)))+(0.7*INPUT!$B$5/(1+(INPUT!$B$5/2))*Delta_CMc4!E7*Delta_Clmax_flap_2D!E6*TAN(INPUT!$B$9/57.3))</f>
        <v>0</v>
      </c>
    </row>
    <row r="9" spans="1:5" ht="34.200000000000003" thickBot="1" x14ac:dyDescent="0.8">
      <c r="A9" s="54" t="s">
        <v>125</v>
      </c>
      <c r="B9" s="277">
        <f>SUM(B8:E8)</f>
        <v>-0.13540549445445715</v>
      </c>
      <c r="C9" s="278"/>
      <c r="D9" s="278"/>
      <c r="E9" s="279"/>
    </row>
  </sheetData>
  <mergeCells count="2">
    <mergeCell ref="B4:E4"/>
    <mergeCell ref="B9:E9"/>
  </mergeCell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S70"/>
  <sheetViews>
    <sheetView zoomScale="70" zoomScaleNormal="70" workbookViewId="0">
      <selection activeCell="B13" sqref="B13"/>
    </sheetView>
  </sheetViews>
  <sheetFormatPr defaultRowHeight="14.4" x14ac:dyDescent="0.3"/>
  <cols>
    <col min="1" max="1" width="35.33203125" bestFit="1" customWidth="1"/>
    <col min="2" max="2" width="26.109375" customWidth="1"/>
    <col min="3" max="3" width="20.33203125" customWidth="1"/>
    <col min="4" max="4" width="8.6640625" customWidth="1"/>
    <col min="5" max="5" width="10.109375" customWidth="1"/>
    <col min="6" max="6" width="14.5546875" customWidth="1"/>
    <col min="7" max="7" width="80.6640625" customWidth="1"/>
    <col min="8" max="8" width="25" customWidth="1"/>
    <col min="9" max="9" width="22.88671875" customWidth="1"/>
    <col min="10" max="10" width="9.44140625" bestFit="1" customWidth="1"/>
    <col min="12" max="12" width="10.44140625" bestFit="1" customWidth="1"/>
    <col min="16" max="16" width="10.6640625" customWidth="1"/>
    <col min="17" max="17" width="10" customWidth="1"/>
  </cols>
  <sheetData>
    <row r="1" spans="1:3" ht="31.95" customHeight="1" thickBot="1" x14ac:dyDescent="0.6">
      <c r="A1" s="290" t="s">
        <v>126</v>
      </c>
      <c r="B1" s="291"/>
      <c r="C1" s="199"/>
    </row>
    <row r="2" spans="1:3" ht="22.95" customHeight="1" thickBot="1" x14ac:dyDescent="0.6">
      <c r="A2" s="292" t="s">
        <v>127</v>
      </c>
      <c r="B2" s="293"/>
      <c r="C2" s="199"/>
    </row>
    <row r="3" spans="1:3" ht="33.6" x14ac:dyDescent="0.75">
      <c r="A3" s="200" t="s">
        <v>91</v>
      </c>
      <c r="B3" s="201">
        <f>Delta_Cl0_2D!B9</f>
        <v>3.5006873052182539</v>
      </c>
      <c r="C3" s="199"/>
    </row>
    <row r="4" spans="1:3" ht="33.6" x14ac:dyDescent="0.75">
      <c r="A4" s="202" t="s">
        <v>128</v>
      </c>
      <c r="B4" s="203">
        <f>Delta_Clmax_flap_2D!B7</f>
        <v>3.4338711392785748</v>
      </c>
      <c r="C4" s="199"/>
    </row>
    <row r="5" spans="1:3" ht="34.200000000000003" thickBot="1" x14ac:dyDescent="0.8">
      <c r="A5" s="202" t="s">
        <v>129</v>
      </c>
      <c r="B5" s="203">
        <f>Delta_Clmax_slat_2D!B6</f>
        <v>0</v>
      </c>
      <c r="C5" s="199"/>
    </row>
    <row r="6" spans="1:3" ht="29.4" thickBot="1" x14ac:dyDescent="0.6">
      <c r="A6" s="294" t="s">
        <v>130</v>
      </c>
      <c r="B6" s="295"/>
      <c r="C6" s="199"/>
    </row>
    <row r="7" spans="1:3" ht="33.6" x14ac:dyDescent="0.75">
      <c r="A7" s="202" t="s">
        <v>104</v>
      </c>
      <c r="B7" s="203">
        <f>Delta_CL0_3D!$B$5</f>
        <v>1.4178013772964646</v>
      </c>
      <c r="C7" s="199"/>
    </row>
    <row r="8" spans="1:3" ht="33.6" x14ac:dyDescent="0.75">
      <c r="A8" s="204" t="s">
        <v>131</v>
      </c>
      <c r="B8" s="205">
        <f>SUM(Delta_CLmax_3D!B4:E4)</f>
        <v>1.0183342457229787</v>
      </c>
      <c r="C8" s="199"/>
    </row>
    <row r="9" spans="1:3" ht="33.6" x14ac:dyDescent="0.75">
      <c r="A9" s="204" t="s">
        <v>132</v>
      </c>
      <c r="B9" s="205">
        <f>SUM(Delta_CLmax_3D!F4:I4)</f>
        <v>0</v>
      </c>
      <c r="C9" s="199"/>
    </row>
    <row r="10" spans="1:3" ht="33.6" x14ac:dyDescent="0.75">
      <c r="A10" s="204" t="s">
        <v>133</v>
      </c>
      <c r="B10" s="206">
        <f>CL_alpha_flap_down!B3</f>
        <v>0.12090417654110751</v>
      </c>
      <c r="C10" s="199"/>
    </row>
    <row r="11" spans="1:3" ht="33.6" x14ac:dyDescent="0.75">
      <c r="A11" s="204" t="s">
        <v>134</v>
      </c>
      <c r="B11" s="205">
        <f>Delta_Alpha_Stall!B3</f>
        <v>1.85</v>
      </c>
      <c r="C11" s="199"/>
    </row>
    <row r="12" spans="1:3" ht="33.6" x14ac:dyDescent="0.75">
      <c r="A12" s="207" t="s">
        <v>118</v>
      </c>
      <c r="B12" s="206">
        <f>Delta_CD0!B6</f>
        <v>6.4057500000000003E-2</v>
      </c>
      <c r="C12" s="199"/>
    </row>
    <row r="13" spans="1:3" ht="34.200000000000003" thickBot="1" x14ac:dyDescent="0.8">
      <c r="A13" s="208" t="s">
        <v>135</v>
      </c>
      <c r="B13" s="209">
        <f>Delta_CMc4!$B$9</f>
        <v>-0.13540549445445715</v>
      </c>
      <c r="C13" s="199"/>
    </row>
    <row r="14" spans="1:3" ht="29.4" thickBot="1" x14ac:dyDescent="0.6">
      <c r="A14" s="199"/>
      <c r="B14" s="199"/>
      <c r="C14" s="199"/>
    </row>
    <row r="15" spans="1:3" ht="29.4" thickBot="1" x14ac:dyDescent="0.6">
      <c r="A15" s="210"/>
      <c r="B15" s="211" t="s">
        <v>136</v>
      </c>
      <c r="C15" s="212" t="s">
        <v>137</v>
      </c>
    </row>
    <row r="16" spans="1:3" ht="33.6" x14ac:dyDescent="0.75">
      <c r="A16" s="213" t="s">
        <v>138</v>
      </c>
      <c r="B16" s="214">
        <f>INPUT!B12</f>
        <v>12.8</v>
      </c>
      <c r="C16" s="215">
        <f>((C21-C19)/C18)+B11</f>
        <v>7.6441163694070777</v>
      </c>
    </row>
    <row r="17" spans="1:3" ht="33" x14ac:dyDescent="0.55000000000000004">
      <c r="A17" s="216" t="s">
        <v>139</v>
      </c>
      <c r="B17" s="204">
        <f>INPUT!B13</f>
        <v>7.2</v>
      </c>
      <c r="C17" s="217">
        <f>C16-(B16-B17)</f>
        <v>2.0441163694070772</v>
      </c>
    </row>
    <row r="18" spans="1:3" ht="33.6" x14ac:dyDescent="0.75">
      <c r="A18" s="218" t="s">
        <v>140</v>
      </c>
      <c r="B18" s="204">
        <f>INPUT!B14</f>
        <v>0.123</v>
      </c>
      <c r="C18" s="219">
        <f>B10</f>
        <v>0.12090417654110751</v>
      </c>
    </row>
    <row r="19" spans="1:3" ht="33.6" x14ac:dyDescent="0.75">
      <c r="A19" s="218" t="s">
        <v>141</v>
      </c>
      <c r="B19" s="220">
        <f>INPUT!B15</f>
        <v>0.62</v>
      </c>
      <c r="C19" s="221">
        <f>B19+B7</f>
        <v>2.0378013772964647</v>
      </c>
    </row>
    <row r="20" spans="1:3" ht="35.4" x14ac:dyDescent="0.75">
      <c r="A20" s="218" t="s">
        <v>142</v>
      </c>
      <c r="B20" s="220">
        <f>B19+B18*B17</f>
        <v>1.5056</v>
      </c>
      <c r="C20" s="221">
        <f>C19+C18*C17</f>
        <v>2.2849435836938259</v>
      </c>
    </row>
    <row r="21" spans="1:3" ht="34.200000000000003" thickBot="1" x14ac:dyDescent="0.8">
      <c r="A21" s="222" t="s">
        <v>143</v>
      </c>
      <c r="B21" s="223">
        <f>INPUT!B17</f>
        <v>1.72</v>
      </c>
      <c r="C21" s="224">
        <f>B21+B8+B9</f>
        <v>2.7383342457229789</v>
      </c>
    </row>
    <row r="24" spans="1:3" ht="15" thickBot="1" x14ac:dyDescent="0.35"/>
    <row r="25" spans="1:3" ht="21.6" thickBot="1" x14ac:dyDescent="0.45">
      <c r="A25" s="160" t="s">
        <v>144</v>
      </c>
      <c r="B25" s="161" t="s">
        <v>145</v>
      </c>
      <c r="C25" s="162" t="s">
        <v>146</v>
      </c>
    </row>
    <row r="26" spans="1:3" ht="21" x14ac:dyDescent="0.4">
      <c r="A26" s="164">
        <f>ROUND(-C19/C18,1)</f>
        <v>-16.899999999999999</v>
      </c>
      <c r="B26" s="167"/>
      <c r="C26" s="177">
        <f>$C$19+$C$18*A26</f>
        <v>-5.4792062482520443E-3</v>
      </c>
    </row>
    <row r="27" spans="1:3" ht="21" x14ac:dyDescent="0.4">
      <c r="A27" s="165">
        <f>A26+1</f>
        <v>-15.899999999999999</v>
      </c>
      <c r="B27" s="168"/>
      <c r="C27" s="178">
        <f t="shared" ref="C27:C42" si="0">$C$19+$C$18*A27</f>
        <v>0.11542497029285559</v>
      </c>
    </row>
    <row r="28" spans="1:3" ht="21" x14ac:dyDescent="0.4">
      <c r="A28" s="165">
        <f t="shared" ref="A28:A67" si="1">A27+1</f>
        <v>-14.899999999999999</v>
      </c>
      <c r="B28" s="168"/>
      <c r="C28" s="178">
        <f t="shared" si="0"/>
        <v>0.236329146833963</v>
      </c>
    </row>
    <row r="29" spans="1:3" ht="21" x14ac:dyDescent="0.4">
      <c r="A29" s="165">
        <f t="shared" si="1"/>
        <v>-13.899999999999999</v>
      </c>
      <c r="B29" s="168"/>
      <c r="C29" s="178">
        <f t="shared" si="0"/>
        <v>0.35723332337507041</v>
      </c>
    </row>
    <row r="30" spans="1:3" ht="21" x14ac:dyDescent="0.4">
      <c r="A30" s="165">
        <f t="shared" si="1"/>
        <v>-12.899999999999999</v>
      </c>
      <c r="B30" s="168"/>
      <c r="C30" s="178">
        <f t="shared" si="0"/>
        <v>0.47813749991617804</v>
      </c>
    </row>
    <row r="31" spans="1:3" ht="21" x14ac:dyDescent="0.4">
      <c r="A31" s="165">
        <f t="shared" si="1"/>
        <v>-11.899999999999999</v>
      </c>
      <c r="B31" s="168"/>
      <c r="C31" s="178">
        <f t="shared" si="0"/>
        <v>0.59904167645728545</v>
      </c>
    </row>
    <row r="32" spans="1:3" ht="21" x14ac:dyDescent="0.4">
      <c r="A32" s="165">
        <f t="shared" si="1"/>
        <v>-10.899999999999999</v>
      </c>
      <c r="B32" s="168"/>
      <c r="C32" s="178">
        <f t="shared" si="0"/>
        <v>0.71994585299839309</v>
      </c>
    </row>
    <row r="33" spans="1:19" ht="21" x14ac:dyDescent="0.4">
      <c r="A33" s="165">
        <f t="shared" si="1"/>
        <v>-9.8999999999999986</v>
      </c>
      <c r="B33" s="168"/>
      <c r="C33" s="178">
        <f t="shared" si="0"/>
        <v>0.8408500295395005</v>
      </c>
    </row>
    <row r="34" spans="1:19" ht="21" x14ac:dyDescent="0.4">
      <c r="A34" s="165">
        <f t="shared" si="1"/>
        <v>-8.8999999999999986</v>
      </c>
      <c r="B34" s="169">
        <f>$B$19+$B$18*A34</f>
        <v>-0.47469999999999979</v>
      </c>
      <c r="C34" s="178">
        <f t="shared" si="0"/>
        <v>0.96175420608060813</v>
      </c>
    </row>
    <row r="35" spans="1:19" ht="21.6" thickBot="1" x14ac:dyDescent="0.45">
      <c r="A35" s="165">
        <f t="shared" si="1"/>
        <v>-7.8999999999999986</v>
      </c>
      <c r="B35" s="169">
        <f>$B$19+$B$18*A35</f>
        <v>-0.35169999999999979</v>
      </c>
      <c r="C35" s="178">
        <f t="shared" si="0"/>
        <v>1.0826583826217155</v>
      </c>
    </row>
    <row r="36" spans="1:19" ht="21.6" thickBot="1" x14ac:dyDescent="0.45">
      <c r="A36" s="165">
        <f t="shared" si="1"/>
        <v>-6.8999999999999986</v>
      </c>
      <c r="B36" s="169">
        <f t="shared" ref="B36:B50" si="2">$B$19+$B$18*A36</f>
        <v>-0.22869999999999979</v>
      </c>
      <c r="C36" s="178">
        <f t="shared" si="0"/>
        <v>1.203562559162823</v>
      </c>
      <c r="H36" s="286" t="s">
        <v>147</v>
      </c>
      <c r="I36" s="287"/>
      <c r="L36" s="280" t="s">
        <v>148</v>
      </c>
      <c r="M36" s="281"/>
      <c r="N36" s="281"/>
      <c r="O36" s="282"/>
      <c r="P36" s="280" t="s">
        <v>149</v>
      </c>
      <c r="Q36" s="281"/>
      <c r="R36" s="281"/>
      <c r="S36" s="282"/>
    </row>
    <row r="37" spans="1:19" ht="21.6" thickBot="1" x14ac:dyDescent="0.45">
      <c r="A37" s="165">
        <f t="shared" si="1"/>
        <v>-5.8999999999999986</v>
      </c>
      <c r="B37" s="169">
        <f t="shared" si="2"/>
        <v>-0.10569999999999979</v>
      </c>
      <c r="C37" s="178">
        <f t="shared" si="0"/>
        <v>1.3244667357039306</v>
      </c>
      <c r="G37" s="182" t="s">
        <v>150</v>
      </c>
      <c r="H37" s="227" t="s">
        <v>151</v>
      </c>
      <c r="I37" s="228" t="s">
        <v>152</v>
      </c>
      <c r="L37" s="186">
        <f>H38^3</f>
        <v>373.24800000000005</v>
      </c>
      <c r="M37" s="187">
        <f>H38^2</f>
        <v>51.84</v>
      </c>
      <c r="N37" s="187">
        <f>H38</f>
        <v>7.2</v>
      </c>
      <c r="O37" s="190">
        <f>1</f>
        <v>1</v>
      </c>
      <c r="P37" s="186">
        <f>I38^3</f>
        <v>8.5411598188455109</v>
      </c>
      <c r="Q37" s="187">
        <f>I38^2</f>
        <v>4.1784117316779703</v>
      </c>
      <c r="R37" s="187">
        <f>I38</f>
        <v>2.0441163694070772</v>
      </c>
      <c r="S37" s="190">
        <f>1</f>
        <v>1</v>
      </c>
    </row>
    <row r="38" spans="1:19" ht="21" x14ac:dyDescent="0.4">
      <c r="A38" s="165">
        <f t="shared" si="1"/>
        <v>-4.8999999999999986</v>
      </c>
      <c r="B38" s="169">
        <f t="shared" si="2"/>
        <v>1.7300000000000204E-2</v>
      </c>
      <c r="C38" s="178">
        <f t="shared" si="0"/>
        <v>1.4453709122450382</v>
      </c>
      <c r="G38" s="179" t="s">
        <v>153</v>
      </c>
      <c r="H38" s="196">
        <f>B17</f>
        <v>7.2</v>
      </c>
      <c r="I38" s="183">
        <f>C17</f>
        <v>2.0441163694070772</v>
      </c>
      <c r="L38" s="189">
        <f>H39^3</f>
        <v>2097.1520000000005</v>
      </c>
      <c r="M38" s="188">
        <f>H39^2</f>
        <v>163.84000000000003</v>
      </c>
      <c r="N38" s="188">
        <f>H39</f>
        <v>12.8</v>
      </c>
      <c r="O38" s="191">
        <v>1</v>
      </c>
      <c r="P38" s="189">
        <f>I39^3</f>
        <v>446.66494494485335</v>
      </c>
      <c r="Q38" s="188">
        <f>I39^2</f>
        <v>58.432515069037244</v>
      </c>
      <c r="R38" s="188">
        <f>I39</f>
        <v>7.6441163694070777</v>
      </c>
      <c r="S38" s="191">
        <v>1</v>
      </c>
    </row>
    <row r="39" spans="1:19" ht="21" x14ac:dyDescent="0.4">
      <c r="A39" s="165">
        <f t="shared" si="1"/>
        <v>-3.8999999999999986</v>
      </c>
      <c r="B39" s="169">
        <f t="shared" si="2"/>
        <v>0.1403000000000002</v>
      </c>
      <c r="C39" s="178">
        <f t="shared" si="0"/>
        <v>1.5662750887861456</v>
      </c>
      <c r="G39" s="180" t="s">
        <v>154</v>
      </c>
      <c r="H39" s="197">
        <f>B16</f>
        <v>12.8</v>
      </c>
      <c r="I39" s="184">
        <f>C16</f>
        <v>7.6441163694070777</v>
      </c>
      <c r="L39" s="189">
        <f>3*H40^2</f>
        <v>155.52000000000001</v>
      </c>
      <c r="M39" s="188">
        <f>2*H40</f>
        <v>14.4</v>
      </c>
      <c r="N39" s="188">
        <f>1</f>
        <v>1</v>
      </c>
      <c r="O39" s="191">
        <v>0</v>
      </c>
      <c r="P39" s="189">
        <f>3*I40^2</f>
        <v>12.535235195033911</v>
      </c>
      <c r="Q39" s="188">
        <f>2*I40</f>
        <v>4.0882327388141544</v>
      </c>
      <c r="R39" s="188">
        <f>1</f>
        <v>1</v>
      </c>
      <c r="S39" s="191">
        <v>0</v>
      </c>
    </row>
    <row r="40" spans="1:19" ht="21.6" thickBot="1" x14ac:dyDescent="0.45">
      <c r="A40" s="165">
        <f t="shared" si="1"/>
        <v>-2.8999999999999986</v>
      </c>
      <c r="B40" s="169">
        <f t="shared" si="2"/>
        <v>0.2633000000000002</v>
      </c>
      <c r="C40" s="178">
        <f t="shared" si="0"/>
        <v>1.687179265327253</v>
      </c>
      <c r="G40" s="180" t="s">
        <v>155</v>
      </c>
      <c r="H40" s="197">
        <f>B17</f>
        <v>7.2</v>
      </c>
      <c r="I40" s="184">
        <f>C17</f>
        <v>2.0441163694070772</v>
      </c>
      <c r="L40" s="192">
        <f>3*H41^2</f>
        <v>491.5200000000001</v>
      </c>
      <c r="M40" s="193">
        <f>2*H41</f>
        <v>25.6</v>
      </c>
      <c r="N40" s="193">
        <v>1</v>
      </c>
      <c r="O40" s="194">
        <v>0</v>
      </c>
      <c r="P40" s="192">
        <f>3*I41^2</f>
        <v>175.29754520711174</v>
      </c>
      <c r="Q40" s="193">
        <f>2*I41</f>
        <v>15.288232738814155</v>
      </c>
      <c r="R40" s="193">
        <v>1</v>
      </c>
      <c r="S40" s="194">
        <v>0</v>
      </c>
    </row>
    <row r="41" spans="1:19" ht="21.6" thickBot="1" x14ac:dyDescent="0.45">
      <c r="A41" s="165">
        <f t="shared" si="1"/>
        <v>-1.8999999999999986</v>
      </c>
      <c r="B41" s="169">
        <f t="shared" si="2"/>
        <v>0.3863000000000002</v>
      </c>
      <c r="C41" s="178">
        <f t="shared" si="0"/>
        <v>1.8080834418683607</v>
      </c>
      <c r="G41" s="181" t="s">
        <v>156</v>
      </c>
      <c r="H41" s="198">
        <f>B16</f>
        <v>12.8</v>
      </c>
      <c r="I41" s="185">
        <f>C16</f>
        <v>7.6441163694070777</v>
      </c>
      <c r="L41" s="283" t="s">
        <v>157</v>
      </c>
      <c r="M41" s="284"/>
      <c r="N41" s="284"/>
      <c r="O41" s="285"/>
      <c r="P41" s="283" t="s">
        <v>158</v>
      </c>
      <c r="Q41" s="284"/>
      <c r="R41" s="284"/>
      <c r="S41" s="285"/>
    </row>
    <row r="42" spans="1:19" ht="21.6" thickBot="1" x14ac:dyDescent="0.45">
      <c r="A42" s="165">
        <f t="shared" si="1"/>
        <v>-0.89999999999999858</v>
      </c>
      <c r="B42" s="169">
        <f t="shared" si="2"/>
        <v>0.5093000000000002</v>
      </c>
      <c r="C42" s="178">
        <f t="shared" si="0"/>
        <v>1.9289876184094681</v>
      </c>
      <c r="G42" s="182" t="s">
        <v>159</v>
      </c>
      <c r="H42" s="227" t="s">
        <v>151</v>
      </c>
      <c r="I42" s="228" t="s">
        <v>152</v>
      </c>
      <c r="L42" s="186">
        <f t="array" ref="L42:O45">MINVERSE(L37:O40)</f>
        <v>1.1388483965014538E-2</v>
      </c>
      <c r="M42" s="187">
        <v>-1.1388483965014549E-2</v>
      </c>
      <c r="N42" s="187">
        <v>3.188775510204072E-2</v>
      </c>
      <c r="O42" s="190">
        <v>3.1887755102040734E-2</v>
      </c>
      <c r="P42" s="186">
        <f t="array" ref="P42:S45">MINVERSE(P37:S40)</f>
        <v>1.1388483965014575E-2</v>
      </c>
      <c r="Q42" s="187">
        <v>-1.1388483965014575E-2</v>
      </c>
      <c r="R42" s="187">
        <v>3.1887755102040803E-2</v>
      </c>
      <c r="S42" s="190">
        <v>3.1887755102040796E-2</v>
      </c>
    </row>
    <row r="43" spans="1:19" ht="21" x14ac:dyDescent="0.4">
      <c r="A43" s="165">
        <f>A41+1</f>
        <v>-0.89999999999999858</v>
      </c>
      <c r="B43" s="169">
        <f>$B$19+$B$18*A43</f>
        <v>0.5093000000000002</v>
      </c>
      <c r="C43" s="178">
        <f>$C$19+$C$18*A43</f>
        <v>1.9289876184094681</v>
      </c>
      <c r="G43" s="179" t="s">
        <v>160</v>
      </c>
      <c r="H43" s="196">
        <f>B20</f>
        <v>1.5056</v>
      </c>
      <c r="I43" s="183">
        <f>C20</f>
        <v>2.2849435836938259</v>
      </c>
      <c r="L43" s="189">
        <v>-0.34165451895043619</v>
      </c>
      <c r="M43" s="188">
        <v>0.34165451895043647</v>
      </c>
      <c r="N43" s="188">
        <v>-1.0459183673469357</v>
      </c>
      <c r="O43" s="191">
        <v>-0.86734693877550773</v>
      </c>
      <c r="P43" s="189">
        <v>-0.16550142479297134</v>
      </c>
      <c r="Q43" s="188">
        <v>0.16550142479297134</v>
      </c>
      <c r="R43" s="188">
        <v>-0.5526897037060341</v>
      </c>
      <c r="S43" s="191">
        <v>-0.37411827513460544</v>
      </c>
    </row>
    <row r="44" spans="1:19" ht="21" x14ac:dyDescent="0.4">
      <c r="A44" s="165">
        <f>A42+1</f>
        <v>0.10000000000000142</v>
      </c>
      <c r="B44" s="169">
        <f>$B$19+$B$18*A44</f>
        <v>0.6323000000000002</v>
      </c>
      <c r="C44" s="178">
        <f>$C$19+$C$18*A44</f>
        <v>2.0498917949505757</v>
      </c>
      <c r="G44" s="180" t="s">
        <v>161</v>
      </c>
      <c r="H44" s="197">
        <f>B21</f>
        <v>1.72</v>
      </c>
      <c r="I44" s="184">
        <f>C21</f>
        <v>2.7383342457229789</v>
      </c>
      <c r="L44" s="189">
        <v>3.1486880466472202</v>
      </c>
      <c r="M44" s="188">
        <v>-3.148688046647222</v>
      </c>
      <c r="N44" s="188">
        <v>11.102040816326502</v>
      </c>
      <c r="O44" s="191">
        <v>7.5306122448979371</v>
      </c>
      <c r="P44" s="189">
        <v>0.53385101814268399</v>
      </c>
      <c r="Q44" s="188">
        <v>-0.53385101814268399</v>
      </c>
      <c r="R44" s="188">
        <v>2.8598036310507795</v>
      </c>
      <c r="S44" s="191">
        <v>1.1297620705482514</v>
      </c>
    </row>
    <row r="45" spans="1:19" ht="21.6" thickBot="1" x14ac:dyDescent="0.45">
      <c r="A45" s="165">
        <f>A44+1</f>
        <v>1.1000000000000014</v>
      </c>
      <c r="B45" s="169">
        <f t="shared" si="2"/>
        <v>0.75530000000000019</v>
      </c>
      <c r="C45" s="178">
        <f t="shared" ref="C45:C55" si="3">$H$50*A45^3+$H$51*A45^2+$H$52*A45+$H$53</f>
        <v>2.1720685939029285</v>
      </c>
      <c r="G45" s="180" t="s">
        <v>162</v>
      </c>
      <c r="H45" s="197">
        <f>B18</f>
        <v>0.123</v>
      </c>
      <c r="I45" s="184">
        <f>C18</f>
        <v>0.12090417654110751</v>
      </c>
      <c r="L45" s="192">
        <v>-8.2099125364431185</v>
      </c>
      <c r="M45" s="193">
        <v>9.209912536443122</v>
      </c>
      <c r="N45" s="193">
        <v>-37.616326530612156</v>
      </c>
      <c r="O45" s="194">
        <v>-21.159183673469318</v>
      </c>
      <c r="P45" s="192">
        <v>0.50300862831472692</v>
      </c>
      <c r="Q45" s="193">
        <v>0.49699137168527319</v>
      </c>
      <c r="R45" s="193">
        <v>-3.8087646861685185</v>
      </c>
      <c r="S45" s="194">
        <v>-1.0185033646760888</v>
      </c>
    </row>
    <row r="46" spans="1:19" ht="21.6" thickBot="1" x14ac:dyDescent="0.45">
      <c r="A46" s="165">
        <f t="shared" si="1"/>
        <v>2.1000000000000014</v>
      </c>
      <c r="B46" s="169">
        <f t="shared" si="2"/>
        <v>0.87830000000000019</v>
      </c>
      <c r="C46" s="178">
        <f t="shared" si="3"/>
        <v>2.2917005217550352</v>
      </c>
      <c r="G46" s="181" t="s">
        <v>163</v>
      </c>
      <c r="H46" s="198">
        <v>0</v>
      </c>
      <c r="I46" s="185">
        <v>0</v>
      </c>
      <c r="L46" s="283" t="s">
        <v>164</v>
      </c>
      <c r="M46" s="284"/>
      <c r="N46" s="284"/>
      <c r="O46" s="285"/>
      <c r="P46" s="283" t="s">
        <v>165</v>
      </c>
      <c r="Q46" s="284"/>
      <c r="R46" s="284"/>
      <c r="S46" s="285"/>
    </row>
    <row r="47" spans="1:19" ht="21.6" thickBot="1" x14ac:dyDescent="0.45">
      <c r="A47" s="165">
        <f t="shared" si="1"/>
        <v>3.1000000000000014</v>
      </c>
      <c r="B47" s="169">
        <f t="shared" si="2"/>
        <v>1.0013000000000001</v>
      </c>
      <c r="C47" s="178">
        <f t="shared" si="3"/>
        <v>2.4112793878439698</v>
      </c>
      <c r="L47" s="195">
        <f>H43</f>
        <v>1.5056</v>
      </c>
      <c r="M47" s="225">
        <f>H44</f>
        <v>1.72</v>
      </c>
      <c r="N47" s="225">
        <f>H45</f>
        <v>0.123</v>
      </c>
      <c r="O47" s="226">
        <f>H46</f>
        <v>0</v>
      </c>
      <c r="P47" s="195">
        <f>I43</f>
        <v>2.2849435836938259</v>
      </c>
      <c r="Q47" s="225">
        <f>I44</f>
        <v>2.7383342457229789</v>
      </c>
      <c r="R47" s="225">
        <f>I45</f>
        <v>0.12090417654110751</v>
      </c>
      <c r="S47" s="226">
        <f>I46</f>
        <v>0</v>
      </c>
    </row>
    <row r="48" spans="1:19" ht="21.6" thickBot="1" x14ac:dyDescent="0.45">
      <c r="A48" s="165">
        <f t="shared" si="1"/>
        <v>4.1000000000000014</v>
      </c>
      <c r="B48" s="169">
        <f t="shared" si="2"/>
        <v>1.1243000000000003</v>
      </c>
      <c r="C48" s="178">
        <f t="shared" si="3"/>
        <v>2.5229567750974353</v>
      </c>
      <c r="G48" s="288" t="s">
        <v>166</v>
      </c>
      <c r="H48" s="289"/>
    </row>
    <row r="49" spans="1:9" ht="21.6" thickBot="1" x14ac:dyDescent="0.45">
      <c r="A49" s="165">
        <f t="shared" si="1"/>
        <v>5.1000000000000014</v>
      </c>
      <c r="B49" s="169">
        <f t="shared" si="2"/>
        <v>1.2473000000000001</v>
      </c>
      <c r="C49" s="178">
        <f t="shared" si="3"/>
        <v>2.6188842664431338</v>
      </c>
      <c r="G49" s="227" t="s">
        <v>151</v>
      </c>
      <c r="H49" s="228" t="s">
        <v>152</v>
      </c>
    </row>
    <row r="50" spans="1:9" ht="21" x14ac:dyDescent="0.4">
      <c r="A50" s="165">
        <f t="shared" si="1"/>
        <v>6.1000000000000014</v>
      </c>
      <c r="B50" s="169">
        <f t="shared" si="2"/>
        <v>1.3703000000000003</v>
      </c>
      <c r="C50" s="178">
        <f t="shared" si="3"/>
        <v>2.691213444808767</v>
      </c>
      <c r="G50" s="175">
        <f t="array" ref="G50:G53">MMULT(L42:O45,TRANSPOSE(L47:O47))</f>
        <v>1.4805029154518756E-3</v>
      </c>
      <c r="H50" s="176">
        <f t="array" ref="H50:H53">MMULT(P42:S45,TRANSPOSE(P47:S47))</f>
        <v>-1.3080695120496087E-3</v>
      </c>
    </row>
    <row r="51" spans="1:9" ht="21" x14ac:dyDescent="0.4">
      <c r="A51" s="165">
        <f t="shared" si="1"/>
        <v>7.1000000000000014</v>
      </c>
      <c r="B51" s="169">
        <f>$B$19+$B$18*A51</f>
        <v>1.4933000000000001</v>
      </c>
      <c r="C51" s="178">
        <f t="shared" si="3"/>
        <v>2.7320958931220378</v>
      </c>
      <c r="G51" s="171">
        <v>-5.5397230320699181E-2</v>
      </c>
      <c r="H51" s="172">
        <v>8.2143070443266158E-3</v>
      </c>
    </row>
    <row r="52" spans="1:9" ht="21" x14ac:dyDescent="0.4">
      <c r="A52" s="231">
        <v>7.2</v>
      </c>
      <c r="B52" s="169">
        <f>$B$19+$B$18*A52</f>
        <v>1.5056</v>
      </c>
      <c r="C52" s="178">
        <f>$H$50*A52^3+$H$51*A52^2+$H$52*A52+$H$53</f>
        <v>2.7341524037432015</v>
      </c>
      <c r="G52" s="171">
        <v>0.69047230320699371</v>
      </c>
      <c r="H52" s="172">
        <v>0.10371913654081494</v>
      </c>
    </row>
    <row r="53" spans="1:9" ht="21.6" thickBot="1" x14ac:dyDescent="0.45">
      <c r="A53" s="165">
        <f>A51+1</f>
        <v>8.1000000000000014</v>
      </c>
      <c r="B53" s="169">
        <f>$B$19+$B$18*A53</f>
        <v>1.6163000000000003</v>
      </c>
      <c r="C53" s="178">
        <f>$H$50*A53^3+$H$51*A53^2+$H$52*A53+$H$53</f>
        <v>2.7336831943106485</v>
      </c>
      <c r="G53" s="173">
        <v>-1.1466029154518846</v>
      </c>
      <c r="H53" s="174">
        <v>2.0497792727049347</v>
      </c>
    </row>
    <row r="54" spans="1:9" ht="21" x14ac:dyDescent="0.4">
      <c r="A54" s="165">
        <f>A53+1</f>
        <v>9.1000000000000014</v>
      </c>
      <c r="B54" s="169">
        <f t="shared" ref="B54:B60" si="4">$G$50*A54^3+$G$51*A54^2+$G$52*A54+$G$53</f>
        <v>1.6649144633746444</v>
      </c>
      <c r="C54" s="178">
        <f t="shared" si="3"/>
        <v>2.688126931302302</v>
      </c>
    </row>
    <row r="55" spans="1:9" ht="21" x14ac:dyDescent="0.4">
      <c r="A55" s="165">
        <f t="shared" si="1"/>
        <v>10.100000000000001</v>
      </c>
      <c r="B55" s="169">
        <f t="shared" si="4"/>
        <v>1.701459516217211</v>
      </c>
      <c r="C55" s="178">
        <f t="shared" si="3"/>
        <v>2.5875786870246995</v>
      </c>
    </row>
    <row r="56" spans="1:9" ht="21" x14ac:dyDescent="0.4">
      <c r="A56" s="165">
        <f>A55+1</f>
        <v>11.100000000000001</v>
      </c>
      <c r="B56" s="169">
        <f t="shared" si="4"/>
        <v>1.7169285850947631</v>
      </c>
      <c r="C56" s="178"/>
      <c r="G56" s="165">
        <f t="shared" ref="G56" si="5">G55+1</f>
        <v>1</v>
      </c>
      <c r="H56" s="169">
        <f t="shared" ref="H56" si="6">$B$19+$B$18*G56</f>
        <v>0.74299999999999999</v>
      </c>
      <c r="I56" s="178">
        <f t="shared" ref="I56" si="7">$C$19+$C$18*G56</f>
        <v>2.1587055538375721</v>
      </c>
    </row>
    <row r="57" spans="1:9" ht="21" x14ac:dyDescent="0.4">
      <c r="A57" s="165">
        <f t="shared" si="1"/>
        <v>12.100000000000001</v>
      </c>
      <c r="B57" s="169">
        <f t="shared" si="4"/>
        <v>1.7202046875000123</v>
      </c>
      <c r="C57" s="178"/>
      <c r="G57" s="232">
        <f>-0.77</f>
        <v>-0.77</v>
      </c>
      <c r="H57" s="169">
        <f>$B$19+$B$18*G57</f>
        <v>0.52529000000000003</v>
      </c>
      <c r="I57" s="178">
        <f>$H$50*G57^3+$H$51*G57^2+$H$52*G57+$H$53</f>
        <v>1.9753829771136329</v>
      </c>
    </row>
    <row r="58" spans="1:9" ht="21" x14ac:dyDescent="0.4">
      <c r="A58" s="165">
        <f t="shared" si="1"/>
        <v>13.100000000000001</v>
      </c>
      <c r="B58" s="169">
        <f t="shared" si="4"/>
        <v>1.7201708409256673</v>
      </c>
      <c r="C58" s="178"/>
    </row>
    <row r="59" spans="1:9" ht="21" x14ac:dyDescent="0.4">
      <c r="A59" s="165">
        <f t="shared" si="1"/>
        <v>14.100000000000001</v>
      </c>
      <c r="B59" s="169">
        <f t="shared" si="4"/>
        <v>1.7257100628644455</v>
      </c>
      <c r="C59" s="178"/>
    </row>
    <row r="60" spans="1:9" ht="21" x14ac:dyDescent="0.4">
      <c r="A60" s="165">
        <f t="shared" si="1"/>
        <v>15.100000000000001</v>
      </c>
      <c r="B60" s="169">
        <f t="shared" si="4"/>
        <v>1.7457053708090511</v>
      </c>
      <c r="C60" s="178"/>
    </row>
    <row r="61" spans="1:9" ht="21" x14ac:dyDescent="0.4">
      <c r="A61" s="165">
        <f t="shared" si="1"/>
        <v>16.100000000000001</v>
      </c>
      <c r="B61" s="169"/>
      <c r="C61" s="178"/>
    </row>
    <row r="62" spans="1:9" ht="21" x14ac:dyDescent="0.4">
      <c r="A62" s="165">
        <f>A61+1</f>
        <v>17.100000000000001</v>
      </c>
      <c r="B62" s="168"/>
      <c r="C62" s="178"/>
    </row>
    <row r="63" spans="1:9" ht="21" x14ac:dyDescent="0.4">
      <c r="A63" s="165">
        <f t="shared" si="1"/>
        <v>18.100000000000001</v>
      </c>
      <c r="B63" s="168"/>
      <c r="C63" s="178"/>
    </row>
    <row r="64" spans="1:9" ht="21" x14ac:dyDescent="0.4">
      <c r="A64" s="165">
        <f t="shared" si="1"/>
        <v>19.100000000000001</v>
      </c>
      <c r="B64" s="168"/>
      <c r="C64" s="178"/>
    </row>
    <row r="65" spans="1:3" ht="21" x14ac:dyDescent="0.4">
      <c r="A65" s="165">
        <f t="shared" si="1"/>
        <v>20.100000000000001</v>
      </c>
      <c r="B65" s="168"/>
      <c r="C65" s="178"/>
    </row>
    <row r="66" spans="1:3" ht="21" x14ac:dyDescent="0.4">
      <c r="A66" s="165">
        <f t="shared" si="1"/>
        <v>21.1</v>
      </c>
      <c r="B66" s="168"/>
      <c r="C66" s="178"/>
    </row>
    <row r="67" spans="1:3" ht="21.6" thickBot="1" x14ac:dyDescent="0.45">
      <c r="A67" s="166">
        <f t="shared" si="1"/>
        <v>22.1</v>
      </c>
      <c r="B67" s="170"/>
      <c r="C67" s="178"/>
    </row>
    <row r="68" spans="1:3" x14ac:dyDescent="0.3">
      <c r="A68" s="163"/>
    </row>
    <row r="69" spans="1:3" x14ac:dyDescent="0.3">
      <c r="A69" s="163"/>
    </row>
    <row r="70" spans="1:3" x14ac:dyDescent="0.3">
      <c r="A70" s="163"/>
    </row>
  </sheetData>
  <mergeCells count="11">
    <mergeCell ref="H36:I36"/>
    <mergeCell ref="G48:H48"/>
    <mergeCell ref="L36:O36"/>
    <mergeCell ref="A1:B1"/>
    <mergeCell ref="A2:B2"/>
    <mergeCell ref="A6:B6"/>
    <mergeCell ref="P36:S36"/>
    <mergeCell ref="L46:O46"/>
    <mergeCell ref="P46:S46"/>
    <mergeCell ref="L41:O41"/>
    <mergeCell ref="P41:S41"/>
  </mergeCells>
  <pageMargins left="0.7" right="0.7" top="0.75" bottom="0.75" header="0.3" footer="0.3"/>
  <drawing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8E84846488D4458BE2D8F4B0746951" ma:contentTypeVersion="6" ma:contentTypeDescription="Create a new document." ma:contentTypeScope="" ma:versionID="cf6a8a79070229313c8c3f20ef09418a">
  <xsd:schema xmlns:xsd="http://www.w3.org/2001/XMLSchema" xmlns:xs="http://www.w3.org/2001/XMLSchema" xmlns:p="http://schemas.microsoft.com/office/2006/metadata/properties" xmlns:ns2="664daa00-f9ee-454a-b410-a223a7f4a08d" targetNamespace="http://schemas.microsoft.com/office/2006/metadata/properties" ma:root="true" ma:fieldsID="cad3763f404500d9c6913c5ddd1cff95" ns2:_="">
    <xsd:import namespace="664daa00-f9ee-454a-b410-a223a7f4a08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4daa00-f9ee-454a-b410-a223a7f4a0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B958F5C-C4EA-44CA-8C13-563655F395A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84642EC-8455-4D4A-B677-235FC04302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64daa00-f9ee-454a-b410-a223a7f4a08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2AFD598-FAA6-43EE-92A5-3DA395A2B509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11</vt:i4>
      </vt:variant>
    </vt:vector>
  </HeadingPairs>
  <TitlesOfParts>
    <vt:vector size="11" baseType="lpstr">
      <vt:lpstr>INPUT</vt:lpstr>
      <vt:lpstr>Delta_Cl0_2D</vt:lpstr>
      <vt:lpstr>Delta_Clmax_flap_2D</vt:lpstr>
      <vt:lpstr>Delta_Clmax_slat_2D</vt:lpstr>
      <vt:lpstr>Delta_CL0_3D</vt:lpstr>
      <vt:lpstr>Delta_CLmax_3D</vt:lpstr>
      <vt:lpstr>CL_alpha_flap_down</vt:lpstr>
      <vt:lpstr>Delta_Alpha_Stall</vt:lpstr>
      <vt:lpstr>Delta_CD0</vt:lpstr>
      <vt:lpstr>Delta_CMc4</vt:lpstr>
      <vt:lpstr>RESULTS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Vittorio</dc:creator>
  <cp:keywords/>
  <dc:description/>
  <cp:lastModifiedBy>miche</cp:lastModifiedBy>
  <cp:revision/>
  <dcterms:created xsi:type="dcterms:W3CDTF">2017-04-26T07:43:27Z</dcterms:created>
  <dcterms:modified xsi:type="dcterms:W3CDTF">2021-07-17T14:53:28Z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0x010100708E84846488D4458BE2D8F4B0746951</vt:lpwstr>
  </property>
</Properties>
</file>