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RCRAFT DESIGN\From github\Aircraft-Design\htail\"/>
    </mc:Choice>
  </mc:AlternateContent>
  <xr:revisionPtr revIDLastSave="0" documentId="13_ncr:1_{86E758CA-439B-4000-AE26-FAA709CF952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elivolo" sheetId="1" r:id="rId1"/>
    <sheet name="P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K18" i="2"/>
  <c r="H31" i="2"/>
  <c r="G31" i="2"/>
  <c r="B35" i="2"/>
  <c r="K5" i="2" l="1"/>
  <c r="K16" i="2"/>
  <c r="U7" i="2"/>
  <c r="G32" i="2"/>
  <c r="T20" i="2"/>
  <c r="B21" i="2"/>
  <c r="U12" i="2"/>
  <c r="U11" i="2"/>
  <c r="K23" i="2"/>
  <c r="K21" i="2"/>
  <c r="K7" i="2"/>
  <c r="K6" i="2"/>
  <c r="K17" i="2"/>
  <c r="K15" i="2"/>
  <c r="I31" i="2" l="1"/>
  <c r="K3" i="2"/>
  <c r="K2" i="2"/>
  <c r="J2" i="1"/>
  <c r="J3" i="1"/>
  <c r="B25" i="1" l="1"/>
  <c r="B22" i="1"/>
  <c r="J5" i="1"/>
  <c r="J6" i="1"/>
  <c r="F33" i="2"/>
  <c r="F32" i="2"/>
  <c r="B73" i="2"/>
  <c r="B72" i="2"/>
  <c r="B71" i="2"/>
  <c r="B70" i="2"/>
  <c r="B20" i="2"/>
  <c r="B23" i="1"/>
  <c r="M34" i="2"/>
  <c r="D37" i="2" l="1"/>
  <c r="D36" i="2"/>
  <c r="D41" i="2"/>
  <c r="D39" i="2"/>
  <c r="D34" i="2"/>
  <c r="D32" i="2"/>
  <c r="D40" i="2"/>
  <c r="D35" i="2"/>
  <c r="D42" i="2"/>
  <c r="D38" i="2"/>
  <c r="D33" i="2"/>
  <c r="M33" i="2"/>
  <c r="M38" i="2"/>
  <c r="M35" i="2"/>
  <c r="M32" i="2"/>
  <c r="M42" i="2"/>
  <c r="M41" i="2"/>
  <c r="M40" i="2"/>
  <c r="M39" i="2"/>
  <c r="M37" i="2"/>
  <c r="M36" i="2"/>
  <c r="K10" i="2"/>
  <c r="K9" i="2"/>
  <c r="B19" i="2"/>
  <c r="K4" i="2" l="1"/>
  <c r="T3" i="2"/>
  <c r="B18" i="2"/>
  <c r="T2" i="2"/>
  <c r="B34" i="2" l="1"/>
  <c r="B36" i="2"/>
  <c r="B40" i="2"/>
  <c r="B32" i="2"/>
  <c r="B37" i="2"/>
  <c r="B42" i="2"/>
  <c r="B41" i="2"/>
  <c r="B39" i="2"/>
  <c r="B38" i="2"/>
  <c r="H32" i="2"/>
  <c r="I32" i="2" s="1"/>
  <c r="J32" i="2" s="1"/>
  <c r="N32" i="2" s="1"/>
  <c r="G33" i="2"/>
  <c r="H33" i="2" s="1"/>
  <c r="I33" i="2" s="1"/>
  <c r="J33" i="2" s="1"/>
  <c r="O38" i="2" s="1"/>
  <c r="K25" i="2"/>
  <c r="I37" i="2" l="1"/>
  <c r="A42" i="2"/>
  <c r="I38" i="2"/>
  <c r="K19" i="2"/>
  <c r="N33" i="2"/>
  <c r="N42" i="2"/>
  <c r="N35" i="2"/>
  <c r="O42" i="2"/>
  <c r="O40" i="2"/>
  <c r="N41" i="2"/>
  <c r="N34" i="2"/>
  <c r="N40" i="2"/>
  <c r="O33" i="2"/>
  <c r="N37" i="2"/>
  <c r="N36" i="2"/>
  <c r="O32" i="2"/>
  <c r="N38" i="2"/>
  <c r="O41" i="2"/>
  <c r="O36" i="2"/>
  <c r="O35" i="2"/>
  <c r="N39" i="2"/>
  <c r="O39" i="2"/>
  <c r="O37" i="2"/>
  <c r="O34" i="2"/>
  <c r="J31" i="2" l="1"/>
  <c r="K24" i="2" l="1"/>
  <c r="I36" i="2"/>
  <c r="K32" i="2" l="1"/>
  <c r="K33" i="2"/>
  <c r="K40" i="2"/>
  <c r="K34" i="2"/>
  <c r="K38" i="2"/>
  <c r="K42" i="2"/>
  <c r="K35" i="2"/>
  <c r="K36" i="2"/>
  <c r="K39" i="2"/>
  <c r="K37" i="2"/>
  <c r="K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Danilo Ciliberti</author>
  </authors>
  <commentList>
    <comment ref="N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Danilo Ciliberti:</t>
        </r>
        <r>
          <rPr>
            <sz val="9"/>
            <color indexed="81"/>
            <rFont val="Tahoma"/>
            <family val="2"/>
          </rPr>
          <t xml:space="preserve">
it0 calcolato con baricentro (in fase di crociera) in posizione massima arretrata.</t>
        </r>
      </text>
    </comment>
    <comment ref="O3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Danilo Ciliberti:</t>
        </r>
        <r>
          <rPr>
            <sz val="9"/>
            <color indexed="81"/>
            <rFont val="Tahoma"/>
            <family val="2"/>
          </rPr>
          <t xml:space="preserve">
it0 calcolato con baricentro (in fase di crociera) in posizione massima avanzata.</t>
        </r>
      </text>
    </comment>
    <comment ref="A4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Danilo Ciliberti:</t>
        </r>
        <r>
          <rPr>
            <sz val="9"/>
            <color indexed="81"/>
            <rFont val="Tahoma"/>
            <family val="2"/>
          </rPr>
          <t xml:space="preserve">
vale solo se l'ultima casella di St/Sw = 1.</t>
        </r>
      </text>
    </comment>
  </commentList>
</comments>
</file>

<file path=xl/sharedStrings.xml><?xml version="1.0" encoding="utf-8"?>
<sst xmlns="http://schemas.openxmlformats.org/spreadsheetml/2006/main" count="186" uniqueCount="176">
  <si>
    <t>dnac</t>
  </si>
  <si>
    <t>dfus</t>
  </si>
  <si>
    <t>Lfus</t>
  </si>
  <si>
    <t>wspan</t>
  </si>
  <si>
    <t>Lnac</t>
  </si>
  <si>
    <t>hfus</t>
  </si>
  <si>
    <t>ynac</t>
  </si>
  <si>
    <t>croot</t>
  </si>
  <si>
    <t>ctip</t>
  </si>
  <si>
    <t>lunghezza fusoliera</t>
  </si>
  <si>
    <t>diametro massimo fusoliera</t>
  </si>
  <si>
    <t>altezza massima fusoliera</t>
  </si>
  <si>
    <t>lunghezza gondola motore</t>
  </si>
  <si>
    <t>diametro masssimo gondola motore</t>
  </si>
  <si>
    <t>posizione gondola motore</t>
  </si>
  <si>
    <t>apertura alare</t>
  </si>
  <si>
    <t>corda di radice alare</t>
  </si>
  <si>
    <t>corda di estremità alare</t>
  </si>
  <si>
    <t>CALCOLI PRELIMINARI</t>
  </si>
  <si>
    <t>cmac</t>
  </si>
  <si>
    <t>ymac</t>
  </si>
  <si>
    <t>wtap</t>
  </si>
  <si>
    <t>rastremazione alare</t>
  </si>
  <si>
    <t>corda media aerodinamica</t>
  </si>
  <si>
    <t>posizione mac dalla mezzeria</t>
  </si>
  <si>
    <t>Swing</t>
  </si>
  <si>
    <t>superficie alare</t>
  </si>
  <si>
    <t>xac_wing</t>
  </si>
  <si>
    <t>AR</t>
  </si>
  <si>
    <t>ASSUNZIONI</t>
  </si>
  <si>
    <t>posizione centro aerodinamico mac</t>
  </si>
  <si>
    <t>allungamento alare</t>
  </si>
  <si>
    <t>distanza fuoco-fuoco ala-PO</t>
  </si>
  <si>
    <t>etat</t>
  </si>
  <si>
    <t>rapporto pressioni dinamiche</t>
  </si>
  <si>
    <t>aw</t>
  </si>
  <si>
    <t>pendenza retta portanza ala (deg^-1)</t>
  </si>
  <si>
    <t>DATI GRAFICI</t>
  </si>
  <si>
    <t>Kf</t>
  </si>
  <si>
    <t>fattore dipendente dalla posizione della corda di radice</t>
  </si>
  <si>
    <t>d_xac_fus</t>
  </si>
  <si>
    <t>spostamento centro aerodinamico dovuto alla fusoliera</t>
  </si>
  <si>
    <t>spostamento centro aerodinamico dovuto alla gondola motore</t>
  </si>
  <si>
    <t>2*d_xac_nac</t>
  </si>
  <si>
    <t>Vh</t>
  </si>
  <si>
    <t>rapporto volumetrico del PO</t>
  </si>
  <si>
    <t>St</t>
  </si>
  <si>
    <t>supeficie piano di coda di primo tentativo (da assunzioni volumetrico e distanza ala-PO)</t>
  </si>
  <si>
    <t>KA</t>
  </si>
  <si>
    <t>fattore dipendente dall'allungamento alare</t>
  </si>
  <si>
    <t>Kl</t>
  </si>
  <si>
    <t>fattore dipendente dal rapporto di rastremazione alare</t>
  </si>
  <si>
    <t>KH</t>
  </si>
  <si>
    <t>fattore dipendente dalla posizione del PO</t>
  </si>
  <si>
    <t>distanza verticale ala-PO</t>
  </si>
  <si>
    <t>de/da</t>
  </si>
  <si>
    <t>wsweep</t>
  </si>
  <si>
    <t>freccia a c/4 (deg)</t>
  </si>
  <si>
    <t>DATI (in assenza di unità di misura considerare tutto in metri)</t>
  </si>
  <si>
    <t>effetto downwash</t>
  </si>
  <si>
    <t>a</t>
  </si>
  <si>
    <t>pendenza della retta di portanza del velivolo</t>
  </si>
  <si>
    <t>at</t>
  </si>
  <si>
    <t>pendenza retta portanza PO (deg^-1)</t>
  </si>
  <si>
    <t>alfa_delta</t>
  </si>
  <si>
    <t>tau lastra piana 3D</t>
  </si>
  <si>
    <t>correzione plain flap (campo lineare)</t>
  </si>
  <si>
    <t>eta_delta_10</t>
  </si>
  <si>
    <t>eta_delta_25</t>
  </si>
  <si>
    <t>correzione plain flap (atterraggio)</t>
  </si>
  <si>
    <t>efficacia della superficie mobile in campo lineare</t>
  </si>
  <si>
    <t>tau_lin</t>
  </si>
  <si>
    <t>cf/c</t>
  </si>
  <si>
    <t>rapporto corde</t>
  </si>
  <si>
    <t>overhang</t>
  </si>
  <si>
    <t>CALCOLI STABILITA'</t>
  </si>
  <si>
    <t>ch_alfa</t>
  </si>
  <si>
    <t>Ch_alfa</t>
  </si>
  <si>
    <t>ch_delta</t>
  </si>
  <si>
    <t>ch_alfa_ratio</t>
  </si>
  <si>
    <t>ch_delta_ratio</t>
  </si>
  <si>
    <t>rapporto ch_alfa con quello di riferimento in funzione di cf/c</t>
  </si>
  <si>
    <t>rapporto ch_delta con quello di riferimento in funzione di cf/c</t>
  </si>
  <si>
    <t>ch_alfa in funzione di cb/c (overhang)</t>
  </si>
  <si>
    <t>ch_delta in funzione di cb/c (overhang)</t>
  </si>
  <si>
    <t>Ch_delta</t>
  </si>
  <si>
    <t>MSS</t>
  </si>
  <si>
    <t>margine di stabilità statica</t>
  </si>
  <si>
    <t>CALCOLI EQUILIBRIO (CONTROLLO E TRIM)</t>
  </si>
  <si>
    <t>EQUAZIONE STABILITA' (PRIMA CONDIZIONE)</t>
  </si>
  <si>
    <t>xac_wb</t>
  </si>
  <si>
    <t>St/Sw</t>
  </si>
  <si>
    <t>xcg/c</t>
  </si>
  <si>
    <t>ch_alfa_ref</t>
  </si>
  <si>
    <t>ch_delta_ref</t>
  </si>
  <si>
    <t>coefficiente 2D di momento di cerniera dovuto all'angolo d'attacco</t>
  </si>
  <si>
    <t>coefficiente 2D di momento di cerniera dovuto alla deflessione della superficie mobile</t>
  </si>
  <si>
    <t>coefficiente 3D di momento di cerniera dovuto all'angolo d'attacco</t>
  </si>
  <si>
    <t>coefficiente 3D di momento di cerniera dovuto alla deflessione della superficie mobile</t>
  </si>
  <si>
    <t>coefficiente di portanza dell'ala in crociera</t>
  </si>
  <si>
    <t>DATI AERODINAMICI</t>
  </si>
  <si>
    <t>CL_max_flap</t>
  </si>
  <si>
    <t>massimo coefficiente di portanza dell'ala</t>
  </si>
  <si>
    <t>massimo coefficiente di portanza dell'ala flappata</t>
  </si>
  <si>
    <t>a0_wbn_clean</t>
  </si>
  <si>
    <t>CM0_wbn_clean</t>
  </si>
  <si>
    <t>a0_wbn_flap</t>
  </si>
  <si>
    <t>CM0_wbn_flap</t>
  </si>
  <si>
    <t>CL_max_clean</t>
  </si>
  <si>
    <t>coefficiente di momento a portanza nulla del velivolo parziale</t>
  </si>
  <si>
    <t>coefficiente di momento a portanza nulla del velivolo parziale con flap estesi</t>
  </si>
  <si>
    <t>max cg fwd</t>
  </si>
  <si>
    <t>max cg aft</t>
  </si>
  <si>
    <t>posizione massima avanzata del baricentro</t>
  </si>
  <si>
    <t>posizione massima arretrata del baricentro</t>
  </si>
  <si>
    <t>delta_CM_flap</t>
  </si>
  <si>
    <t>variazione coefficiente di momento dovuto ai flap</t>
  </si>
  <si>
    <t>CM0_flap</t>
  </si>
  <si>
    <t>coefficiente di momento di beccheggio del velivolo parziale con flap estesi</t>
  </si>
  <si>
    <t>xac_flap</t>
  </si>
  <si>
    <t>posizione del centro aerodinamico del velivolo parziale con flap estesi</t>
  </si>
  <si>
    <t>posizione del centro aerodinamico del velivolo parziale</t>
  </si>
  <si>
    <t>lt</t>
  </si>
  <si>
    <t>ht</t>
  </si>
  <si>
    <t>CM_delta</t>
  </si>
  <si>
    <t>potenza di controllo del piano orizzontale</t>
  </si>
  <si>
    <t>it0</t>
  </si>
  <si>
    <t>CL_cr</t>
  </si>
  <si>
    <t>EQUAZIONE EQUILIBRIO (SECONDA CONDIZIONE)</t>
  </si>
  <si>
    <t>de_max</t>
  </si>
  <si>
    <t>deflessione del PO in fase di atterraggio (deg)</t>
  </si>
  <si>
    <t>Perkins</t>
  </si>
  <si>
    <t>ln_le</t>
  </si>
  <si>
    <t>distanza inizio gondola motore - bda ala</t>
  </si>
  <si>
    <t>xle_wing</t>
  </si>
  <si>
    <t>ascissa bda ala</t>
  </si>
  <si>
    <t>tau_land</t>
  </si>
  <si>
    <t>efficacia della superficie mobile in campo non lineare (atterraggio)</t>
  </si>
  <si>
    <t>CLe</t>
  </si>
  <si>
    <t>N0_fixed</t>
  </si>
  <si>
    <t>Xcg_cr</t>
  </si>
  <si>
    <t>CM_CL_cr</t>
  </si>
  <si>
    <t>cb/cf</t>
  </si>
  <si>
    <t>coefficiente di portanza di equilibrio in fase di atterraggio</t>
  </si>
  <si>
    <t>term_dwash</t>
  </si>
  <si>
    <t>term_PO_eq</t>
  </si>
  <si>
    <t>secondo termine in parentesi quadre nell'equazione di equilibrio</t>
  </si>
  <si>
    <t>term_out_[]</t>
  </si>
  <si>
    <t>termine fuori parentesi quadre nell'equazione di equilibrio (escluso St/Sw)</t>
  </si>
  <si>
    <t>primo termine in parentesi quadre nell'equazione di equilibrio (&lt;0)</t>
  </si>
  <si>
    <t>Sf/Sw</t>
  </si>
  <si>
    <t>rapporto superficie flappata - superficie alare</t>
  </si>
  <si>
    <t>iw</t>
  </si>
  <si>
    <t>angolo di calettamento dell'ala</t>
  </si>
  <si>
    <t>alfa0_wbn_clean</t>
  </si>
  <si>
    <t>angolo di portanza nulla rispetto alla corda alare (deg)</t>
  </si>
  <si>
    <t>alfa0_wbn_flap</t>
  </si>
  <si>
    <t>angolo di portanza nulla rispetto alla corda alare, flap estesi (deg)</t>
  </si>
  <si>
    <t>angolo di portanza nulla dell'ala (velivolo parziale, in deg), definito come iw-alfa0</t>
  </si>
  <si>
    <t>angolo di portanza nulla dell'ala flappata (velivolo parziale, in deg), definito come iw-alfa0</t>
  </si>
  <si>
    <t>limiti</t>
  </si>
  <si>
    <t>fwd</t>
  </si>
  <si>
    <t>aft</t>
  </si>
  <si>
    <t>x</t>
  </si>
  <si>
    <t>y</t>
  </si>
  <si>
    <t>angolo di calettamento del PO in fase di crociera (baricentro in condizione di progetto)</t>
  </si>
  <si>
    <t>design</t>
  </si>
  <si>
    <t>max aft</t>
  </si>
  <si>
    <t>max fwd</t>
  </si>
  <si>
    <t>it0 xcg aft</t>
  </si>
  <si>
    <t>it0 xcg fwd</t>
  </si>
  <si>
    <t>pendenza retta</t>
  </si>
  <si>
    <t>pendenza retta equilibrio</t>
  </si>
  <si>
    <t>CM_alphaf</t>
  </si>
  <si>
    <t>cmalpha fusoliera</t>
  </si>
  <si>
    <t>CM_alphan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</si>
</sst>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Cond. 1</c:v>
          </c:tx>
          <c:marker>
            <c:symbol val="none"/>
          </c:marker>
          <c:xVal>
            <c:numRef>
              <c:f>PO!$B$32:$B$42</c:f>
              <c:numCache>
                <c:formatCode>0.00</c:formatCode>
                <c:ptCount val="11"/>
                <c:pt idx="0">
                  <c:v>-9.6117647058823558E-2</c:v>
                </c:pt>
                <c:pt idx="1">
                  <c:v>0.1494795767747672</c:v>
                </c:pt>
                <c:pt idx="2">
                  <c:v>0.39507680060835798</c:v>
                </c:pt>
                <c:pt idx="3">
                  <c:v>0.64067402444194854</c:v>
                </c:pt>
                <c:pt idx="4">
                  <c:v>0.88627124827553938</c:v>
                </c:pt>
                <c:pt idx="5">
                  <c:v>1.1318684721091301</c:v>
                </c:pt>
                <c:pt idx="6">
                  <c:v>1.3774656959427207</c:v>
                </c:pt>
                <c:pt idx="7">
                  <c:v>1.6230629197763116</c:v>
                </c:pt>
                <c:pt idx="8">
                  <c:v>1.8686601436099024</c:v>
                </c:pt>
                <c:pt idx="9">
                  <c:v>2.1142573674434932</c:v>
                </c:pt>
                <c:pt idx="10">
                  <c:v>2.3598545912770841</c:v>
                </c:pt>
              </c:numCache>
            </c:numRef>
          </c:xVal>
          <c:yVal>
            <c:numRef>
              <c:f>PO!$C$32:$C$42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9-4701-AF80-8CCEC038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2752"/>
        <c:axId val="106583936"/>
      </c:scatterChart>
      <c:valAx>
        <c:axId val="104762752"/>
        <c:scaling>
          <c:orientation val="minMax"/>
          <c:max val="0.60000000000000009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6583936"/>
        <c:crosses val="autoZero"/>
        <c:crossBetween val="midCat"/>
      </c:valAx>
      <c:valAx>
        <c:axId val="106583936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St/Sw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it0 design</c:v>
          </c:tx>
          <c:marker>
            <c:symbol val="none"/>
          </c:marker>
          <c:xVal>
            <c:numRef>
              <c:f>PO!$K$32:$K$42</c:f>
              <c:numCache>
                <c:formatCode>0.00</c:formatCode>
                <c:ptCount val="11"/>
                <c:pt idx="0">
                  <c:v>0.2198</c:v>
                </c:pt>
                <c:pt idx="1">
                  <c:v>-8.2363365501281427E-2</c:v>
                </c:pt>
                <c:pt idx="2">
                  <c:v>-0.38452673100256285</c:v>
                </c:pt>
                <c:pt idx="3">
                  <c:v>-0.68669009650384416</c:v>
                </c:pt>
                <c:pt idx="4">
                  <c:v>-0.98885346200512569</c:v>
                </c:pt>
                <c:pt idx="5">
                  <c:v>-1.2910168275064071</c:v>
                </c:pt>
                <c:pt idx="6">
                  <c:v>-1.5931801930076883</c:v>
                </c:pt>
                <c:pt idx="7">
                  <c:v>-1.89534355850897</c:v>
                </c:pt>
                <c:pt idx="8">
                  <c:v>-2.1975069240102512</c:v>
                </c:pt>
                <c:pt idx="9">
                  <c:v>-2.499670289511533</c:v>
                </c:pt>
                <c:pt idx="10">
                  <c:v>-2.801833655012814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7-4667-BEA6-4463FEF5506C}"/>
            </c:ext>
          </c:extLst>
        </c:ser>
        <c:ser>
          <c:idx val="1"/>
          <c:order val="1"/>
          <c:tx>
            <c:v>it0 xcg max aft</c:v>
          </c:tx>
          <c:marker>
            <c:symbol val="none"/>
          </c:marker>
          <c:xVal>
            <c:numRef>
              <c:f>PO!$N$32:$N$42</c:f>
              <c:numCache>
                <c:formatCode>0.00</c:formatCode>
                <c:ptCount val="11"/>
                <c:pt idx="0">
                  <c:v>0.2198</c:v>
                </c:pt>
                <c:pt idx="1">
                  <c:v>-7.3611111574086119E-2</c:v>
                </c:pt>
                <c:pt idx="2">
                  <c:v>-0.36702222314817223</c:v>
                </c:pt>
                <c:pt idx="3">
                  <c:v>-0.66043333472225829</c:v>
                </c:pt>
                <c:pt idx="4">
                  <c:v>-0.95384444629634446</c:v>
                </c:pt>
                <c:pt idx="5">
                  <c:v>-1.2472555578704305</c:v>
                </c:pt>
                <c:pt idx="6">
                  <c:v>-1.5406666694445166</c:v>
                </c:pt>
                <c:pt idx="7">
                  <c:v>-1.8340777810186026</c:v>
                </c:pt>
                <c:pt idx="8">
                  <c:v>-2.1274888925926891</c:v>
                </c:pt>
                <c:pt idx="9">
                  <c:v>-2.420900004166775</c:v>
                </c:pt>
                <c:pt idx="10">
                  <c:v>-2.7143111157408608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7-4667-BEA6-4463FEF5506C}"/>
            </c:ext>
          </c:extLst>
        </c:ser>
        <c:ser>
          <c:idx val="2"/>
          <c:order val="2"/>
          <c:tx>
            <c:v>it0 xcg max fwd</c:v>
          </c:tx>
          <c:marker>
            <c:symbol val="none"/>
          </c:marker>
          <c:xVal>
            <c:numRef>
              <c:f>PO!$O$32:$O$42</c:f>
              <c:numCache>
                <c:formatCode>0.00</c:formatCode>
                <c:ptCount val="11"/>
                <c:pt idx="0">
                  <c:v>0.2198</c:v>
                </c:pt>
                <c:pt idx="1">
                  <c:v>-9.9867873355672043E-2</c:v>
                </c:pt>
                <c:pt idx="2">
                  <c:v>-0.41953574671134408</c:v>
                </c:pt>
                <c:pt idx="3">
                  <c:v>-0.7392036200670159</c:v>
                </c:pt>
                <c:pt idx="4">
                  <c:v>-1.0588714934226882</c:v>
                </c:pt>
                <c:pt idx="5">
                  <c:v>-1.3785393667783601</c:v>
                </c:pt>
                <c:pt idx="6">
                  <c:v>-1.6982072401340318</c:v>
                </c:pt>
                <c:pt idx="7">
                  <c:v>-2.0178751134897039</c:v>
                </c:pt>
                <c:pt idx="8">
                  <c:v>-2.3375429868453761</c:v>
                </c:pt>
                <c:pt idx="9">
                  <c:v>-2.6572108602010482</c:v>
                </c:pt>
                <c:pt idx="10">
                  <c:v>-2.9768787335567204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7-4667-BEA6-4463FEF5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8128"/>
        <c:axId val="106610048"/>
      </c:scatterChart>
      <c:valAx>
        <c:axId val="106608128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6610048"/>
        <c:crosses val="autoZero"/>
        <c:crossBetween val="midCat"/>
      </c:valAx>
      <c:valAx>
        <c:axId val="106610048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St/Sw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6081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Stabilità in crociera</c:v>
          </c:tx>
          <c:marker>
            <c:symbol val="none"/>
          </c:marker>
          <c:xVal>
            <c:numRef>
              <c:f>PO!$B$32:$B$42</c:f>
              <c:numCache>
                <c:formatCode>0.00</c:formatCode>
                <c:ptCount val="11"/>
                <c:pt idx="0">
                  <c:v>-9.6117647058823558E-2</c:v>
                </c:pt>
                <c:pt idx="1">
                  <c:v>0.1494795767747672</c:v>
                </c:pt>
                <c:pt idx="2">
                  <c:v>0.39507680060835798</c:v>
                </c:pt>
                <c:pt idx="3">
                  <c:v>0.64067402444194854</c:v>
                </c:pt>
                <c:pt idx="4">
                  <c:v>0.88627124827553938</c:v>
                </c:pt>
                <c:pt idx="5">
                  <c:v>1.1318684721091301</c:v>
                </c:pt>
                <c:pt idx="6">
                  <c:v>1.3774656959427207</c:v>
                </c:pt>
                <c:pt idx="7">
                  <c:v>1.6230629197763116</c:v>
                </c:pt>
                <c:pt idx="8">
                  <c:v>1.8686601436099024</c:v>
                </c:pt>
                <c:pt idx="9">
                  <c:v>2.1142573674434932</c:v>
                </c:pt>
                <c:pt idx="10">
                  <c:v>2.3598545912770841</c:v>
                </c:pt>
              </c:numCache>
            </c:numRef>
          </c:xVal>
          <c:yVal>
            <c:numRef>
              <c:f>PO!$C$32:$C$42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1-4130-937D-064067A2E215}"/>
            </c:ext>
          </c:extLst>
        </c:ser>
        <c:ser>
          <c:idx val="1"/>
          <c:order val="1"/>
          <c:tx>
            <c:v>Equilibrio in atterraggio</c:v>
          </c:tx>
          <c:marker>
            <c:symbol val="none"/>
          </c:marker>
          <c:xVal>
            <c:numRef>
              <c:f>PO!$K$32:$K$42</c:f>
              <c:numCache>
                <c:formatCode>0.00</c:formatCode>
                <c:ptCount val="11"/>
                <c:pt idx="0">
                  <c:v>0.2198</c:v>
                </c:pt>
                <c:pt idx="1">
                  <c:v>-8.2363365501281427E-2</c:v>
                </c:pt>
                <c:pt idx="2">
                  <c:v>-0.38452673100256285</c:v>
                </c:pt>
                <c:pt idx="3">
                  <c:v>-0.68669009650384416</c:v>
                </c:pt>
                <c:pt idx="4">
                  <c:v>-0.98885346200512569</c:v>
                </c:pt>
                <c:pt idx="5">
                  <c:v>-1.2910168275064071</c:v>
                </c:pt>
                <c:pt idx="6">
                  <c:v>-1.5931801930076883</c:v>
                </c:pt>
                <c:pt idx="7">
                  <c:v>-1.89534355850897</c:v>
                </c:pt>
                <c:pt idx="8">
                  <c:v>-2.1975069240102512</c:v>
                </c:pt>
                <c:pt idx="9">
                  <c:v>-2.499670289511533</c:v>
                </c:pt>
                <c:pt idx="10">
                  <c:v>-2.801833655012814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1-4130-937D-064067A2E215}"/>
            </c:ext>
          </c:extLst>
        </c:ser>
        <c:ser>
          <c:idx val="2"/>
          <c:order val="2"/>
          <c:tx>
            <c:v>fwd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PO!$B$70:$B$71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xVal>
          <c:yVal>
            <c:numRef>
              <c:f>PO!$C$70:$C$71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1-4130-937D-064067A2E215}"/>
            </c:ext>
          </c:extLst>
        </c:ser>
        <c:ser>
          <c:idx val="3"/>
          <c:order val="3"/>
          <c:tx>
            <c:v>aft</c:v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PO!$B$72:$B$73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PO!$C$72:$C$73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1-4130-937D-064067A2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5120"/>
        <c:axId val="107847040"/>
      </c:scatterChart>
      <c:valAx>
        <c:axId val="107845120"/>
        <c:scaling>
          <c:orientation val="minMax"/>
          <c:max val="0.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7847040"/>
        <c:crosses val="autoZero"/>
        <c:crossBetween val="midCat"/>
      </c:valAx>
      <c:valAx>
        <c:axId val="107847040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St/Sw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451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8123751105697428"/>
          <c:y val="2.4408842343383402E-2"/>
          <c:w val="0.71855628543669592"/>
          <c:h val="5.517287274296286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PO!$B$32:$B$42</c:f>
              <c:numCache>
                <c:formatCode>0.00</c:formatCode>
                <c:ptCount val="11"/>
                <c:pt idx="0">
                  <c:v>-9.6117647058823558E-2</c:v>
                </c:pt>
                <c:pt idx="1">
                  <c:v>0.1494795767747672</c:v>
                </c:pt>
                <c:pt idx="2">
                  <c:v>0.39507680060835798</c:v>
                </c:pt>
                <c:pt idx="3">
                  <c:v>0.64067402444194854</c:v>
                </c:pt>
                <c:pt idx="4">
                  <c:v>0.88627124827553938</c:v>
                </c:pt>
                <c:pt idx="5">
                  <c:v>1.1318684721091301</c:v>
                </c:pt>
                <c:pt idx="6">
                  <c:v>1.3774656959427207</c:v>
                </c:pt>
                <c:pt idx="7">
                  <c:v>1.6230629197763116</c:v>
                </c:pt>
                <c:pt idx="8">
                  <c:v>1.8686601436099024</c:v>
                </c:pt>
                <c:pt idx="9">
                  <c:v>2.1142573674434932</c:v>
                </c:pt>
                <c:pt idx="10">
                  <c:v>2.3598545912770841</c:v>
                </c:pt>
              </c:numCache>
            </c:numRef>
          </c:xVal>
          <c:yVal>
            <c:numRef>
              <c:f>PO!$D$32:$D$42</c:f>
              <c:numCache>
                <c:formatCode>0.000</c:formatCode>
                <c:ptCount val="11"/>
                <c:pt idx="0">
                  <c:v>0</c:v>
                </c:pt>
                <c:pt idx="1">
                  <c:v>9.0920000000000005</c:v>
                </c:pt>
                <c:pt idx="2">
                  <c:v>18.184000000000001</c:v>
                </c:pt>
                <c:pt idx="3">
                  <c:v>27.276</c:v>
                </c:pt>
                <c:pt idx="4">
                  <c:v>36.368000000000002</c:v>
                </c:pt>
                <c:pt idx="5">
                  <c:v>45.46</c:v>
                </c:pt>
                <c:pt idx="6">
                  <c:v>54.552</c:v>
                </c:pt>
                <c:pt idx="7">
                  <c:v>63.643999999999998</c:v>
                </c:pt>
                <c:pt idx="8">
                  <c:v>72.736000000000004</c:v>
                </c:pt>
                <c:pt idx="9">
                  <c:v>81.828000000000003</c:v>
                </c:pt>
                <c:pt idx="10">
                  <c:v>90.92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3-44A1-AFEB-D90F2E0DB300}"/>
            </c:ext>
          </c:extLst>
        </c:ser>
        <c:ser>
          <c:idx val="1"/>
          <c:order val="1"/>
          <c:marker>
            <c:symbol val="none"/>
          </c:marker>
          <c:xVal>
            <c:numRef>
              <c:f>PO!$K$32:$K$42</c:f>
              <c:numCache>
                <c:formatCode>0.00</c:formatCode>
                <c:ptCount val="11"/>
                <c:pt idx="0">
                  <c:v>0.2198</c:v>
                </c:pt>
                <c:pt idx="1">
                  <c:v>-8.2363365501281427E-2</c:v>
                </c:pt>
                <c:pt idx="2">
                  <c:v>-0.38452673100256285</c:v>
                </c:pt>
                <c:pt idx="3">
                  <c:v>-0.68669009650384416</c:v>
                </c:pt>
                <c:pt idx="4">
                  <c:v>-0.98885346200512569</c:v>
                </c:pt>
                <c:pt idx="5">
                  <c:v>-1.2910168275064071</c:v>
                </c:pt>
                <c:pt idx="6">
                  <c:v>-1.5931801930076883</c:v>
                </c:pt>
                <c:pt idx="7">
                  <c:v>-1.89534355850897</c:v>
                </c:pt>
                <c:pt idx="8">
                  <c:v>-2.1975069240102512</c:v>
                </c:pt>
                <c:pt idx="9">
                  <c:v>-2.499670289511533</c:v>
                </c:pt>
                <c:pt idx="10">
                  <c:v>-2.801833655012814</c:v>
                </c:pt>
              </c:numCache>
            </c:numRef>
          </c:xVal>
          <c:yVal>
            <c:numRef>
              <c:f>PO!$M$32:$M$42</c:f>
              <c:numCache>
                <c:formatCode>0.000</c:formatCode>
                <c:ptCount val="11"/>
                <c:pt idx="0">
                  <c:v>0</c:v>
                </c:pt>
                <c:pt idx="1">
                  <c:v>9.0920000000000005</c:v>
                </c:pt>
                <c:pt idx="2">
                  <c:v>18.184000000000001</c:v>
                </c:pt>
                <c:pt idx="3">
                  <c:v>27.276</c:v>
                </c:pt>
                <c:pt idx="4">
                  <c:v>36.368000000000002</c:v>
                </c:pt>
                <c:pt idx="5">
                  <c:v>45.46</c:v>
                </c:pt>
                <c:pt idx="6">
                  <c:v>54.552</c:v>
                </c:pt>
                <c:pt idx="7">
                  <c:v>63.643999999999998</c:v>
                </c:pt>
                <c:pt idx="8">
                  <c:v>72.736000000000004</c:v>
                </c:pt>
                <c:pt idx="9">
                  <c:v>81.828000000000003</c:v>
                </c:pt>
                <c:pt idx="10">
                  <c:v>90.92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3-44A1-AFEB-D90F2E0D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0752"/>
        <c:axId val="108492672"/>
      </c:scatterChart>
      <c:valAx>
        <c:axId val="108490752"/>
        <c:scaling>
          <c:orientation val="minMax"/>
          <c:max val="0.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8492672"/>
        <c:crosses val="autoZero"/>
        <c:crossBetween val="midCat"/>
      </c:valAx>
      <c:valAx>
        <c:axId val="108492672"/>
        <c:scaling>
          <c:orientation val="minMax"/>
          <c:max val="8"/>
          <c:min val="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St(m2)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4907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42</xdr:row>
      <xdr:rowOff>171449</xdr:rowOff>
    </xdr:from>
    <xdr:to>
      <xdr:col>8</xdr:col>
      <xdr:colOff>104775</xdr:colOff>
      <xdr:row>64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16</xdr:col>
      <xdr:colOff>304800</xdr:colOff>
      <xdr:row>64</xdr:row>
      <xdr:rowOff>161926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66</xdr:row>
      <xdr:rowOff>19050</xdr:rowOff>
    </xdr:from>
    <xdr:to>
      <xdr:col>11</xdr:col>
      <xdr:colOff>323850</xdr:colOff>
      <xdr:row>87</xdr:row>
      <xdr:rowOff>180976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89</xdr:row>
      <xdr:rowOff>57150</xdr:rowOff>
    </xdr:from>
    <xdr:to>
      <xdr:col>11</xdr:col>
      <xdr:colOff>285750</xdr:colOff>
      <xdr:row>111</xdr:row>
      <xdr:rowOff>28576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25</xdr:row>
          <xdr:rowOff>114300</xdr:rowOff>
        </xdr:from>
        <xdr:to>
          <xdr:col>17</xdr:col>
          <xdr:colOff>45720</xdr:colOff>
          <xdr:row>28</xdr:row>
          <xdr:rowOff>121920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D14" sqref="D14"/>
    </sheetView>
  </sheetViews>
  <sheetFormatPr defaultRowHeight="14.4" x14ac:dyDescent="0.3"/>
  <cols>
    <col min="1" max="1" width="15.33203125" customWidth="1"/>
  </cols>
  <sheetData>
    <row r="1" spans="1:11" x14ac:dyDescent="0.3">
      <c r="A1" s="1" t="s">
        <v>58</v>
      </c>
      <c r="I1" s="1" t="s">
        <v>18</v>
      </c>
    </row>
    <row r="2" spans="1:11" x14ac:dyDescent="0.3">
      <c r="A2" t="s">
        <v>2</v>
      </c>
      <c r="B2">
        <v>31.565999999999999</v>
      </c>
      <c r="C2" t="s">
        <v>9</v>
      </c>
      <c r="I2" t="s">
        <v>21</v>
      </c>
      <c r="J2" s="2">
        <f>0.48</f>
        <v>0.48</v>
      </c>
      <c r="K2" t="s">
        <v>22</v>
      </c>
    </row>
    <row r="3" spans="1:11" x14ac:dyDescent="0.3">
      <c r="A3" t="s">
        <v>1</v>
      </c>
      <c r="B3">
        <v>3.21</v>
      </c>
      <c r="C3" t="s">
        <v>10</v>
      </c>
      <c r="I3" t="s">
        <v>19</v>
      </c>
      <c r="J3" s="2">
        <f>2.78</f>
        <v>2.78</v>
      </c>
      <c r="K3" t="s">
        <v>23</v>
      </c>
    </row>
    <row r="4" spans="1:11" x14ac:dyDescent="0.3">
      <c r="A4" t="s">
        <v>5</v>
      </c>
      <c r="B4">
        <v>3.024</v>
      </c>
      <c r="C4" t="s">
        <v>11</v>
      </c>
      <c r="I4" t="s">
        <v>20</v>
      </c>
      <c r="J4" s="2">
        <v>7.62</v>
      </c>
      <c r="K4" t="s">
        <v>24</v>
      </c>
    </row>
    <row r="5" spans="1:11" x14ac:dyDescent="0.3">
      <c r="A5" t="s">
        <v>134</v>
      </c>
      <c r="B5">
        <v>13.57</v>
      </c>
      <c r="C5" t="s">
        <v>135</v>
      </c>
      <c r="I5" t="s">
        <v>25</v>
      </c>
      <c r="J5" s="2">
        <f>90.92</f>
        <v>90.92</v>
      </c>
      <c r="K5" t="s">
        <v>26</v>
      </c>
    </row>
    <row r="6" spans="1:11" x14ac:dyDescent="0.3">
      <c r="A6" t="s">
        <v>4</v>
      </c>
      <c r="B6">
        <v>3.7959999999999998</v>
      </c>
      <c r="C6" t="s">
        <v>12</v>
      </c>
      <c r="I6" t="s">
        <v>28</v>
      </c>
      <c r="J6" s="2">
        <f>B10*B10/J5</f>
        <v>12.491091069071715</v>
      </c>
      <c r="K6" t="s">
        <v>31</v>
      </c>
    </row>
    <row r="7" spans="1:11" x14ac:dyDescent="0.3">
      <c r="A7" t="s">
        <v>132</v>
      </c>
      <c r="B7">
        <v>1.58</v>
      </c>
      <c r="C7" t="s">
        <v>133</v>
      </c>
      <c r="I7" t="s">
        <v>150</v>
      </c>
      <c r="J7">
        <v>0.17199999999999999</v>
      </c>
      <c r="K7" t="s">
        <v>151</v>
      </c>
    </row>
    <row r="8" spans="1:11" x14ac:dyDescent="0.3">
      <c r="A8" t="s">
        <v>0</v>
      </c>
      <c r="B8">
        <v>1.24</v>
      </c>
      <c r="C8" t="s">
        <v>13</v>
      </c>
    </row>
    <row r="9" spans="1:11" x14ac:dyDescent="0.3">
      <c r="A9" t="s">
        <v>6</v>
      </c>
      <c r="B9">
        <v>5.73</v>
      </c>
      <c r="C9" t="s">
        <v>14</v>
      </c>
    </row>
    <row r="10" spans="1:11" x14ac:dyDescent="0.3">
      <c r="A10" t="s">
        <v>3</v>
      </c>
      <c r="B10">
        <v>33.700000000000003</v>
      </c>
      <c r="C10" t="s">
        <v>15</v>
      </c>
    </row>
    <row r="11" spans="1:11" x14ac:dyDescent="0.3">
      <c r="A11" t="s">
        <v>7</v>
      </c>
      <c r="B11">
        <v>3.16</v>
      </c>
      <c r="C11" t="s">
        <v>16</v>
      </c>
    </row>
    <row r="12" spans="1:11" x14ac:dyDescent="0.3">
      <c r="A12" t="s">
        <v>8</v>
      </c>
      <c r="B12">
        <v>1.76</v>
      </c>
      <c r="C12" t="s">
        <v>17</v>
      </c>
    </row>
    <row r="13" spans="1:11" x14ac:dyDescent="0.3">
      <c r="A13" t="s">
        <v>56</v>
      </c>
      <c r="B13">
        <v>1.6</v>
      </c>
      <c r="C13" t="s">
        <v>57</v>
      </c>
    </row>
    <row r="15" spans="1:11" x14ac:dyDescent="0.3">
      <c r="A15" s="1" t="s">
        <v>100</v>
      </c>
    </row>
    <row r="16" spans="1:11" x14ac:dyDescent="0.3">
      <c r="A16" t="s">
        <v>127</v>
      </c>
      <c r="B16" s="8">
        <v>0.7</v>
      </c>
      <c r="C16" t="s">
        <v>99</v>
      </c>
    </row>
    <row r="17" spans="1:9" x14ac:dyDescent="0.3">
      <c r="A17" t="s">
        <v>108</v>
      </c>
      <c r="B17">
        <v>1.67</v>
      </c>
      <c r="C17" t="s">
        <v>102</v>
      </c>
      <c r="I17" s="3"/>
    </row>
    <row r="18" spans="1:9" x14ac:dyDescent="0.3">
      <c r="A18" t="s">
        <v>101</v>
      </c>
      <c r="B18">
        <v>2.67</v>
      </c>
      <c r="C18" t="s">
        <v>103</v>
      </c>
    </row>
    <row r="19" spans="1:9" x14ac:dyDescent="0.3">
      <c r="A19" t="s">
        <v>152</v>
      </c>
      <c r="B19">
        <v>-1.5</v>
      </c>
      <c r="C19" t="s">
        <v>153</v>
      </c>
    </row>
    <row r="20" spans="1:9" x14ac:dyDescent="0.3">
      <c r="A20" t="s">
        <v>154</v>
      </c>
      <c r="B20">
        <v>-5</v>
      </c>
      <c r="C20" t="s">
        <v>155</v>
      </c>
    </row>
    <row r="21" spans="1:9" x14ac:dyDescent="0.3">
      <c r="A21" t="s">
        <v>156</v>
      </c>
      <c r="B21">
        <v>-18</v>
      </c>
      <c r="C21" t="s">
        <v>157</v>
      </c>
    </row>
    <row r="22" spans="1:9" x14ac:dyDescent="0.3">
      <c r="A22" t="s">
        <v>104</v>
      </c>
      <c r="B22">
        <f>B19-B20</f>
        <v>3.5</v>
      </c>
      <c r="C22" t="s">
        <v>158</v>
      </c>
    </row>
    <row r="23" spans="1:9" x14ac:dyDescent="0.3">
      <c r="A23" t="s">
        <v>106</v>
      </c>
      <c r="B23">
        <f>B19-B21</f>
        <v>16.5</v>
      </c>
      <c r="C23" t="s">
        <v>159</v>
      </c>
    </row>
    <row r="24" spans="1:9" x14ac:dyDescent="0.3">
      <c r="A24" t="s">
        <v>105</v>
      </c>
      <c r="B24">
        <v>-0.27600000000000002</v>
      </c>
      <c r="C24" t="s">
        <v>109</v>
      </c>
    </row>
    <row r="25" spans="1:9" x14ac:dyDescent="0.3">
      <c r="A25" t="s">
        <v>107</v>
      </c>
      <c r="B25">
        <f>-0.276-0.335</f>
        <v>-0.61099999999999999</v>
      </c>
      <c r="C25" t="s">
        <v>110</v>
      </c>
    </row>
    <row r="26" spans="1:9" x14ac:dyDescent="0.3">
      <c r="A26" t="s">
        <v>173</v>
      </c>
      <c r="B26">
        <v>-2.9399999999999999E-2</v>
      </c>
      <c r="C26" t="s">
        <v>174</v>
      </c>
    </row>
    <row r="27" spans="1:9" x14ac:dyDescent="0.3">
      <c r="A27" t="s">
        <v>175</v>
      </c>
      <c r="B27">
        <v>2.9999999999999997E-4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3"/>
  <sheetViews>
    <sheetView tabSelected="1" topLeftCell="A37" zoomScaleNormal="100" zoomScaleSheetLayoutView="50" workbookViewId="0">
      <selection activeCell="A42" sqref="A42"/>
    </sheetView>
  </sheetViews>
  <sheetFormatPr defaultRowHeight="14.4" x14ac:dyDescent="0.3"/>
  <cols>
    <col min="1" max="1" width="15.109375" customWidth="1"/>
    <col min="2" max="2" width="9.6640625" style="2" bestFit="1" customWidth="1"/>
    <col min="8" max="8" width="10.33203125" customWidth="1"/>
    <col min="9" max="9" width="10" customWidth="1"/>
    <col min="10" max="10" width="14.6640625" style="2" customWidth="1"/>
    <col min="11" max="11" width="18" customWidth="1"/>
    <col min="14" max="14" width="10.109375" bestFit="1" customWidth="1"/>
    <col min="15" max="15" width="11" bestFit="1" customWidth="1"/>
  </cols>
  <sheetData>
    <row r="1" spans="1:21" x14ac:dyDescent="0.3">
      <c r="A1" s="1" t="s">
        <v>29</v>
      </c>
      <c r="J1" s="1" t="s">
        <v>75</v>
      </c>
      <c r="K1" s="2"/>
    </row>
    <row r="2" spans="1:21" x14ac:dyDescent="0.3">
      <c r="A2" t="s">
        <v>27</v>
      </c>
      <c r="B2" s="2">
        <v>0.248</v>
      </c>
      <c r="C2" t="s">
        <v>30</v>
      </c>
      <c r="J2" t="s">
        <v>40</v>
      </c>
      <c r="K2" s="6">
        <f>Velivolo!B26/B16</f>
        <v>-0.28823529411764709</v>
      </c>
      <c r="L2" t="s">
        <v>41</v>
      </c>
      <c r="T2" s="5">
        <f>-B15*Velivolo!B3*Velivolo!B3*Velivolo!B2/(Velivolo!J5*Velivolo!J3*B16)</f>
        <v>-0.2523220578321122</v>
      </c>
      <c r="U2" t="s">
        <v>131</v>
      </c>
    </row>
    <row r="3" spans="1:21" x14ac:dyDescent="0.3">
      <c r="A3" t="s">
        <v>122</v>
      </c>
      <c r="B3" s="2">
        <v>17.059999999999999</v>
      </c>
      <c r="C3" t="s">
        <v>32</v>
      </c>
      <c r="J3" t="s">
        <v>43</v>
      </c>
      <c r="K3" s="6">
        <f>-2*Velivolo!B27/B16</f>
        <v>-5.8823529411764705E-3</v>
      </c>
      <c r="L3" t="s">
        <v>42</v>
      </c>
      <c r="T3" s="5">
        <f>-B15*Velivolo!B8*Velivolo!B8*Velivolo!B6/(Velivolo!J5*Velivolo!J3*B16)*2</f>
        <v>-9.0557655580977611E-3</v>
      </c>
      <c r="U3" t="s">
        <v>131</v>
      </c>
    </row>
    <row r="4" spans="1:21" x14ac:dyDescent="0.3">
      <c r="A4" t="s">
        <v>123</v>
      </c>
      <c r="B4" s="2">
        <v>2.2799999999999998</v>
      </c>
      <c r="C4" t="s">
        <v>54</v>
      </c>
      <c r="J4" s="2" t="s">
        <v>90</v>
      </c>
      <c r="K4" s="6">
        <f>B2+K2+K3</f>
        <v>-4.6117647058823562E-2</v>
      </c>
      <c r="L4" t="s">
        <v>121</v>
      </c>
    </row>
    <row r="5" spans="1:21" x14ac:dyDescent="0.3">
      <c r="A5" t="s">
        <v>33</v>
      </c>
      <c r="B5" s="2">
        <v>1</v>
      </c>
      <c r="C5" t="s">
        <v>34</v>
      </c>
      <c r="J5" t="s">
        <v>46</v>
      </c>
      <c r="K5" s="6">
        <f>20</f>
        <v>20</v>
      </c>
      <c r="L5" t="s">
        <v>47</v>
      </c>
    </row>
    <row r="6" spans="1:21" x14ac:dyDescent="0.3">
      <c r="A6" t="s">
        <v>44</v>
      </c>
      <c r="B6" s="2">
        <v>1.35</v>
      </c>
      <c r="C6" t="s">
        <v>45</v>
      </c>
      <c r="J6" t="s">
        <v>55</v>
      </c>
      <c r="K6" s="6">
        <f>0.215</f>
        <v>0.215</v>
      </c>
      <c r="L6" t="s">
        <v>59</v>
      </c>
    </row>
    <row r="7" spans="1:21" x14ac:dyDescent="0.3">
      <c r="A7" t="s">
        <v>72</v>
      </c>
      <c r="B7" s="2">
        <v>0.3</v>
      </c>
      <c r="C7" t="s">
        <v>73</v>
      </c>
      <c r="J7" t="s">
        <v>60</v>
      </c>
      <c r="K7" s="6">
        <f>0.106</f>
        <v>0.106</v>
      </c>
      <c r="L7" t="s">
        <v>61</v>
      </c>
      <c r="U7">
        <f>B21*B22</f>
        <v>0.42805799400000005</v>
      </c>
    </row>
    <row r="8" spans="1:21" x14ac:dyDescent="0.3">
      <c r="A8" t="s">
        <v>142</v>
      </c>
      <c r="B8" s="2">
        <v>0.23</v>
      </c>
      <c r="C8" t="s">
        <v>74</v>
      </c>
      <c r="J8" t="s">
        <v>71</v>
      </c>
      <c r="K8" s="6">
        <v>0.53600000000000003</v>
      </c>
      <c r="L8" t="s">
        <v>70</v>
      </c>
    </row>
    <row r="9" spans="1:21" x14ac:dyDescent="0.3">
      <c r="A9" t="s">
        <v>86</v>
      </c>
      <c r="B9" s="2">
        <v>0.05</v>
      </c>
      <c r="C9" t="s">
        <v>87</v>
      </c>
      <c r="J9" t="s">
        <v>76</v>
      </c>
      <c r="K9" s="6">
        <f>B24*B26</f>
        <v>-4.5600000000000007E-3</v>
      </c>
      <c r="L9" t="s">
        <v>95</v>
      </c>
    </row>
    <row r="10" spans="1:21" x14ac:dyDescent="0.3">
      <c r="A10" t="s">
        <v>111</v>
      </c>
      <c r="B10" s="2">
        <v>0.15</v>
      </c>
      <c r="C10" t="s">
        <v>113</v>
      </c>
      <c r="J10" t="s">
        <v>78</v>
      </c>
      <c r="K10" s="6">
        <f>B25*B27</f>
        <v>-8.2649999999999998E-3</v>
      </c>
      <c r="L10" t="s">
        <v>96</v>
      </c>
    </row>
    <row r="11" spans="1:21" x14ac:dyDescent="0.3">
      <c r="A11" t="s">
        <v>112</v>
      </c>
      <c r="B11" s="2">
        <v>0.3</v>
      </c>
      <c r="C11" t="s">
        <v>114</v>
      </c>
      <c r="J11" t="s">
        <v>77</v>
      </c>
      <c r="K11" s="6">
        <v>-0.13500000000000001</v>
      </c>
      <c r="L11" t="s">
        <v>97</v>
      </c>
      <c r="U11" s="17">
        <f>K9*B17/0.11</f>
        <v>-3.3163636363636373E-3</v>
      </c>
    </row>
    <row r="12" spans="1:21" x14ac:dyDescent="0.3">
      <c r="A12" t="s">
        <v>129</v>
      </c>
      <c r="B12" s="8">
        <v>-25</v>
      </c>
      <c r="C12" t="s">
        <v>130</v>
      </c>
      <c r="J12" t="s">
        <v>85</v>
      </c>
      <c r="K12" s="6">
        <v>-0.223</v>
      </c>
      <c r="L12" t="s">
        <v>98</v>
      </c>
      <c r="U12">
        <f>K10+K8*(K11-K9)</f>
        <v>-7.8180840000000001E-2</v>
      </c>
    </row>
    <row r="13" spans="1:21" x14ac:dyDescent="0.3">
      <c r="K13" s="9"/>
    </row>
    <row r="14" spans="1:21" x14ac:dyDescent="0.3">
      <c r="A14" s="1" t="s">
        <v>37</v>
      </c>
      <c r="J14" s="7" t="s">
        <v>88</v>
      </c>
    </row>
    <row r="15" spans="1:21" x14ac:dyDescent="0.3">
      <c r="A15" t="s">
        <v>38</v>
      </c>
      <c r="B15" s="2">
        <v>0.02</v>
      </c>
      <c r="C15" t="s">
        <v>39</v>
      </c>
      <c r="J15" s="2" t="s">
        <v>115</v>
      </c>
      <c r="K15" s="6">
        <f>-0.335</f>
        <v>-0.33500000000000002</v>
      </c>
      <c r="L15" t="s">
        <v>116</v>
      </c>
    </row>
    <row r="16" spans="1:21" x14ac:dyDescent="0.3">
      <c r="A16" t="s">
        <v>35</v>
      </c>
      <c r="B16" s="5">
        <v>0.10199999999999999</v>
      </c>
      <c r="C16" t="s">
        <v>36</v>
      </c>
      <c r="J16" s="2" t="s">
        <v>117</v>
      </c>
      <c r="K16" s="6">
        <f>-0.4984</f>
        <v>-0.49840000000000001</v>
      </c>
      <c r="L16" t="s">
        <v>118</v>
      </c>
    </row>
    <row r="17" spans="1:20" x14ac:dyDescent="0.3">
      <c r="A17" t="s">
        <v>62</v>
      </c>
      <c r="B17" s="5">
        <v>0.08</v>
      </c>
      <c r="C17" t="s">
        <v>63</v>
      </c>
      <c r="J17" s="2" t="s">
        <v>119</v>
      </c>
      <c r="K17" s="5">
        <f>-0.049</f>
        <v>-4.9000000000000002E-2</v>
      </c>
      <c r="L17" t="s">
        <v>120</v>
      </c>
    </row>
    <row r="18" spans="1:20" x14ac:dyDescent="0.3">
      <c r="A18" t="s">
        <v>48</v>
      </c>
      <c r="B18" s="2">
        <f>1/Velivolo!J6-1/(1+Velivolo!J6^1.7)</f>
        <v>6.6571074349043496E-2</v>
      </c>
      <c r="C18" t="s">
        <v>49</v>
      </c>
      <c r="J18" s="2" t="s">
        <v>124</v>
      </c>
      <c r="K18" s="6">
        <f>-B5*B17*B6*0.9*K8</f>
        <v>-5.2099200000000005E-2</v>
      </c>
      <c r="L18" t="s">
        <v>125</v>
      </c>
    </row>
    <row r="19" spans="1:20" x14ac:dyDescent="0.3">
      <c r="A19" t="s">
        <v>50</v>
      </c>
      <c r="B19" s="2">
        <f>(10-3*Velivolo!J2)/7</f>
        <v>1.2228571428571429</v>
      </c>
      <c r="C19" t="s">
        <v>51</v>
      </c>
      <c r="J19" s="2" t="s">
        <v>126</v>
      </c>
      <c r="K19" s="2">
        <f>I31</f>
        <v>-3.2990527214845882</v>
      </c>
      <c r="L19" t="s">
        <v>165</v>
      </c>
    </row>
    <row r="20" spans="1:20" x14ac:dyDescent="0.3">
      <c r="A20" t="s">
        <v>52</v>
      </c>
      <c r="B20" s="2">
        <f>(1-B4/Velivolo!B10)/(2*B3/Velivolo!B10)^(1/3)</f>
        <v>0.92850284607674471</v>
      </c>
      <c r="C20" t="s">
        <v>53</v>
      </c>
      <c r="J20" s="2" t="s">
        <v>136</v>
      </c>
      <c r="K20" s="2">
        <v>0.32</v>
      </c>
      <c r="L20" t="s">
        <v>137</v>
      </c>
      <c r="T20">
        <f>B21*B23</f>
        <v>0.27510919800000005</v>
      </c>
    </row>
    <row r="21" spans="1:20" x14ac:dyDescent="0.3">
      <c r="A21" t="s">
        <v>64</v>
      </c>
      <c r="B21" s="2">
        <f>1.07*0.663*0.7</f>
        <v>0.49658700000000006</v>
      </c>
      <c r="C21" t="s">
        <v>65</v>
      </c>
      <c r="J21" s="2" t="s">
        <v>138</v>
      </c>
      <c r="K21" s="2">
        <f>(Velivolo!B18)/1.2^2</f>
        <v>1.8541666666666667</v>
      </c>
      <c r="L21" t="s">
        <v>143</v>
      </c>
    </row>
    <row r="22" spans="1:20" x14ac:dyDescent="0.3">
      <c r="A22" t="s">
        <v>67</v>
      </c>
      <c r="B22" s="2">
        <v>0.86199999999999999</v>
      </c>
      <c r="C22" t="s">
        <v>66</v>
      </c>
      <c r="L22" s="8"/>
    </row>
    <row r="23" spans="1:20" x14ac:dyDescent="0.3">
      <c r="A23" t="s">
        <v>68</v>
      </c>
      <c r="B23" s="2">
        <v>0.55400000000000005</v>
      </c>
      <c r="C23" t="s">
        <v>69</v>
      </c>
      <c r="J23" s="2" t="s">
        <v>147</v>
      </c>
      <c r="K23" s="5">
        <f>1.02*$B$17*$B$5*$B$3/Velivolo!$J$3</f>
        <v>0.50075395683453239</v>
      </c>
      <c r="L23" s="8" t="s">
        <v>148</v>
      </c>
    </row>
    <row r="24" spans="1:20" x14ac:dyDescent="0.3">
      <c r="A24" t="s">
        <v>79</v>
      </c>
      <c r="B24" s="2">
        <v>0.8</v>
      </c>
      <c r="C24" t="s">
        <v>81</v>
      </c>
      <c r="J24" s="2" t="s">
        <v>145</v>
      </c>
      <c r="K24" s="5">
        <f>J31</f>
        <v>-13.49347278166443</v>
      </c>
      <c r="L24" s="8" t="s">
        <v>149</v>
      </c>
    </row>
    <row r="25" spans="1:20" x14ac:dyDescent="0.3">
      <c r="A25" t="s">
        <v>80</v>
      </c>
      <c r="B25" s="2">
        <v>0.95</v>
      </c>
      <c r="C25" t="s">
        <v>82</v>
      </c>
      <c r="J25" s="2" t="s">
        <v>144</v>
      </c>
      <c r="K25" s="2">
        <f>1/(1.02*$K$7)*(1-0.9*$K$6)</f>
        <v>7.4593044765075849</v>
      </c>
      <c r="L25" s="8" t="s">
        <v>146</v>
      </c>
    </row>
    <row r="26" spans="1:20" x14ac:dyDescent="0.3">
      <c r="A26" t="s">
        <v>93</v>
      </c>
      <c r="B26" s="4">
        <v>-5.7000000000000002E-3</v>
      </c>
      <c r="C26" t="s">
        <v>83</v>
      </c>
      <c r="J26"/>
      <c r="K26" s="2"/>
    </row>
    <row r="27" spans="1:20" x14ac:dyDescent="0.3">
      <c r="A27" t="s">
        <v>94</v>
      </c>
      <c r="B27" s="4">
        <v>-8.6999999999999994E-3</v>
      </c>
      <c r="C27" t="s">
        <v>84</v>
      </c>
      <c r="K27" s="2"/>
    </row>
    <row r="30" spans="1:20" x14ac:dyDescent="0.3">
      <c r="A30" s="1" t="s">
        <v>89</v>
      </c>
      <c r="F30" s="12" t="s">
        <v>140</v>
      </c>
      <c r="G30" s="12" t="s">
        <v>139</v>
      </c>
      <c r="H30" s="12" t="s">
        <v>141</v>
      </c>
      <c r="I30" s="12" t="s">
        <v>126</v>
      </c>
      <c r="J30" s="15" t="s">
        <v>145</v>
      </c>
      <c r="K30" s="7" t="s">
        <v>128</v>
      </c>
    </row>
    <row r="31" spans="1:20" x14ac:dyDescent="0.3">
      <c r="B31" s="11" t="s">
        <v>92</v>
      </c>
      <c r="C31" s="10" t="s">
        <v>91</v>
      </c>
      <c r="D31" s="10" t="s">
        <v>46</v>
      </c>
      <c r="E31" s="13" t="s">
        <v>166</v>
      </c>
      <c r="F31" s="11">
        <v>0.25</v>
      </c>
      <c r="G31" s="11">
        <f>$B$5*$B$17/$K$7*(1-$K$6)*$B$6</f>
        <v>0.79981132075471717</v>
      </c>
      <c r="H31" s="14">
        <f>F31-G31</f>
        <v>-0.54981132075471717</v>
      </c>
      <c r="I31" s="11">
        <f>Velivolo!$B$22-(Velivolo!$B$24/$K$18+H31/$K$18*Velivolo!$B$16)*$K$8</f>
        <v>-3.2990527214845882</v>
      </c>
      <c r="J31" s="14">
        <f>0.9/$K$21*(I31+$K$20*$B$12-Velivolo!$B$23)</f>
        <v>-13.49347278166443</v>
      </c>
      <c r="K31" s="11" t="s">
        <v>92</v>
      </c>
      <c r="L31" s="10" t="s">
        <v>91</v>
      </c>
      <c r="M31" s="10" t="s">
        <v>46</v>
      </c>
      <c r="N31" s="12" t="s">
        <v>169</v>
      </c>
      <c r="O31" s="12" t="s">
        <v>170</v>
      </c>
    </row>
    <row r="32" spans="1:20" x14ac:dyDescent="0.3">
      <c r="B32" s="2">
        <f>$K$4+$B$5*$B$17/$K$7*(1-$K$6)*(1-$K$8*$K$11/$K$12)*$B$3/Velivolo!$J$3*C32-$B$9</f>
        <v>-9.6117647058823558E-2</v>
      </c>
      <c r="C32" s="8">
        <v>0</v>
      </c>
      <c r="D32" s="5">
        <f>Velivolo!$J$5*PO!C32</f>
        <v>0</v>
      </c>
      <c r="E32" s="13" t="s">
        <v>167</v>
      </c>
      <c r="F32" s="11">
        <f>B11</f>
        <v>0.3</v>
      </c>
      <c r="G32" s="11">
        <f>$B$5*$B$17/$K$7*(1-$K$6)*$B$6</f>
        <v>0.79981132075471717</v>
      </c>
      <c r="H32" s="14">
        <f t="shared" ref="H32:H33" si="0">F32-G32</f>
        <v>-0.49981132075471718</v>
      </c>
      <c r="I32" s="11">
        <f>Velivolo!$B$22-(Velivolo!$B$24/$K$18+H32/$K$18*Velivolo!$B$16)*$K$8</f>
        <v>-2.9389704169578401</v>
      </c>
      <c r="J32" s="14">
        <f>0.9/$K$21*(I32+$K$20*$B$12-Velivolo!$B$23)</f>
        <v>-13.3186912585683</v>
      </c>
      <c r="K32" s="2">
        <f>$K$17-$K$16/$K$21+$K$23*L32*($K$24+$K$25)</f>
        <v>0.2198</v>
      </c>
      <c r="L32" s="8">
        <v>0</v>
      </c>
      <c r="M32" s="5">
        <f>Velivolo!$J$5*PO!L32</f>
        <v>0</v>
      </c>
      <c r="N32" s="2">
        <f>$K$17-$K$16/$K$21+$K$23*L32*($J$32+$K$25)</f>
        <v>0.2198</v>
      </c>
      <c r="O32" s="2">
        <f>$K$17-$K$16/$K$21+$K$23*L32*($J$33+$K$25)</f>
        <v>0.2198</v>
      </c>
    </row>
    <row r="33" spans="1:15" x14ac:dyDescent="0.3">
      <c r="B33" s="2">
        <f>$K$4+$B$5*$B$17/$K$7*(1-$K$6)*(1-$K$8*$K$11/$K$12)*$B$3/Velivolo!$J$3*C33-$B$9</f>
        <v>0.1494795767747672</v>
      </c>
      <c r="C33" s="8">
        <v>0.1</v>
      </c>
      <c r="D33" s="5">
        <f>Velivolo!$J$5*PO!C33</f>
        <v>9.0920000000000005</v>
      </c>
      <c r="E33" s="13" t="s">
        <v>168</v>
      </c>
      <c r="F33" s="11">
        <f>B10</f>
        <v>0.15</v>
      </c>
      <c r="G33" s="11">
        <f t="shared" ref="G33" si="1">$B$5*$B$17/$K$7*(1-$K$6)*$B$6</f>
        <v>0.79981132075471717</v>
      </c>
      <c r="H33" s="14">
        <f t="shared" si="0"/>
        <v>-0.64981132075471715</v>
      </c>
      <c r="I33" s="11">
        <f>Velivolo!$B$22-(Velivolo!$B$24/$K$18+H33/$K$18*Velivolo!$B$16)*$K$8</f>
        <v>-4.0192173305380861</v>
      </c>
      <c r="J33" s="14">
        <f>0.9/$K$21*(I33+$K$20*$B$12-Velivolo!$B$23)</f>
        <v>-13.843035827856689</v>
      </c>
      <c r="K33" s="2">
        <f t="shared" ref="K33:K42" si="2">$K$17-$K$16/$K$21+$K$23*L33*($K$24+$K$25)</f>
        <v>-8.2363365501281427E-2</v>
      </c>
      <c r="L33" s="8">
        <v>0.1</v>
      </c>
      <c r="M33" s="5">
        <f>Velivolo!$J$5*PO!L33</f>
        <v>9.0920000000000005</v>
      </c>
      <c r="N33" s="2">
        <f t="shared" ref="N33:N42" si="3">$K$17-$K$16/$K$21+$K$23*L33*($J$32+$K$25)</f>
        <v>-7.3611111574086119E-2</v>
      </c>
      <c r="O33" s="2">
        <f t="shared" ref="O33:O42" si="4">$K$17-$K$16/$K$21+$K$23*L33*($J$33+$K$25)</f>
        <v>-9.9867873355672043E-2</v>
      </c>
    </row>
    <row r="34" spans="1:15" x14ac:dyDescent="0.3">
      <c r="B34" s="2">
        <f>$K$4+$B$5*$B$17/$K$7*(1-$K$6)*(1-$K$8*$K$11/$K$12)*$B$3/Velivolo!$J$3*C34-$B$9</f>
        <v>0.39507680060835798</v>
      </c>
      <c r="C34" s="8">
        <v>0.2</v>
      </c>
      <c r="D34" s="5">
        <f>Velivolo!$J$5*PO!C34</f>
        <v>18.184000000000001</v>
      </c>
      <c r="K34" s="2">
        <f t="shared" si="2"/>
        <v>-0.38452673100256285</v>
      </c>
      <c r="L34" s="8">
        <v>0.2</v>
      </c>
      <c r="M34" s="5">
        <f>Velivolo!$J$5*PO!L34</f>
        <v>18.184000000000001</v>
      </c>
      <c r="N34" s="2">
        <f t="shared" si="3"/>
        <v>-0.36702222314817223</v>
      </c>
      <c r="O34" s="2">
        <f t="shared" si="4"/>
        <v>-0.41953574671134408</v>
      </c>
    </row>
    <row r="35" spans="1:15" x14ac:dyDescent="0.3">
      <c r="B35" s="2">
        <f>$K$4+$B$5*$B$17/$K$7*(1-$K$6)*(1-$K$8*$K$11/$K$12)*$B$3/Velivolo!$J$3*C35-$B$9</f>
        <v>0.64067402444194854</v>
      </c>
      <c r="C35" s="8">
        <v>0.3</v>
      </c>
      <c r="D35" s="5">
        <f>Velivolo!$J$5*PO!C35</f>
        <v>27.276</v>
      </c>
      <c r="H35" t="s">
        <v>172</v>
      </c>
      <c r="K35" s="2">
        <f t="shared" si="2"/>
        <v>-0.68669009650384416</v>
      </c>
      <c r="L35" s="8">
        <v>0.3</v>
      </c>
      <c r="M35" s="5">
        <f>Velivolo!$J$5*PO!L35</f>
        <v>27.276</v>
      </c>
      <c r="N35" s="2">
        <f t="shared" si="3"/>
        <v>-0.66043333472225829</v>
      </c>
      <c r="O35" s="2">
        <f t="shared" si="4"/>
        <v>-0.7392036200670159</v>
      </c>
    </row>
    <row r="36" spans="1:15" x14ac:dyDescent="0.3">
      <c r="B36" s="2">
        <f>$K$4+$B$5*$B$17/$K$7*(1-$K$6)*(1-$K$8*$K$11/$K$12)*$B$3/Velivolo!$J$3*C36-$B$9</f>
        <v>0.88627124827553938</v>
      </c>
      <c r="C36" s="8">
        <v>0.4</v>
      </c>
      <c r="D36" s="5">
        <f>Velivolo!$J$5*PO!C36</f>
        <v>36.368000000000002</v>
      </c>
      <c r="H36" s="13" t="s">
        <v>166</v>
      </c>
      <c r="I36" s="5">
        <f>$K$23*(J31+$K$25)</f>
        <v>-3.0216336550128142</v>
      </c>
      <c r="K36" s="2">
        <f t="shared" si="2"/>
        <v>-0.98885346200512569</v>
      </c>
      <c r="L36" s="8">
        <v>0.4</v>
      </c>
      <c r="M36" s="5">
        <f>Velivolo!$J$5*PO!L36</f>
        <v>36.368000000000002</v>
      </c>
      <c r="N36" s="2">
        <f t="shared" si="3"/>
        <v>-0.95384444629634446</v>
      </c>
      <c r="O36" s="2">
        <f t="shared" si="4"/>
        <v>-1.0588714934226882</v>
      </c>
    </row>
    <row r="37" spans="1:15" x14ac:dyDescent="0.3">
      <c r="B37" s="2">
        <f>$K$4+$B$5*$B$17/$K$7*(1-$K$6)*(1-$K$8*$K$11/$K$12)*$B$3/Velivolo!$J$3*C37-$B$9</f>
        <v>1.1318684721091301</v>
      </c>
      <c r="C37" s="8">
        <v>0.5</v>
      </c>
      <c r="D37" s="5">
        <f>Velivolo!$J$5*PO!C37</f>
        <v>45.46</v>
      </c>
      <c r="H37" s="13" t="s">
        <v>167</v>
      </c>
      <c r="I37" s="5">
        <f t="shared" ref="I37:I38" si="5">$K$23*(J32+$K$25)</f>
        <v>-2.934111115740861</v>
      </c>
      <c r="K37" s="2">
        <f t="shared" si="2"/>
        <v>-1.2910168275064071</v>
      </c>
      <c r="L37" s="8">
        <v>0.5</v>
      </c>
      <c r="M37" s="5">
        <f>Velivolo!$J$5*PO!L37</f>
        <v>45.46</v>
      </c>
      <c r="N37" s="2">
        <f t="shared" si="3"/>
        <v>-1.2472555578704305</v>
      </c>
      <c r="O37" s="2">
        <f t="shared" si="4"/>
        <v>-1.3785393667783601</v>
      </c>
    </row>
    <row r="38" spans="1:15" x14ac:dyDescent="0.3">
      <c r="B38" s="2">
        <f>$K$4+$B$5*$B$17/$K$7*(1-$K$6)*(1-$K$8*$K$11/$K$12)*$B$3/Velivolo!$J$3*C38-$B$9</f>
        <v>1.3774656959427207</v>
      </c>
      <c r="C38" s="8">
        <v>0.6</v>
      </c>
      <c r="D38" s="5">
        <f>Velivolo!$J$5*PO!C38</f>
        <v>54.552</v>
      </c>
      <c r="H38" s="13" t="s">
        <v>168</v>
      </c>
      <c r="I38" s="5">
        <f t="shared" si="5"/>
        <v>-3.1966787335567202</v>
      </c>
      <c r="K38" s="2">
        <f t="shared" si="2"/>
        <v>-1.5931801930076883</v>
      </c>
      <c r="L38" s="8">
        <v>0.6</v>
      </c>
      <c r="M38" s="5">
        <f>Velivolo!$J$5*PO!L38</f>
        <v>54.552</v>
      </c>
      <c r="N38" s="2">
        <f t="shared" si="3"/>
        <v>-1.5406666694445166</v>
      </c>
      <c r="O38" s="2">
        <f>$K$17-$K$16/$K$21+$K$23*L38*($J$33+$K$25)</f>
        <v>-1.6982072401340318</v>
      </c>
    </row>
    <row r="39" spans="1:15" x14ac:dyDescent="0.3">
      <c r="B39" s="2">
        <f>$K$4+$B$5*$B$17/$K$7*(1-$K$6)*(1-$K$8*$K$11/$K$12)*$B$3/Velivolo!$J$3*C39-$B$9</f>
        <v>1.6230629197763116</v>
      </c>
      <c r="C39" s="8">
        <v>0.7</v>
      </c>
      <c r="D39" s="5">
        <f>Velivolo!$J$5*PO!C39</f>
        <v>63.643999999999998</v>
      </c>
      <c r="K39" s="2">
        <f t="shared" si="2"/>
        <v>-1.89534355850897</v>
      </c>
      <c r="L39" s="8">
        <v>0.7</v>
      </c>
      <c r="M39" s="5">
        <f>Velivolo!$J$5*PO!L39</f>
        <v>63.643999999999998</v>
      </c>
      <c r="N39" s="2">
        <f t="shared" si="3"/>
        <v>-1.8340777810186026</v>
      </c>
      <c r="O39" s="2">
        <f t="shared" si="4"/>
        <v>-2.0178751134897039</v>
      </c>
    </row>
    <row r="40" spans="1:15" x14ac:dyDescent="0.3">
      <c r="B40" s="2">
        <f>$K$4+$B$5*$B$17/$K$7*(1-$K$6)*(1-$K$8*$K$11/$K$12)*$B$3/Velivolo!$J$3*C40-$B$9</f>
        <v>1.8686601436099024</v>
      </c>
      <c r="C40" s="8">
        <v>0.8</v>
      </c>
      <c r="D40" s="5">
        <f>Velivolo!$J$5*PO!C40</f>
        <v>72.736000000000004</v>
      </c>
      <c r="K40" s="2">
        <f t="shared" si="2"/>
        <v>-2.1975069240102512</v>
      </c>
      <c r="L40" s="8">
        <v>0.8</v>
      </c>
      <c r="M40" s="5">
        <f>Velivolo!$J$5*PO!L40</f>
        <v>72.736000000000004</v>
      </c>
      <c r="N40" s="2">
        <f t="shared" si="3"/>
        <v>-2.1274888925926891</v>
      </c>
      <c r="O40" s="2">
        <f t="shared" si="4"/>
        <v>-2.3375429868453761</v>
      </c>
    </row>
    <row r="41" spans="1:15" x14ac:dyDescent="0.3">
      <c r="A41" s="16" t="s">
        <v>171</v>
      </c>
      <c r="B41" s="2">
        <f>$K$4+$B$5*$B$17/$K$7*(1-$K$6)*(1-$K$8*$K$11/$K$12)*$B$3/Velivolo!$J$3*C41-$B$9</f>
        <v>2.1142573674434932</v>
      </c>
      <c r="C41" s="8">
        <v>0.9</v>
      </c>
      <c r="D41" s="5">
        <f>Velivolo!$J$5*PO!C41</f>
        <v>81.828000000000003</v>
      </c>
      <c r="K41" s="2">
        <f t="shared" si="2"/>
        <v>-2.499670289511533</v>
      </c>
      <c r="L41" s="8">
        <v>0.9</v>
      </c>
      <c r="M41" s="5">
        <f>Velivolo!$J$5*PO!L41</f>
        <v>81.828000000000003</v>
      </c>
      <c r="N41" s="2">
        <f t="shared" si="3"/>
        <v>-2.420900004166775</v>
      </c>
      <c r="O41" s="2">
        <f t="shared" si="4"/>
        <v>-2.6572108602010482</v>
      </c>
    </row>
    <row r="42" spans="1:15" x14ac:dyDescent="0.3">
      <c r="A42" s="2">
        <f>B42-B32</f>
        <v>2.4559722383359075</v>
      </c>
      <c r="B42" s="2">
        <f>$K$4+$B$5*$B$17/$K$7*(1-$K$6)*(1-$K$8*$K$11/$K$12)*$B$3/Velivolo!$J$3*C42-$B$9</f>
        <v>2.3598545912770841</v>
      </c>
      <c r="C42" s="8">
        <v>1</v>
      </c>
      <c r="D42" s="5">
        <f>Velivolo!$J$5*PO!C42</f>
        <v>90.92</v>
      </c>
      <c r="K42" s="2">
        <f t="shared" si="2"/>
        <v>-2.801833655012814</v>
      </c>
      <c r="L42" s="8">
        <v>1</v>
      </c>
      <c r="M42" s="5">
        <f>Velivolo!$J$5*PO!L42</f>
        <v>90.92</v>
      </c>
      <c r="N42" s="2">
        <f t="shared" si="3"/>
        <v>-2.7143111157408608</v>
      </c>
      <c r="O42" s="2">
        <f t="shared" si="4"/>
        <v>-2.9768787335567204</v>
      </c>
    </row>
    <row r="69" spans="1:3" x14ac:dyDescent="0.3">
      <c r="A69" s="10" t="s">
        <v>160</v>
      </c>
      <c r="B69" s="11" t="s">
        <v>163</v>
      </c>
      <c r="C69" s="10" t="s">
        <v>164</v>
      </c>
    </row>
    <row r="70" spans="1:3" x14ac:dyDescent="0.3">
      <c r="A70" s="18" t="s">
        <v>161</v>
      </c>
      <c r="B70" s="2">
        <f>B10</f>
        <v>0.15</v>
      </c>
      <c r="C70">
        <v>0</v>
      </c>
    </row>
    <row r="71" spans="1:3" x14ac:dyDescent="0.3">
      <c r="A71" s="18"/>
      <c r="B71" s="2">
        <f>B10</f>
        <v>0.15</v>
      </c>
      <c r="C71">
        <v>1</v>
      </c>
    </row>
    <row r="72" spans="1:3" x14ac:dyDescent="0.3">
      <c r="A72" s="18" t="s">
        <v>162</v>
      </c>
      <c r="B72" s="2">
        <f>B11</f>
        <v>0.3</v>
      </c>
      <c r="C72">
        <v>0</v>
      </c>
    </row>
    <row r="73" spans="1:3" x14ac:dyDescent="0.3">
      <c r="A73" s="18"/>
      <c r="B73" s="2">
        <f>B11</f>
        <v>0.3</v>
      </c>
      <c r="C73">
        <v>1</v>
      </c>
    </row>
  </sheetData>
  <mergeCells count="2">
    <mergeCell ref="A70:A71"/>
    <mergeCell ref="A72:A73"/>
  </mergeCells>
  <pageMargins left="0.7" right="0.7" top="0.75" bottom="0.75" header="0.3" footer="0.3"/>
  <pageSetup paperSize="137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9</xdr:col>
                <xdr:colOff>38100</xdr:colOff>
                <xdr:row>25</xdr:row>
                <xdr:rowOff>114300</xdr:rowOff>
              </from>
              <to>
                <xdr:col>17</xdr:col>
                <xdr:colOff>45720</xdr:colOff>
                <xdr:row>28</xdr:row>
                <xdr:rowOff>121920</xdr:rowOff>
              </to>
            </anchor>
          </objectPr>
        </oleObject>
      </mc:Choice>
      <mc:Fallback>
        <oleObject progId="Equation.DSMT4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Velivolo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Ciliberti</dc:creator>
  <cp:lastModifiedBy>miche</cp:lastModifiedBy>
  <dcterms:created xsi:type="dcterms:W3CDTF">2013-05-20T07:40:20Z</dcterms:created>
  <dcterms:modified xsi:type="dcterms:W3CDTF">2021-07-17T11:17:48Z</dcterms:modified>
</cp:coreProperties>
</file>