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RCRAFT DESIGN\From github\Aircraft-Design\Sizing point\"/>
    </mc:Choice>
  </mc:AlternateContent>
  <xr:revisionPtr revIDLastSave="0" documentId="13_ncr:1_{0CB7F37F-23BB-445B-9746-241CEC455679}" xr6:coauthVersionLast="47" xr6:coauthVersionMax="47" xr10:uidLastSave="{00000000-0000-0000-0000-000000000000}"/>
  <bookViews>
    <workbookView xWindow="-108" yWindow="-108" windowWidth="23256" windowHeight="12576" tabRatio="527" xr2:uid="{43B7C433-D1FF-4AF6-89E4-7EDD3F79822E}"/>
  </bookViews>
  <sheets>
    <sheet name="Foglio1" sheetId="1" r:id="rId1"/>
    <sheet name="Polar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1" l="1"/>
  <c r="O14" i="1"/>
  <c r="O15" i="1"/>
  <c r="C35" i="1"/>
  <c r="C36" i="1"/>
  <c r="C37" i="1"/>
  <c r="C38" i="1"/>
  <c r="C39" i="1"/>
  <c r="C40" i="1"/>
  <c r="O13" i="1"/>
  <c r="D51" i="1"/>
  <c r="C48" i="1"/>
  <c r="B48" i="1"/>
  <c r="B28" i="1"/>
  <c r="K123" i="1" s="1"/>
  <c r="D25" i="1"/>
  <c r="B26" i="1" s="1"/>
  <c r="B24" i="1"/>
  <c r="D24" i="1" s="1"/>
  <c r="B14" i="1"/>
  <c r="C45" i="1"/>
  <c r="D45" i="1"/>
  <c r="D19" i="2"/>
  <c r="D18" i="2"/>
  <c r="D17" i="2"/>
  <c r="N13" i="1"/>
  <c r="N14" i="1"/>
  <c r="N15" i="1"/>
  <c r="N18" i="1"/>
  <c r="I17" i="1"/>
  <c r="J17" i="1"/>
  <c r="K17" i="1"/>
  <c r="L17" i="1"/>
  <c r="M17" i="1"/>
  <c r="H17" i="1"/>
  <c r="M16" i="1"/>
  <c r="I16" i="1"/>
  <c r="J16" i="1"/>
  <c r="K16" i="1"/>
  <c r="L16" i="1"/>
  <c r="H16" i="1"/>
  <c r="B10" i="2"/>
  <c r="B12" i="2" s="1"/>
  <c r="D16" i="1"/>
  <c r="D15" i="1"/>
  <c r="D46" i="1"/>
  <c r="D47" i="1"/>
  <c r="D48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C46" i="1"/>
  <c r="C47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B46" i="1"/>
  <c r="B47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45" i="1"/>
  <c r="D12" i="1"/>
  <c r="D2" i="1" s="1"/>
  <c r="F2" i="1" s="1"/>
  <c r="H2" i="1" s="1"/>
  <c r="H26" i="1" s="1"/>
  <c r="D13" i="1"/>
  <c r="K92" i="1" l="1"/>
  <c r="K52" i="1"/>
  <c r="K115" i="1"/>
  <c r="K107" i="1"/>
  <c r="K99" i="1"/>
  <c r="K91" i="1"/>
  <c r="K83" i="1"/>
  <c r="K75" i="1"/>
  <c r="K67" i="1"/>
  <c r="K59" i="1"/>
  <c r="K51" i="1"/>
  <c r="K122" i="1"/>
  <c r="K114" i="1"/>
  <c r="K106" i="1"/>
  <c r="K98" i="1"/>
  <c r="K90" i="1"/>
  <c r="K82" i="1"/>
  <c r="K74" i="1"/>
  <c r="K66" i="1"/>
  <c r="K58" i="1"/>
  <c r="K50" i="1"/>
  <c r="K121" i="1"/>
  <c r="K113" i="1"/>
  <c r="K105" i="1"/>
  <c r="K97" i="1"/>
  <c r="K89" i="1"/>
  <c r="K81" i="1"/>
  <c r="K73" i="1"/>
  <c r="K65" i="1"/>
  <c r="K57" i="1"/>
  <c r="K49" i="1"/>
  <c r="K120" i="1"/>
  <c r="K112" i="1"/>
  <c r="K104" i="1"/>
  <c r="K96" i="1"/>
  <c r="K88" i="1"/>
  <c r="K80" i="1"/>
  <c r="K72" i="1"/>
  <c r="K64" i="1"/>
  <c r="K56" i="1"/>
  <c r="K48" i="1"/>
  <c r="K119" i="1"/>
  <c r="K111" i="1"/>
  <c r="K103" i="1"/>
  <c r="K95" i="1"/>
  <c r="K87" i="1"/>
  <c r="K79" i="1"/>
  <c r="K71" i="1"/>
  <c r="K63" i="1"/>
  <c r="K55" i="1"/>
  <c r="K47" i="1"/>
  <c r="K118" i="1"/>
  <c r="K110" i="1"/>
  <c r="K102" i="1"/>
  <c r="K94" i="1"/>
  <c r="K86" i="1"/>
  <c r="K78" i="1"/>
  <c r="K70" i="1"/>
  <c r="K62" i="1"/>
  <c r="K54" i="1"/>
  <c r="K46" i="1"/>
  <c r="K45" i="1"/>
  <c r="K117" i="1"/>
  <c r="K109" i="1"/>
  <c r="K101" i="1"/>
  <c r="K93" i="1"/>
  <c r="K85" i="1"/>
  <c r="K77" i="1"/>
  <c r="K69" i="1"/>
  <c r="K61" i="1"/>
  <c r="K53" i="1"/>
  <c r="K124" i="1"/>
  <c r="K116" i="1"/>
  <c r="K108" i="1"/>
  <c r="K100" i="1"/>
  <c r="K84" i="1"/>
  <c r="K76" i="1"/>
  <c r="K68" i="1"/>
  <c r="K60" i="1"/>
  <c r="D14" i="1"/>
  <c r="J5" i="1" s="1"/>
  <c r="N16" i="1"/>
  <c r="B13" i="2" s="1"/>
  <c r="B14" i="2" s="1"/>
  <c r="N17" i="1"/>
  <c r="D6" i="1"/>
  <c r="F6" i="1" s="1"/>
  <c r="I2" i="1" s="1"/>
  <c r="I27" i="1" s="1"/>
  <c r="B11" i="2"/>
  <c r="D11" i="2" s="1"/>
  <c r="D35" i="1" l="1"/>
  <c r="D36" i="1"/>
  <c r="E36" i="1" s="1"/>
  <c r="D37" i="1"/>
  <c r="E37" i="1" s="1"/>
  <c r="D38" i="1"/>
  <c r="E38" i="1" s="1"/>
  <c r="D39" i="1"/>
  <c r="E39" i="1" s="1"/>
  <c r="D40" i="1"/>
  <c r="E40" i="1" s="1"/>
  <c r="H5" i="1"/>
  <c r="I5" i="1"/>
  <c r="K27" i="1" s="1"/>
  <c r="C43" i="2"/>
  <c r="D43" i="2" s="1"/>
  <c r="C41" i="2"/>
  <c r="D41" i="2" s="1"/>
  <c r="E29" i="2"/>
  <c r="F29" i="2" s="1"/>
  <c r="E65" i="2"/>
  <c r="F65" i="2" s="1"/>
  <c r="B45" i="2"/>
  <c r="B37" i="2"/>
  <c r="E37" i="2"/>
  <c r="F37" i="2" s="1"/>
  <c r="C33" i="2"/>
  <c r="D33" i="2" s="1"/>
  <c r="E27" i="2"/>
  <c r="F27" i="2" s="1"/>
  <c r="E28" i="2"/>
  <c r="F28" i="2" s="1"/>
  <c r="C40" i="2"/>
  <c r="D40" i="2" s="1"/>
  <c r="B60" i="2"/>
  <c r="E33" i="2"/>
  <c r="F33" i="2" s="1"/>
  <c r="E36" i="2"/>
  <c r="F36" i="2" s="1"/>
  <c r="B31" i="2"/>
  <c r="B65" i="2"/>
  <c r="B38" i="2"/>
  <c r="E58" i="2"/>
  <c r="F58" i="2" s="1"/>
  <c r="C34" i="2"/>
  <c r="D34" i="2" s="1"/>
  <c r="B30" i="2"/>
  <c r="E50" i="2"/>
  <c r="F50" i="2" s="1"/>
  <c r="B56" i="2"/>
  <c r="B63" i="2"/>
  <c r="E55" i="2"/>
  <c r="F55" i="2" s="1"/>
  <c r="E62" i="2"/>
  <c r="F62" i="2" s="1"/>
  <c r="C54" i="2"/>
  <c r="D54" i="2" s="1"/>
  <c r="C52" i="2"/>
  <c r="D52" i="2" s="1"/>
  <c r="B42" i="2"/>
  <c r="C61" i="2"/>
  <c r="D61" i="2" s="1"/>
  <c r="C58" i="2"/>
  <c r="D58" i="2" s="1"/>
  <c r="B48" i="2"/>
  <c r="B55" i="2"/>
  <c r="E47" i="2"/>
  <c r="F47" i="2" s="1"/>
  <c r="E54" i="2"/>
  <c r="F54" i="2" s="1"/>
  <c r="E61" i="2"/>
  <c r="F61" i="2" s="1"/>
  <c r="C44" i="2"/>
  <c r="D44" i="2" s="1"/>
  <c r="B34" i="2"/>
  <c r="B52" i="2"/>
  <c r="B64" i="2"/>
  <c r="E56" i="2"/>
  <c r="F56" i="2" s="1"/>
  <c r="E63" i="2"/>
  <c r="F63" i="2" s="1"/>
  <c r="C31" i="2"/>
  <c r="D31" i="2" s="1"/>
  <c r="C62" i="2"/>
  <c r="D62" i="2" s="1"/>
  <c r="B50" i="2"/>
  <c r="B49" i="2"/>
  <c r="C45" i="2"/>
  <c r="D45" i="2" s="1"/>
  <c r="C50" i="2"/>
  <c r="D50" i="2" s="1"/>
  <c r="B40" i="2"/>
  <c r="B47" i="2"/>
  <c r="B54" i="2"/>
  <c r="E46" i="2"/>
  <c r="F46" i="2" s="1"/>
  <c r="E53" i="2"/>
  <c r="F53" i="2" s="1"/>
  <c r="E43" i="2"/>
  <c r="F43" i="2" s="1"/>
  <c r="C35" i="2"/>
  <c r="D35" i="2" s="1"/>
  <c r="E64" i="2"/>
  <c r="F64" i="2" s="1"/>
  <c r="C32" i="2"/>
  <c r="D32" i="2" s="1"/>
  <c r="C63" i="2"/>
  <c r="D63" i="2" s="1"/>
  <c r="B29" i="2"/>
  <c r="B27" i="2"/>
  <c r="B58" i="2"/>
  <c r="B57" i="2"/>
  <c r="C60" i="2"/>
  <c r="D60" i="2" s="1"/>
  <c r="B36" i="2"/>
  <c r="C29" i="2"/>
  <c r="D29" i="2" s="1"/>
  <c r="C42" i="2"/>
  <c r="D42" i="2" s="1"/>
  <c r="C49" i="2"/>
  <c r="D49" i="2" s="1"/>
  <c r="B39" i="2"/>
  <c r="B46" i="2"/>
  <c r="E38" i="2"/>
  <c r="F38" i="2" s="1"/>
  <c r="E45" i="2"/>
  <c r="F45" i="2" s="1"/>
  <c r="E35" i="2"/>
  <c r="F35" i="2" s="1"/>
  <c r="C27" i="2"/>
  <c r="D27" i="2" s="1"/>
  <c r="E60" i="2"/>
  <c r="F60" i="2" s="1"/>
  <c r="B41" i="2"/>
  <c r="E57" i="2"/>
  <c r="F57" i="2" s="1"/>
  <c r="B32" i="2"/>
  <c r="E48" i="2"/>
  <c r="F48" i="2" s="1"/>
  <c r="C64" i="2"/>
  <c r="D64" i="2" s="1"/>
  <c r="E39" i="2"/>
  <c r="F39" i="2" s="1"/>
  <c r="C55" i="2"/>
  <c r="E30" i="2"/>
  <c r="F30" i="2" s="1"/>
  <c r="C46" i="2"/>
  <c r="D46" i="2" s="1"/>
  <c r="B59" i="2"/>
  <c r="C36" i="2"/>
  <c r="D36" i="2" s="1"/>
  <c r="B44" i="2"/>
  <c r="B26" i="2"/>
  <c r="E42" i="2"/>
  <c r="F42" i="2" s="1"/>
  <c r="E52" i="2"/>
  <c r="F52" i="2" s="1"/>
  <c r="B33" i="2"/>
  <c r="E49" i="2"/>
  <c r="F49" i="2" s="1"/>
  <c r="C65" i="2"/>
  <c r="D65" i="2" s="1"/>
  <c r="E40" i="2"/>
  <c r="F40" i="2" s="1"/>
  <c r="C56" i="2"/>
  <c r="D56" i="2" s="1"/>
  <c r="E31" i="2"/>
  <c r="F31" i="2" s="1"/>
  <c r="C47" i="2"/>
  <c r="D47" i="2" s="1"/>
  <c r="B61" i="2"/>
  <c r="C38" i="2"/>
  <c r="D38" i="2" s="1"/>
  <c r="B51" i="2"/>
  <c r="C28" i="2"/>
  <c r="D28" i="2" s="1"/>
  <c r="B28" i="2"/>
  <c r="C59" i="2"/>
  <c r="D59" i="2" s="1"/>
  <c r="E34" i="2"/>
  <c r="F34" i="2" s="1"/>
  <c r="E44" i="2"/>
  <c r="F44" i="2" s="1"/>
  <c r="C26" i="2"/>
  <c r="D26" i="2" s="1"/>
  <c r="E41" i="2"/>
  <c r="F41" i="2" s="1"/>
  <c r="C57" i="2"/>
  <c r="D57" i="2" s="1"/>
  <c r="E32" i="2"/>
  <c r="F32" i="2" s="1"/>
  <c r="C48" i="2"/>
  <c r="D48" i="2" s="1"/>
  <c r="B62" i="2"/>
  <c r="C39" i="2"/>
  <c r="D39" i="2" s="1"/>
  <c r="B53" i="2"/>
  <c r="C30" i="2"/>
  <c r="D30" i="2" s="1"/>
  <c r="B43" i="2"/>
  <c r="E59" i="2"/>
  <c r="F59" i="2" s="1"/>
  <c r="C53" i="2"/>
  <c r="D53" i="2" s="1"/>
  <c r="C51" i="2"/>
  <c r="D51" i="2" s="1"/>
  <c r="E26" i="2"/>
  <c r="F26" i="2" s="1"/>
  <c r="B35" i="2"/>
  <c r="E51" i="2"/>
  <c r="F51" i="2" s="1"/>
  <c r="C37" i="2"/>
  <c r="D37" i="2" s="1"/>
  <c r="I26" i="1"/>
  <c r="H27" i="1"/>
  <c r="L27" i="1"/>
  <c r="L26" i="1"/>
  <c r="E45" i="1" l="1"/>
  <c r="E35" i="1"/>
  <c r="J48" i="1"/>
  <c r="J49" i="1"/>
  <c r="J50" i="1"/>
  <c r="J51" i="1"/>
  <c r="J52" i="1"/>
  <c r="J53" i="1"/>
  <c r="J65" i="1"/>
  <c r="J46" i="1"/>
  <c r="J86" i="1"/>
  <c r="J98" i="1"/>
  <c r="J110" i="1"/>
  <c r="J122" i="1"/>
  <c r="J66" i="1"/>
  <c r="J47" i="1"/>
  <c r="J87" i="1"/>
  <c r="J99" i="1"/>
  <c r="J111" i="1"/>
  <c r="J123" i="1"/>
  <c r="J67" i="1"/>
  <c r="J76" i="1"/>
  <c r="J88" i="1"/>
  <c r="J100" i="1"/>
  <c r="J112" i="1"/>
  <c r="J124" i="1"/>
  <c r="J68" i="1"/>
  <c r="J77" i="1"/>
  <c r="J89" i="1"/>
  <c r="J101" i="1"/>
  <c r="J113" i="1"/>
  <c r="J69" i="1"/>
  <c r="J78" i="1"/>
  <c r="J90" i="1"/>
  <c r="J102" i="1"/>
  <c r="J114" i="1"/>
  <c r="J70" i="1"/>
  <c r="J79" i="1"/>
  <c r="J91" i="1"/>
  <c r="J103" i="1"/>
  <c r="J115" i="1"/>
  <c r="J71" i="1"/>
  <c r="J80" i="1"/>
  <c r="J92" i="1"/>
  <c r="J104" i="1"/>
  <c r="J116" i="1"/>
  <c r="J60" i="1"/>
  <c r="J72" i="1"/>
  <c r="J81" i="1"/>
  <c r="J93" i="1"/>
  <c r="J105" i="1"/>
  <c r="J117" i="1"/>
  <c r="J61" i="1"/>
  <c r="J73" i="1"/>
  <c r="J82" i="1"/>
  <c r="J94" i="1"/>
  <c r="J106" i="1"/>
  <c r="J118" i="1"/>
  <c r="J62" i="1"/>
  <c r="J74" i="1"/>
  <c r="J83" i="1"/>
  <c r="J95" i="1"/>
  <c r="J107" i="1"/>
  <c r="J119" i="1"/>
  <c r="J63" i="1"/>
  <c r="J75" i="1"/>
  <c r="J84" i="1"/>
  <c r="J96" i="1"/>
  <c r="J108" i="1"/>
  <c r="J120" i="1"/>
  <c r="J64" i="1"/>
  <c r="J45" i="1"/>
  <c r="J85" i="1"/>
  <c r="J97" i="1"/>
  <c r="J109" i="1"/>
  <c r="J121" i="1"/>
  <c r="J54" i="1"/>
  <c r="J55" i="1"/>
  <c r="J56" i="1"/>
  <c r="J57" i="1"/>
  <c r="J58" i="1"/>
  <c r="J59" i="1"/>
  <c r="K26" i="1"/>
  <c r="J27" i="1"/>
  <c r="J26" i="1"/>
  <c r="F46" i="1"/>
  <c r="F54" i="1"/>
  <c r="F62" i="1"/>
  <c r="F70" i="1"/>
  <c r="F78" i="1"/>
  <c r="F86" i="1"/>
  <c r="F94" i="1"/>
  <c r="F102" i="1"/>
  <c r="F110" i="1"/>
  <c r="F118" i="1"/>
  <c r="F47" i="1"/>
  <c r="F55" i="1"/>
  <c r="F63" i="1"/>
  <c r="F71" i="1"/>
  <c r="F79" i="1"/>
  <c r="F87" i="1"/>
  <c r="F95" i="1"/>
  <c r="F103" i="1"/>
  <c r="F111" i="1"/>
  <c r="F119" i="1"/>
  <c r="F48" i="1"/>
  <c r="F56" i="1"/>
  <c r="F64" i="1"/>
  <c r="F72" i="1"/>
  <c r="F80" i="1"/>
  <c r="F88" i="1"/>
  <c r="F96" i="1"/>
  <c r="F104" i="1"/>
  <c r="F112" i="1"/>
  <c r="F120" i="1"/>
  <c r="F50" i="1"/>
  <c r="F58" i="1"/>
  <c r="F66" i="1"/>
  <c r="F74" i="1"/>
  <c r="F82" i="1"/>
  <c r="F90" i="1"/>
  <c r="F98" i="1"/>
  <c r="F106" i="1"/>
  <c r="F114" i="1"/>
  <c r="F122" i="1"/>
  <c r="F51" i="1"/>
  <c r="F59" i="1"/>
  <c r="F67" i="1"/>
  <c r="F75" i="1"/>
  <c r="F83" i="1"/>
  <c r="F91" i="1"/>
  <c r="F99" i="1"/>
  <c r="F107" i="1"/>
  <c r="F115" i="1"/>
  <c r="F123" i="1"/>
  <c r="F61" i="1"/>
  <c r="F84" i="1"/>
  <c r="F105" i="1"/>
  <c r="F124" i="1"/>
  <c r="F65" i="1"/>
  <c r="F85" i="1"/>
  <c r="F108" i="1"/>
  <c r="F77" i="1"/>
  <c r="F45" i="1"/>
  <c r="F68" i="1"/>
  <c r="F89" i="1"/>
  <c r="F109" i="1"/>
  <c r="F121" i="1"/>
  <c r="F81" i="1"/>
  <c r="F49" i="1"/>
  <c r="F69" i="1"/>
  <c r="F92" i="1"/>
  <c r="F113" i="1"/>
  <c r="F100" i="1"/>
  <c r="F60" i="1"/>
  <c r="F52" i="1"/>
  <c r="F73" i="1"/>
  <c r="F93" i="1"/>
  <c r="F116" i="1"/>
  <c r="F101" i="1"/>
  <c r="F53" i="1"/>
  <c r="F76" i="1"/>
  <c r="F97" i="1"/>
  <c r="F117" i="1"/>
  <c r="F57" i="1"/>
  <c r="G46" i="1"/>
  <c r="G54" i="1"/>
  <c r="G62" i="1"/>
  <c r="G70" i="1"/>
  <c r="G78" i="1"/>
  <c r="G86" i="1"/>
  <c r="G94" i="1"/>
  <c r="G102" i="1"/>
  <c r="G110" i="1"/>
  <c r="G118" i="1"/>
  <c r="G47" i="1"/>
  <c r="G55" i="1"/>
  <c r="G63" i="1"/>
  <c r="G71" i="1"/>
  <c r="G79" i="1"/>
  <c r="G87" i="1"/>
  <c r="G95" i="1"/>
  <c r="G103" i="1"/>
  <c r="G111" i="1"/>
  <c r="G119" i="1"/>
  <c r="G48" i="1"/>
  <c r="G56" i="1"/>
  <c r="G64" i="1"/>
  <c r="G72" i="1"/>
  <c r="G80" i="1"/>
  <c r="G88" i="1"/>
  <c r="G96" i="1"/>
  <c r="G104" i="1"/>
  <c r="G112" i="1"/>
  <c r="G120" i="1"/>
  <c r="G50" i="1"/>
  <c r="G58" i="1"/>
  <c r="G66" i="1"/>
  <c r="G74" i="1"/>
  <c r="G82" i="1"/>
  <c r="G90" i="1"/>
  <c r="G98" i="1"/>
  <c r="G106" i="1"/>
  <c r="G114" i="1"/>
  <c r="G122" i="1"/>
  <c r="G51" i="1"/>
  <c r="G59" i="1"/>
  <c r="G67" i="1"/>
  <c r="G75" i="1"/>
  <c r="G83" i="1"/>
  <c r="G91" i="1"/>
  <c r="G99" i="1"/>
  <c r="G107" i="1"/>
  <c r="G115" i="1"/>
  <c r="G123" i="1"/>
  <c r="G52" i="1"/>
  <c r="G60" i="1"/>
  <c r="G68" i="1"/>
  <c r="G76" i="1"/>
  <c r="G84" i="1"/>
  <c r="G92" i="1"/>
  <c r="G69" i="1"/>
  <c r="G100" i="1"/>
  <c r="G121" i="1"/>
  <c r="G117" i="1"/>
  <c r="G73" i="1"/>
  <c r="G101" i="1"/>
  <c r="G124" i="1"/>
  <c r="G45" i="1"/>
  <c r="G77" i="1"/>
  <c r="G105" i="1"/>
  <c r="G116" i="1"/>
  <c r="G65" i="1"/>
  <c r="G49" i="1"/>
  <c r="G81" i="1"/>
  <c r="G108" i="1"/>
  <c r="G93" i="1"/>
  <c r="G53" i="1"/>
  <c r="G85" i="1"/>
  <c r="G109" i="1"/>
  <c r="G61" i="1"/>
  <c r="G97" i="1"/>
  <c r="G57" i="1"/>
  <c r="G89" i="1"/>
  <c r="G113" i="1"/>
  <c r="H46" i="1"/>
  <c r="H54" i="1"/>
  <c r="H62" i="1"/>
  <c r="H70" i="1"/>
  <c r="H78" i="1"/>
  <c r="H86" i="1"/>
  <c r="H94" i="1"/>
  <c r="H102" i="1"/>
  <c r="H110" i="1"/>
  <c r="H118" i="1"/>
  <c r="H47" i="1"/>
  <c r="H55" i="1"/>
  <c r="H63" i="1"/>
  <c r="H71" i="1"/>
  <c r="H79" i="1"/>
  <c r="H87" i="1"/>
  <c r="H95" i="1"/>
  <c r="H103" i="1"/>
  <c r="H111" i="1"/>
  <c r="H119" i="1"/>
  <c r="H48" i="1"/>
  <c r="H56" i="1"/>
  <c r="H64" i="1"/>
  <c r="H72" i="1"/>
  <c r="H80" i="1"/>
  <c r="H88" i="1"/>
  <c r="H96" i="1"/>
  <c r="H104" i="1"/>
  <c r="H112" i="1"/>
  <c r="H120" i="1"/>
  <c r="H50" i="1"/>
  <c r="H58" i="1"/>
  <c r="H66" i="1"/>
  <c r="H74" i="1"/>
  <c r="H82" i="1"/>
  <c r="H90" i="1"/>
  <c r="H98" i="1"/>
  <c r="H106" i="1"/>
  <c r="H114" i="1"/>
  <c r="H122" i="1"/>
  <c r="H51" i="1"/>
  <c r="H59" i="1"/>
  <c r="H67" i="1"/>
  <c r="H75" i="1"/>
  <c r="H83" i="1"/>
  <c r="H91" i="1"/>
  <c r="H99" i="1"/>
  <c r="H107" i="1"/>
  <c r="H115" i="1"/>
  <c r="H123" i="1"/>
  <c r="H52" i="1"/>
  <c r="H60" i="1"/>
  <c r="H68" i="1"/>
  <c r="H76" i="1"/>
  <c r="H84" i="1"/>
  <c r="H92" i="1"/>
  <c r="H100" i="1"/>
  <c r="H108" i="1"/>
  <c r="H116" i="1"/>
  <c r="H124" i="1"/>
  <c r="H53" i="1"/>
  <c r="H85" i="1"/>
  <c r="H117" i="1"/>
  <c r="H57" i="1"/>
  <c r="H89" i="1"/>
  <c r="H121" i="1"/>
  <c r="H81" i="1"/>
  <c r="H61" i="1"/>
  <c r="H93" i="1"/>
  <c r="H109" i="1"/>
  <c r="H65" i="1"/>
  <c r="H97" i="1"/>
  <c r="H45" i="1"/>
  <c r="H77" i="1"/>
  <c r="H113" i="1"/>
  <c r="H69" i="1"/>
  <c r="H101" i="1"/>
  <c r="H73" i="1"/>
  <c r="H105" i="1"/>
  <c r="H49" i="1"/>
  <c r="I46" i="1"/>
  <c r="I54" i="1"/>
  <c r="I62" i="1"/>
  <c r="I70" i="1"/>
  <c r="I78" i="1"/>
  <c r="I86" i="1"/>
  <c r="I94" i="1"/>
  <c r="I102" i="1"/>
  <c r="I110" i="1"/>
  <c r="I118" i="1"/>
  <c r="I47" i="1"/>
  <c r="I55" i="1"/>
  <c r="I63" i="1"/>
  <c r="I71" i="1"/>
  <c r="I79" i="1"/>
  <c r="I87" i="1"/>
  <c r="I95" i="1"/>
  <c r="I103" i="1"/>
  <c r="I111" i="1"/>
  <c r="I119" i="1"/>
  <c r="I48" i="1"/>
  <c r="I56" i="1"/>
  <c r="I64" i="1"/>
  <c r="I72" i="1"/>
  <c r="I80" i="1"/>
  <c r="I88" i="1"/>
  <c r="I96" i="1"/>
  <c r="I104" i="1"/>
  <c r="I112" i="1"/>
  <c r="I120" i="1"/>
  <c r="I50" i="1"/>
  <c r="I58" i="1"/>
  <c r="I66" i="1"/>
  <c r="I74" i="1"/>
  <c r="I82" i="1"/>
  <c r="I90" i="1"/>
  <c r="I98" i="1"/>
  <c r="I106" i="1"/>
  <c r="I114" i="1"/>
  <c r="I122" i="1"/>
  <c r="I51" i="1"/>
  <c r="I59" i="1"/>
  <c r="I67" i="1"/>
  <c r="I75" i="1"/>
  <c r="I83" i="1"/>
  <c r="I91" i="1"/>
  <c r="I99" i="1"/>
  <c r="I107" i="1"/>
  <c r="I115" i="1"/>
  <c r="I123" i="1"/>
  <c r="I52" i="1"/>
  <c r="I60" i="1"/>
  <c r="I68" i="1"/>
  <c r="I76" i="1"/>
  <c r="I84" i="1"/>
  <c r="I92" i="1"/>
  <c r="I100" i="1"/>
  <c r="I108" i="1"/>
  <c r="I116" i="1"/>
  <c r="I124" i="1"/>
  <c r="I69" i="1"/>
  <c r="I101" i="1"/>
  <c r="I97" i="1"/>
  <c r="I73" i="1"/>
  <c r="I105" i="1"/>
  <c r="I61" i="1"/>
  <c r="I45" i="1"/>
  <c r="I77" i="1"/>
  <c r="I109" i="1"/>
  <c r="I93" i="1"/>
  <c r="I49" i="1"/>
  <c r="I81" i="1"/>
  <c r="I113" i="1"/>
  <c r="I65" i="1"/>
  <c r="I53" i="1"/>
  <c r="I85" i="1"/>
  <c r="I117" i="1"/>
  <c r="I57" i="1"/>
  <c r="I89" i="1"/>
  <c r="I121" i="1"/>
  <c r="E50" i="1"/>
  <c r="E58" i="1"/>
  <c r="E66" i="1"/>
  <c r="E74" i="1"/>
  <c r="E82" i="1"/>
  <c r="E90" i="1"/>
  <c r="E98" i="1"/>
  <c r="E106" i="1"/>
  <c r="E114" i="1"/>
  <c r="E122" i="1"/>
  <c r="E52" i="1"/>
  <c r="E60" i="1"/>
  <c r="E68" i="1"/>
  <c r="E76" i="1"/>
  <c r="E84" i="1"/>
  <c r="E92" i="1"/>
  <c r="E100" i="1"/>
  <c r="E108" i="1"/>
  <c r="E116" i="1"/>
  <c r="E124" i="1"/>
  <c r="E53" i="1"/>
  <c r="E61" i="1"/>
  <c r="E69" i="1"/>
  <c r="E77" i="1"/>
  <c r="E85" i="1"/>
  <c r="E93" i="1"/>
  <c r="E101" i="1"/>
  <c r="E109" i="1"/>
  <c r="E117" i="1"/>
  <c r="E47" i="1"/>
  <c r="E55" i="1"/>
  <c r="E63" i="1"/>
  <c r="E71" i="1"/>
  <c r="E79" i="1"/>
  <c r="E87" i="1"/>
  <c r="E95" i="1"/>
  <c r="E103" i="1"/>
  <c r="E111" i="1"/>
  <c r="E119" i="1"/>
  <c r="E51" i="1"/>
  <c r="E48" i="1"/>
  <c r="E56" i="1"/>
  <c r="E64" i="1"/>
  <c r="E72" i="1"/>
  <c r="E80" i="1"/>
  <c r="E88" i="1"/>
  <c r="E96" i="1"/>
  <c r="E104" i="1"/>
  <c r="E112" i="1"/>
  <c r="E120" i="1"/>
  <c r="E59" i="1"/>
  <c r="E49" i="1"/>
  <c r="E57" i="1"/>
  <c r="E65" i="1"/>
  <c r="E73" i="1"/>
  <c r="E81" i="1"/>
  <c r="E89" i="1"/>
  <c r="E97" i="1"/>
  <c r="E105" i="1"/>
  <c r="E113" i="1"/>
  <c r="E121" i="1"/>
  <c r="E83" i="1"/>
  <c r="E115" i="1"/>
  <c r="E107" i="1"/>
  <c r="E46" i="1"/>
  <c r="E86" i="1"/>
  <c r="E118" i="1"/>
  <c r="E54" i="1"/>
  <c r="E91" i="1"/>
  <c r="E123" i="1"/>
  <c r="E62" i="1"/>
  <c r="E94" i="1"/>
  <c r="E67" i="1"/>
  <c r="E99" i="1"/>
  <c r="E70" i="1"/>
  <c r="E102" i="1"/>
  <c r="E78" i="1"/>
  <c r="E110" i="1"/>
  <c r="E75" i="1"/>
  <c r="D5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tc={C69BEF49-08A0-40DD-B1A3-8B3A212A25EF}</author>
  </authors>
  <commentList>
    <comment ref="A30" authorId="0" shapeId="0" xr:uid="{C69BEF49-08A0-40DD-B1A3-8B3A212A25EF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Da cambiare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tc={D489FE98-8288-4316-91BE-072ED45A5D98}</author>
  </authors>
  <commentList>
    <comment ref="A1" authorId="0" shapeId="0" xr:uid="{D489FE98-8288-4316-91BE-072ED45A5D98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dati statistici</t>
      </text>
    </comment>
  </commentList>
</comments>
</file>

<file path=xl/sharedStrings.xml><?xml version="1.0" encoding="utf-8"?>
<sst xmlns="http://schemas.openxmlformats.org/spreadsheetml/2006/main" count="138" uniqueCount="113">
  <si>
    <t>Configurazione</t>
  </si>
  <si>
    <t>C_L</t>
  </si>
  <si>
    <t>W/S</t>
  </si>
  <si>
    <t>W/S (TAKEOFF - @CL=1.7)[lbs/ft^2]</t>
  </si>
  <si>
    <t>W/S (TAKEOFF - @CL=2.8)[lbs/ft^2]</t>
  </si>
  <si>
    <t>clean</t>
  </si>
  <si>
    <t>C_Lmax</t>
  </si>
  <si>
    <t>[N/m^2]</t>
  </si>
  <si>
    <t>[kg/m^s]</t>
  </si>
  <si>
    <t>take off</t>
  </si>
  <si>
    <t>C_Lmax_flapped2</t>
  </si>
  <si>
    <t>C_Lmax_flapped3</t>
  </si>
  <si>
    <t>W/S (LANDING - @CL=2.8)[lbs/ft^2]</t>
  </si>
  <si>
    <t>W/S (LANDING - @CL=2.9)[lbs/ft^2]</t>
  </si>
  <si>
    <t>W/S (LANDING - @CL=3)[lbs/ft^2]</t>
  </si>
  <si>
    <t>C_Lmax_flapped4</t>
  </si>
  <si>
    <t>landing</t>
  </si>
  <si>
    <t xml:space="preserve">C_Lmax_flapped5 </t>
  </si>
  <si>
    <t>C_Lmax_flapped6</t>
  </si>
  <si>
    <t>C_Lmax_flapped7</t>
  </si>
  <si>
    <t>Dati necessari</t>
  </si>
  <si>
    <t>Aerei simili</t>
  </si>
  <si>
    <t>Dati</t>
  </si>
  <si>
    <t>V_s_cleaned</t>
  </si>
  <si>
    <t>kts</t>
  </si>
  <si>
    <t>m/s</t>
  </si>
  <si>
    <t>ATR 72</t>
  </si>
  <si>
    <t>BA ATP</t>
  </si>
  <si>
    <t>saab 2000</t>
  </si>
  <si>
    <t>Q 400</t>
  </si>
  <si>
    <t>Xian MA60</t>
  </si>
  <si>
    <t>Ilyushin</t>
  </si>
  <si>
    <t>Media</t>
  </si>
  <si>
    <t>DABCM98</t>
  </si>
  <si>
    <t>DABCM99</t>
  </si>
  <si>
    <t>V_s flapped</t>
  </si>
  <si>
    <t>MTOW [lbs]</t>
  </si>
  <si>
    <t>Vstall_landing</t>
  </si>
  <si>
    <t>S [ft^2]</t>
  </si>
  <si>
    <t>Distanza di decollo (ricavata dagli aerei simili)</t>
  </si>
  <si>
    <t>ft</t>
  </si>
  <si>
    <t>m</t>
  </si>
  <si>
    <t>Take-off power [shp]</t>
  </si>
  <si>
    <t>Distanza di atterraggio (ricavata dagli aerei simili)</t>
  </si>
  <si>
    <t xml:space="preserve">W/S [psf] </t>
  </si>
  <si>
    <t>densità_SL</t>
  </si>
  <si>
    <t>kg/m^3</t>
  </si>
  <si>
    <t>W/P [lbs/hp]</t>
  </si>
  <si>
    <t>MTOW</t>
  </si>
  <si>
    <t>lbs</t>
  </si>
  <si>
    <t>AR</t>
  </si>
  <si>
    <t>sigma (airport 1)</t>
  </si>
  <si>
    <t>WL/MTOW</t>
  </si>
  <si>
    <t>eta_p</t>
  </si>
  <si>
    <t>CGR</t>
  </si>
  <si>
    <t>Mach cruise @25000 ft</t>
  </si>
  <si>
    <t>V_cruise</t>
  </si>
  <si>
    <t>km/h</t>
  </si>
  <si>
    <t>Quota</t>
  </si>
  <si>
    <t>W/S (TAKEOFF - @CL=1.7)</t>
  </si>
  <si>
    <t>W/S (TAKEOFF - @CL=28)</t>
  </si>
  <si>
    <t>sigma (cruise)</t>
  </si>
  <si>
    <t>Cruise Throttle</t>
  </si>
  <si>
    <t>k_z</t>
  </si>
  <si>
    <t>k_v</t>
  </si>
  <si>
    <t>I_p</t>
  </si>
  <si>
    <t>CL</t>
  </si>
  <si>
    <t>CD</t>
  </si>
  <si>
    <t>CGRP</t>
  </si>
  <si>
    <t>First segment OEI (25.111)</t>
  </si>
  <si>
    <t>Transition Climb OEI (25.121)</t>
  </si>
  <si>
    <t>Second segment OEI (25.121)</t>
  </si>
  <si>
    <t>Climb cruise OEI (25.121)</t>
  </si>
  <si>
    <t>Aborted landing AEO (25.119)</t>
  </si>
  <si>
    <t>Aborted landing OEI (25.121)</t>
  </si>
  <si>
    <t>Take off</t>
  </si>
  <si>
    <t>Climb</t>
  </si>
  <si>
    <t>Cruise</t>
  </si>
  <si>
    <t>W/S [lb/ft^2]</t>
  </si>
  <si>
    <t>W/P TAKE OFF [lb/hp] @CLmax=1.9</t>
  </si>
  <si>
    <t>W/P TAKE OFF [lb/hp]  @CLmax=2</t>
  </si>
  <si>
    <t>W/P TAKE OFF [lb/hp]  @CLmax=2.1</t>
  </si>
  <si>
    <t>W/P First segment OEI</t>
  </si>
  <si>
    <t>W/P Transition Climb OEI</t>
  </si>
  <si>
    <t xml:space="preserve">W/P Second segment OEI </t>
  </si>
  <si>
    <t xml:space="preserve">W/P Climb cruise OEI </t>
  </si>
  <si>
    <t>W/P Aborted landing AEO</t>
  </si>
  <si>
    <t>W/P  Aborted landing OEI</t>
  </si>
  <si>
    <t>W/P  cruise</t>
  </si>
  <si>
    <t>cf</t>
  </si>
  <si>
    <t>a</t>
  </si>
  <si>
    <t>b</t>
  </si>
  <si>
    <t>c</t>
  </si>
  <si>
    <t>d</t>
  </si>
  <si>
    <t>logSwet</t>
  </si>
  <si>
    <t>ft^2</t>
  </si>
  <si>
    <t>Swet</t>
  </si>
  <si>
    <t>mq</t>
  </si>
  <si>
    <t>f</t>
  </si>
  <si>
    <t>S</t>
  </si>
  <si>
    <t>Cdo</t>
  </si>
  <si>
    <t>Configuration</t>
  </si>
  <si>
    <t>ΔCDo</t>
  </si>
  <si>
    <t>e</t>
  </si>
  <si>
    <t>CL_max</t>
  </si>
  <si>
    <t xml:space="preserve">gear </t>
  </si>
  <si>
    <t>-</t>
  </si>
  <si>
    <t>elica ferma</t>
  </si>
  <si>
    <t>CD clean</t>
  </si>
  <si>
    <t>CD take-off no gear</t>
  </si>
  <si>
    <t>CD take-off gear</t>
  </si>
  <si>
    <t>CD landing no gear</t>
  </si>
  <si>
    <t>CD landing gear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</si>
</sst>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7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hair">
        <color theme="1" tint="4.9989318521683403E-2"/>
      </top>
      <bottom style="hair">
        <color theme="1" tint="4.9989318521683403E-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theme="1" tint="4.9989318521683403E-2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theme="1" tint="4.9989318521683403E-2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theme="1" tint="4.9989318521683403E-2"/>
      </bottom>
      <diagonal/>
    </border>
    <border>
      <left style="medium">
        <color indexed="64"/>
      </left>
      <right style="thin">
        <color rgb="FFB2B2B2"/>
      </right>
      <top/>
      <bottom/>
      <diagonal/>
    </border>
    <border>
      <left style="thin">
        <color rgb="FFB2B2B2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hair">
        <color theme="1" tint="4.9989318521683403E-2"/>
      </top>
      <bottom style="hair">
        <color theme="1" tint="4.9989318521683403E-2"/>
      </bottom>
      <diagonal/>
    </border>
    <border>
      <left style="thin">
        <color rgb="FFB2B2B2"/>
      </left>
      <right style="medium">
        <color indexed="64"/>
      </right>
      <top style="hair">
        <color theme="1" tint="4.9989318521683403E-2"/>
      </top>
      <bottom style="hair">
        <color theme="1" tint="4.9989318521683403E-2"/>
      </bottom>
      <diagonal/>
    </border>
    <border>
      <left style="medium">
        <color indexed="64"/>
      </left>
      <right style="thin">
        <color rgb="FFB2B2B2"/>
      </right>
      <top style="hair">
        <color theme="1" tint="4.9989318521683403E-2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hair">
        <color theme="1" tint="4.9989318521683403E-2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hair">
        <color theme="1" tint="4.9989318521683403E-2"/>
      </top>
      <bottom style="medium">
        <color indexed="64"/>
      </bottom>
      <diagonal/>
    </border>
  </borders>
  <cellStyleXfs count="6">
    <xf numFmtId="0" fontId="0" fillId="0" borderId="0"/>
    <xf numFmtId="0" fontId="3" fillId="2" borderId="1" applyNumberFormat="0" applyFont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</cellStyleXfs>
  <cellXfs count="4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2" fillId="0" borderId="0" xfId="0" applyFont="1"/>
    <xf numFmtId="0" fontId="3" fillId="5" borderId="4" xfId="4" applyBorder="1"/>
    <xf numFmtId="0" fontId="3" fillId="5" borderId="5" xfId="4" applyBorder="1"/>
    <xf numFmtId="0" fontId="3" fillId="5" borderId="7" xfId="4" applyBorder="1"/>
    <xf numFmtId="0" fontId="3" fillId="5" borderId="8" xfId="4" applyBorder="1"/>
    <xf numFmtId="0" fontId="3" fillId="5" borderId="10" xfId="4" applyBorder="1"/>
    <xf numFmtId="0" fontId="3" fillId="5" borderId="11" xfId="4" applyBorder="1"/>
    <xf numFmtId="0" fontId="0" fillId="5" borderId="9" xfId="4" applyFont="1" applyBorder="1" applyAlignment="1">
      <alignment horizontal="center"/>
    </xf>
    <xf numFmtId="0" fontId="3" fillId="5" borderId="9" xfId="4" applyBorder="1" applyAlignment="1">
      <alignment horizontal="center"/>
    </xf>
    <xf numFmtId="0" fontId="0" fillId="2" borderId="17" xfId="1" applyFont="1" applyBorder="1"/>
    <xf numFmtId="0" fontId="0" fillId="0" borderId="0" xfId="0"/>
    <xf numFmtId="0" fontId="4" fillId="4" borderId="18" xfId="3" applyBorder="1" applyAlignment="1">
      <alignment horizontal="center"/>
    </xf>
    <xf numFmtId="0" fontId="3" fillId="3" borderId="0" xfId="2" applyBorder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0" fillId="0" borderId="0" xfId="0" applyNumberFormat="1"/>
    <xf numFmtId="0" fontId="6" fillId="0" borderId="0" xfId="0" applyFont="1"/>
    <xf numFmtId="0" fontId="4" fillId="4" borderId="22" xfId="3" applyBorder="1" applyAlignment="1">
      <alignment horizontal="center"/>
    </xf>
    <xf numFmtId="0" fontId="4" fillId="4" borderId="23" xfId="3" applyBorder="1" applyAlignment="1">
      <alignment horizontal="center"/>
    </xf>
    <xf numFmtId="0" fontId="0" fillId="2" borderId="24" xfId="1" applyFont="1" applyBorder="1"/>
    <xf numFmtId="0" fontId="0" fillId="2" borderId="25" xfId="1" applyFont="1" applyBorder="1"/>
    <xf numFmtId="0" fontId="0" fillId="2" borderId="26" xfId="1" applyFont="1" applyBorder="1"/>
    <xf numFmtId="0" fontId="0" fillId="2" borderId="27" xfId="1" applyFont="1" applyBorder="1"/>
    <xf numFmtId="0" fontId="0" fillId="2" borderId="28" xfId="1" applyFont="1" applyBorder="1"/>
    <xf numFmtId="0" fontId="3" fillId="5" borderId="15" xfId="4" applyBorder="1" applyAlignment="1">
      <alignment horizontal="center"/>
    </xf>
    <xf numFmtId="0" fontId="3" fillId="5" borderId="14" xfId="4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4" fillId="4" borderId="19" xfId="3" applyBorder="1" applyAlignment="1">
      <alignment horizontal="center"/>
    </xf>
    <xf numFmtId="0" fontId="4" fillId="4" borderId="20" xfId="3" applyBorder="1" applyAlignment="1">
      <alignment horizontal="center"/>
    </xf>
    <xf numFmtId="0" fontId="4" fillId="4" borderId="21" xfId="3" applyBorder="1" applyAlignment="1">
      <alignment horizontal="center"/>
    </xf>
    <xf numFmtId="0" fontId="5" fillId="4" borderId="0" xfId="3" applyFont="1" applyAlignment="1">
      <alignment horizontal="center"/>
    </xf>
    <xf numFmtId="0" fontId="4" fillId="4" borderId="0" xfId="3" applyAlignment="1">
      <alignment horizontal="center"/>
    </xf>
    <xf numFmtId="0" fontId="5" fillId="6" borderId="0" xfId="5" applyFont="1" applyAlignment="1">
      <alignment horizontal="center"/>
    </xf>
    <xf numFmtId="0" fontId="4" fillId="6" borderId="0" xfId="5" applyAlignment="1">
      <alignment horizontal="center"/>
    </xf>
    <xf numFmtId="0" fontId="3" fillId="5" borderId="2" xfId="4" applyBorder="1" applyAlignment="1">
      <alignment horizontal="center" textRotation="45"/>
    </xf>
    <xf numFmtId="0" fontId="3" fillId="5" borderId="3" xfId="4" applyBorder="1" applyAlignment="1">
      <alignment horizontal="center" textRotation="45"/>
    </xf>
    <xf numFmtId="0" fontId="3" fillId="5" borderId="6" xfId="4" applyBorder="1" applyAlignment="1">
      <alignment horizontal="center" textRotation="45"/>
    </xf>
    <xf numFmtId="0" fontId="3" fillId="3" borderId="12" xfId="2" applyBorder="1" applyAlignment="1">
      <alignment horizontal="center"/>
    </xf>
    <xf numFmtId="0" fontId="3" fillId="3" borderId="13" xfId="2" applyBorder="1" applyAlignment="1">
      <alignment horizontal="center"/>
    </xf>
    <xf numFmtId="0" fontId="3" fillId="3" borderId="14" xfId="2" applyBorder="1" applyAlignment="1">
      <alignment horizontal="center"/>
    </xf>
  </cellXfs>
  <cellStyles count="6">
    <cellStyle name="20% - Colore 1" xfId="2" builtinId="30"/>
    <cellStyle name="20% - Colore 5" xfId="4" builtinId="46"/>
    <cellStyle name="Colore 2" xfId="3" builtinId="33"/>
    <cellStyle name="Colore 6" xfId="5" builtinId="49"/>
    <cellStyle name="Normale" xfId="0" builtinId="0"/>
    <cellStyle name="Nota" xfId="1" builtinId="1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Punto di progetto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8925783214405427E-2"/>
          <c:y val="0.1453653654141"/>
          <c:w val="0.65618844260625897"/>
          <c:h val="0.72750374985038968"/>
        </c:manualLayout>
      </c:layout>
      <c:scatterChart>
        <c:scatterStyle val="smoothMarker"/>
        <c:varyColors val="0"/>
        <c:ser>
          <c:idx val="0"/>
          <c:order val="0"/>
          <c:tx>
            <c:v>TOFL (CL=1.9)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Foglio1!$A$45:$A$125</c:f>
              <c:numCache>
                <c:formatCode>General</c:formatCode>
                <c:ptCount val="81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  <c:pt idx="75">
                  <c:v>96</c:v>
                </c:pt>
                <c:pt idx="76">
                  <c:v>97</c:v>
                </c:pt>
                <c:pt idx="77">
                  <c:v>98</c:v>
                </c:pt>
                <c:pt idx="78">
                  <c:v>99</c:v>
                </c:pt>
                <c:pt idx="79">
                  <c:v>100</c:v>
                </c:pt>
              </c:numCache>
            </c:numRef>
          </c:xVal>
          <c:yVal>
            <c:numRef>
              <c:f>Foglio1!$B$45:$B$125</c:f>
              <c:numCache>
                <c:formatCode>General</c:formatCode>
                <c:ptCount val="81"/>
                <c:pt idx="0">
                  <c:v>27.022222222222219</c:v>
                </c:pt>
                <c:pt idx="1">
                  <c:v>25.79393939393939</c:v>
                </c:pt>
                <c:pt idx="2">
                  <c:v>24.672463768115939</c:v>
                </c:pt>
                <c:pt idx="3">
                  <c:v>23.644444444444442</c:v>
                </c:pt>
                <c:pt idx="4">
                  <c:v>22.698666666666664</c:v>
                </c:pt>
                <c:pt idx="5">
                  <c:v>21.825641025641023</c:v>
                </c:pt>
                <c:pt idx="6">
                  <c:v>21.01728395061728</c:v>
                </c:pt>
                <c:pt idx="7">
                  <c:v>20.266666666666662</c:v>
                </c:pt>
                <c:pt idx="8">
                  <c:v>19.567816091954018</c:v>
                </c:pt>
                <c:pt idx="9">
                  <c:v>18.915555555555553</c:v>
                </c:pt>
                <c:pt idx="10">
                  <c:v>18.305376344086017</c:v>
                </c:pt>
                <c:pt idx="11">
                  <c:v>17.733333333333331</c:v>
                </c:pt>
                <c:pt idx="12">
                  <c:v>17.195959595959593</c:v>
                </c:pt>
                <c:pt idx="13">
                  <c:v>16.69019607843137</c:v>
                </c:pt>
                <c:pt idx="14">
                  <c:v>16.213333333333331</c:v>
                </c:pt>
                <c:pt idx="15">
                  <c:v>15.762962962962961</c:v>
                </c:pt>
                <c:pt idx="16">
                  <c:v>15.336936936936935</c:v>
                </c:pt>
                <c:pt idx="17">
                  <c:v>14.93333333333333</c:v>
                </c:pt>
                <c:pt idx="18">
                  <c:v>14.550427350427348</c:v>
                </c:pt>
                <c:pt idx="19">
                  <c:v>14.186666666666664</c:v>
                </c:pt>
                <c:pt idx="20">
                  <c:v>13.840650406504063</c:v>
                </c:pt>
                <c:pt idx="21">
                  <c:v>13.511111111111109</c:v>
                </c:pt>
                <c:pt idx="22">
                  <c:v>13.196899224806199</c:v>
                </c:pt>
                <c:pt idx="23">
                  <c:v>12.896969696969695</c:v>
                </c:pt>
                <c:pt idx="24">
                  <c:v>12.610370370370369</c:v>
                </c:pt>
                <c:pt idx="25">
                  <c:v>12.33623188405797</c:v>
                </c:pt>
                <c:pt idx="26">
                  <c:v>12.073758865248225</c:v>
                </c:pt>
                <c:pt idx="27">
                  <c:v>11.822222222222221</c:v>
                </c:pt>
                <c:pt idx="28">
                  <c:v>11.580952380952379</c:v>
                </c:pt>
                <c:pt idx="29">
                  <c:v>11.349333333333332</c:v>
                </c:pt>
                <c:pt idx="30">
                  <c:v>11.126797385620913</c:v>
                </c:pt>
                <c:pt idx="31">
                  <c:v>10.912820512820511</c:v>
                </c:pt>
                <c:pt idx="32">
                  <c:v>10.706918238993708</c:v>
                </c:pt>
                <c:pt idx="33">
                  <c:v>10.50864197530864</c:v>
                </c:pt>
                <c:pt idx="34">
                  <c:v>10.317575757575757</c:v>
                </c:pt>
                <c:pt idx="35">
                  <c:v>10.133333333333331</c:v>
                </c:pt>
                <c:pt idx="36">
                  <c:v>9.9555555555555539</c:v>
                </c:pt>
                <c:pt idx="37">
                  <c:v>9.7839080459770091</c:v>
                </c:pt>
                <c:pt idx="38">
                  <c:v>9.6180790960451965</c:v>
                </c:pt>
                <c:pt idx="39">
                  <c:v>9.4577777777777765</c:v>
                </c:pt>
                <c:pt idx="40">
                  <c:v>9.3027322404371571</c:v>
                </c:pt>
                <c:pt idx="41">
                  <c:v>9.1526881720430087</c:v>
                </c:pt>
                <c:pt idx="42">
                  <c:v>9.0074074074074062</c:v>
                </c:pt>
                <c:pt idx="43">
                  <c:v>8.8666666666666654</c:v>
                </c:pt>
                <c:pt idx="44">
                  <c:v>8.7302564102564091</c:v>
                </c:pt>
                <c:pt idx="45">
                  <c:v>8.5979797979797965</c:v>
                </c:pt>
                <c:pt idx="46">
                  <c:v>8.4696517412935304</c:v>
                </c:pt>
                <c:pt idx="47">
                  <c:v>8.345098039215685</c:v>
                </c:pt>
                <c:pt idx="48">
                  <c:v>8.2241545893719792</c:v>
                </c:pt>
                <c:pt idx="49">
                  <c:v>8.1066666666666656</c:v>
                </c:pt>
                <c:pt idx="50">
                  <c:v>7.9924882629107969</c:v>
                </c:pt>
                <c:pt idx="51">
                  <c:v>7.8814814814814804</c:v>
                </c:pt>
                <c:pt idx="52">
                  <c:v>7.7735159817351587</c:v>
                </c:pt>
                <c:pt idx="53">
                  <c:v>7.6684684684684674</c:v>
                </c:pt>
                <c:pt idx="54">
                  <c:v>7.5662222222222209</c:v>
                </c:pt>
                <c:pt idx="55">
                  <c:v>7.466666666666665</c:v>
                </c:pt>
                <c:pt idx="56">
                  <c:v>7.3696969696969683</c:v>
                </c:pt>
                <c:pt idx="57">
                  <c:v>7.2752136752136742</c:v>
                </c:pt>
                <c:pt idx="58">
                  <c:v>7.1831223628691969</c:v>
                </c:pt>
                <c:pt idx="59">
                  <c:v>7.0933333333333319</c:v>
                </c:pt>
                <c:pt idx="60">
                  <c:v>7.0057613168724266</c:v>
                </c:pt>
                <c:pt idx="61">
                  <c:v>6.9203252032520313</c:v>
                </c:pt>
                <c:pt idx="62">
                  <c:v>6.8369477911646577</c:v>
                </c:pt>
                <c:pt idx="63">
                  <c:v>6.7555555555555546</c:v>
                </c:pt>
                <c:pt idx="64">
                  <c:v>6.6760784313725479</c:v>
                </c:pt>
                <c:pt idx="65">
                  <c:v>6.5984496124030994</c:v>
                </c:pt>
                <c:pt idx="66">
                  <c:v>6.5226053639846731</c:v>
                </c:pt>
                <c:pt idx="67">
                  <c:v>6.4484848484848474</c:v>
                </c:pt>
                <c:pt idx="68">
                  <c:v>6.3760299625468155</c:v>
                </c:pt>
                <c:pt idx="69">
                  <c:v>6.3051851851851843</c:v>
                </c:pt>
                <c:pt idx="70">
                  <c:v>6.2358974358974351</c:v>
                </c:pt>
                <c:pt idx="71">
                  <c:v>6.1681159420289848</c:v>
                </c:pt>
                <c:pt idx="72">
                  <c:v>6.1017921146953391</c:v>
                </c:pt>
                <c:pt idx="73">
                  <c:v>6.0368794326241124</c:v>
                </c:pt>
                <c:pt idx="74">
                  <c:v>5.9733333333333327</c:v>
                </c:pt>
                <c:pt idx="75">
                  <c:v>5.9111111111111105</c:v>
                </c:pt>
                <c:pt idx="76">
                  <c:v>5.8501718213058407</c:v>
                </c:pt>
                <c:pt idx="77">
                  <c:v>5.7904761904761894</c:v>
                </c:pt>
                <c:pt idx="78">
                  <c:v>5.7319865319865313</c:v>
                </c:pt>
                <c:pt idx="79">
                  <c:v>5.6746666666666661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11-4F94-812F-5049D11D8D86}"/>
            </c:ext>
          </c:extLst>
        </c:ser>
        <c:ser>
          <c:idx val="1"/>
          <c:order val="1"/>
          <c:tx>
            <c:v>Vs_cleaned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Foglio1!$H$26:$H$27</c:f>
              <c:numCache>
                <c:formatCode>General</c:formatCode>
                <c:ptCount val="2"/>
                <c:pt idx="0">
                  <c:v>87.245758368336467</c:v>
                </c:pt>
                <c:pt idx="1">
                  <c:v>87.245758368336467</c:v>
                </c:pt>
              </c:numCache>
            </c:numRef>
          </c:xVal>
          <c:yVal>
            <c:numRef>
              <c:f>Foglio1!$G$26:$G$27</c:f>
              <c:numCache>
                <c:formatCode>General</c:formatCode>
                <c:ptCount val="2"/>
                <c:pt idx="0">
                  <c:v>0</c:v>
                </c:pt>
                <c:pt idx="1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011-4F94-812F-5049D11D8D86}"/>
            </c:ext>
          </c:extLst>
        </c:ser>
        <c:ser>
          <c:idx val="2"/>
          <c:order val="2"/>
          <c:tx>
            <c:v>Vs_flapped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Foglio1!$I$26:$I$27</c:f>
              <c:numCache>
                <c:formatCode>General</c:formatCode>
                <c:ptCount val="2"/>
                <c:pt idx="0">
                  <c:v>82.788096907210232</c:v>
                </c:pt>
                <c:pt idx="1">
                  <c:v>82.788096907210232</c:v>
                </c:pt>
              </c:numCache>
            </c:numRef>
          </c:xVal>
          <c:yVal>
            <c:numRef>
              <c:f>Foglio1!$G$26:$G$27</c:f>
              <c:numCache>
                <c:formatCode>General</c:formatCode>
                <c:ptCount val="2"/>
                <c:pt idx="0">
                  <c:v>0</c:v>
                </c:pt>
                <c:pt idx="1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011-4F94-812F-5049D11D8D86}"/>
            </c:ext>
          </c:extLst>
        </c:ser>
        <c:ser>
          <c:idx val="3"/>
          <c:order val="3"/>
          <c:tx>
            <c:v>TOFL (CL=2)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Foglio1!$A$45:$A$125</c:f>
              <c:numCache>
                <c:formatCode>General</c:formatCode>
                <c:ptCount val="81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  <c:pt idx="75">
                  <c:v>96</c:v>
                </c:pt>
                <c:pt idx="76">
                  <c:v>97</c:v>
                </c:pt>
                <c:pt idx="77">
                  <c:v>98</c:v>
                </c:pt>
                <c:pt idx="78">
                  <c:v>99</c:v>
                </c:pt>
                <c:pt idx="79">
                  <c:v>100</c:v>
                </c:pt>
              </c:numCache>
            </c:numRef>
          </c:xVal>
          <c:yVal>
            <c:numRef>
              <c:f>Foglio1!$C$45:$C$125</c:f>
              <c:numCache>
                <c:formatCode>General</c:formatCode>
                <c:ptCount val="81"/>
                <c:pt idx="0">
                  <c:v>28.444444444444443</c:v>
                </c:pt>
                <c:pt idx="1">
                  <c:v>27.151515151515152</c:v>
                </c:pt>
                <c:pt idx="2">
                  <c:v>25.971014492753625</c:v>
                </c:pt>
                <c:pt idx="3">
                  <c:v>24.888888888888889</c:v>
                </c:pt>
                <c:pt idx="4">
                  <c:v>23.893333333333334</c:v>
                </c:pt>
                <c:pt idx="5">
                  <c:v>22.974358974358974</c:v>
                </c:pt>
                <c:pt idx="6">
                  <c:v>22.123456790123456</c:v>
                </c:pt>
                <c:pt idx="7">
                  <c:v>21.333333333333332</c:v>
                </c:pt>
                <c:pt idx="8">
                  <c:v>20.597701149425287</c:v>
                </c:pt>
                <c:pt idx="9">
                  <c:v>19.911111111111111</c:v>
                </c:pt>
                <c:pt idx="10">
                  <c:v>19.268817204301076</c:v>
                </c:pt>
                <c:pt idx="11">
                  <c:v>18.666666666666668</c:v>
                </c:pt>
                <c:pt idx="12">
                  <c:v>18.1010101010101</c:v>
                </c:pt>
                <c:pt idx="13">
                  <c:v>17.568627450980394</c:v>
                </c:pt>
                <c:pt idx="14">
                  <c:v>17.066666666666666</c:v>
                </c:pt>
                <c:pt idx="15">
                  <c:v>16.592592592592592</c:v>
                </c:pt>
                <c:pt idx="16">
                  <c:v>16.144144144144143</c:v>
                </c:pt>
                <c:pt idx="17">
                  <c:v>15.719298245614034</c:v>
                </c:pt>
                <c:pt idx="18">
                  <c:v>15.316239316239317</c:v>
                </c:pt>
                <c:pt idx="19">
                  <c:v>14.933333333333334</c:v>
                </c:pt>
                <c:pt idx="20">
                  <c:v>14.56910569105691</c:v>
                </c:pt>
                <c:pt idx="21">
                  <c:v>14.222222222222221</c:v>
                </c:pt>
                <c:pt idx="22">
                  <c:v>13.891472868217054</c:v>
                </c:pt>
                <c:pt idx="23">
                  <c:v>13.575757575757576</c:v>
                </c:pt>
                <c:pt idx="24">
                  <c:v>13.274074074074074</c:v>
                </c:pt>
                <c:pt idx="25">
                  <c:v>12.985507246376812</c:v>
                </c:pt>
                <c:pt idx="26">
                  <c:v>12.709219858156029</c:v>
                </c:pt>
                <c:pt idx="27">
                  <c:v>12.444444444444445</c:v>
                </c:pt>
                <c:pt idx="28">
                  <c:v>12.19047619047619</c:v>
                </c:pt>
                <c:pt idx="29">
                  <c:v>11.946666666666667</c:v>
                </c:pt>
                <c:pt idx="30">
                  <c:v>11.712418300653594</c:v>
                </c:pt>
                <c:pt idx="31">
                  <c:v>11.487179487179487</c:v>
                </c:pt>
                <c:pt idx="32">
                  <c:v>11.270440251572326</c:v>
                </c:pt>
                <c:pt idx="33">
                  <c:v>11.061728395061728</c:v>
                </c:pt>
                <c:pt idx="34">
                  <c:v>10.860606060606061</c:v>
                </c:pt>
                <c:pt idx="35">
                  <c:v>10.666666666666666</c:v>
                </c:pt>
                <c:pt idx="36">
                  <c:v>10.479532163742689</c:v>
                </c:pt>
                <c:pt idx="37">
                  <c:v>10.298850574712644</c:v>
                </c:pt>
                <c:pt idx="38">
                  <c:v>10.124293785310735</c:v>
                </c:pt>
                <c:pt idx="39">
                  <c:v>9.9555555555555557</c:v>
                </c:pt>
                <c:pt idx="40">
                  <c:v>9.7923497267759565</c:v>
                </c:pt>
                <c:pt idx="41">
                  <c:v>9.634408602150538</c:v>
                </c:pt>
                <c:pt idx="42">
                  <c:v>9.481481481481481</c:v>
                </c:pt>
                <c:pt idx="43">
                  <c:v>9.3333333333333339</c:v>
                </c:pt>
                <c:pt idx="44">
                  <c:v>9.1897435897435891</c:v>
                </c:pt>
                <c:pt idx="45">
                  <c:v>9.0505050505050502</c:v>
                </c:pt>
                <c:pt idx="46">
                  <c:v>8.9154228855721396</c:v>
                </c:pt>
                <c:pt idx="47">
                  <c:v>8.7843137254901968</c:v>
                </c:pt>
                <c:pt idx="48">
                  <c:v>8.6570048309178738</c:v>
                </c:pt>
                <c:pt idx="49">
                  <c:v>8.5333333333333332</c:v>
                </c:pt>
                <c:pt idx="50">
                  <c:v>8.4131455399061039</c:v>
                </c:pt>
                <c:pt idx="51">
                  <c:v>8.2962962962962958</c:v>
                </c:pt>
                <c:pt idx="52">
                  <c:v>8.1826484018264836</c:v>
                </c:pt>
                <c:pt idx="53">
                  <c:v>8.0720720720720713</c:v>
                </c:pt>
                <c:pt idx="54">
                  <c:v>7.9644444444444442</c:v>
                </c:pt>
                <c:pt idx="55">
                  <c:v>7.8596491228070171</c:v>
                </c:pt>
                <c:pt idx="56">
                  <c:v>7.7575757575757578</c:v>
                </c:pt>
                <c:pt idx="57">
                  <c:v>7.6581196581196584</c:v>
                </c:pt>
                <c:pt idx="58">
                  <c:v>7.5611814345991561</c:v>
                </c:pt>
                <c:pt idx="59">
                  <c:v>7.4666666666666668</c:v>
                </c:pt>
                <c:pt idx="60">
                  <c:v>7.3744855967078191</c:v>
                </c:pt>
                <c:pt idx="61">
                  <c:v>7.2845528455284549</c:v>
                </c:pt>
                <c:pt idx="62">
                  <c:v>7.1967871485943773</c:v>
                </c:pt>
                <c:pt idx="63">
                  <c:v>7.1111111111111107</c:v>
                </c:pt>
                <c:pt idx="64">
                  <c:v>7.0274509803921568</c:v>
                </c:pt>
                <c:pt idx="65">
                  <c:v>6.945736434108527</c:v>
                </c:pt>
                <c:pt idx="66">
                  <c:v>6.8659003831417627</c:v>
                </c:pt>
                <c:pt idx="67">
                  <c:v>6.7878787878787881</c:v>
                </c:pt>
                <c:pt idx="68">
                  <c:v>6.7116104868913862</c:v>
                </c:pt>
                <c:pt idx="69">
                  <c:v>6.6370370370370368</c:v>
                </c:pt>
                <c:pt idx="70">
                  <c:v>6.5641025641025639</c:v>
                </c:pt>
                <c:pt idx="71">
                  <c:v>6.4927536231884062</c:v>
                </c:pt>
                <c:pt idx="72">
                  <c:v>6.4229390681003586</c:v>
                </c:pt>
                <c:pt idx="73">
                  <c:v>6.3546099290780145</c:v>
                </c:pt>
                <c:pt idx="74">
                  <c:v>6.287719298245614</c:v>
                </c:pt>
                <c:pt idx="75">
                  <c:v>6.2222222222222223</c:v>
                </c:pt>
                <c:pt idx="76">
                  <c:v>6.1580756013745708</c:v>
                </c:pt>
                <c:pt idx="77">
                  <c:v>6.0952380952380949</c:v>
                </c:pt>
                <c:pt idx="78">
                  <c:v>6.0336700336700337</c:v>
                </c:pt>
                <c:pt idx="79">
                  <c:v>5.9733333333333336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A9-4FEC-BF6E-915368FB1DC0}"/>
            </c:ext>
          </c:extLst>
        </c:ser>
        <c:ser>
          <c:idx val="4"/>
          <c:order val="4"/>
          <c:tx>
            <c:v>TOFL (CL=2.1)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Foglio1!$A$45:$A$125</c:f>
              <c:numCache>
                <c:formatCode>General</c:formatCode>
                <c:ptCount val="81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  <c:pt idx="75">
                  <c:v>96</c:v>
                </c:pt>
                <c:pt idx="76">
                  <c:v>97</c:v>
                </c:pt>
                <c:pt idx="77">
                  <c:v>98</c:v>
                </c:pt>
                <c:pt idx="78">
                  <c:v>99</c:v>
                </c:pt>
                <c:pt idx="79">
                  <c:v>100</c:v>
                </c:pt>
              </c:numCache>
            </c:numRef>
          </c:xVal>
          <c:yVal>
            <c:numRef>
              <c:f>Foglio1!$D$45:$D$125</c:f>
              <c:numCache>
                <c:formatCode>General</c:formatCode>
                <c:ptCount val="81"/>
                <c:pt idx="0">
                  <c:v>29.866666666666667</c:v>
                </c:pt>
                <c:pt idx="1">
                  <c:v>28.509090909090908</c:v>
                </c:pt>
                <c:pt idx="2">
                  <c:v>27.269565217391303</c:v>
                </c:pt>
                <c:pt idx="3">
                  <c:v>26.133333333333333</c:v>
                </c:pt>
                <c:pt idx="4">
                  <c:v>25.088000000000001</c:v>
                </c:pt>
                <c:pt idx="5">
                  <c:v>24.123076923076923</c:v>
                </c:pt>
                <c:pt idx="6">
                  <c:v>23.229629629629631</c:v>
                </c:pt>
                <c:pt idx="7">
                  <c:v>22.4</c:v>
                </c:pt>
                <c:pt idx="8">
                  <c:v>21.627586206896552</c:v>
                </c:pt>
                <c:pt idx="9">
                  <c:v>20.906666666666666</c:v>
                </c:pt>
                <c:pt idx="10">
                  <c:v>20.232258064516127</c:v>
                </c:pt>
                <c:pt idx="11">
                  <c:v>19.600000000000001</c:v>
                </c:pt>
                <c:pt idx="12">
                  <c:v>19.006060606060608</c:v>
                </c:pt>
                <c:pt idx="13">
                  <c:v>18.44705882352941</c:v>
                </c:pt>
                <c:pt idx="14">
                  <c:v>17.920000000000002</c:v>
                </c:pt>
                <c:pt idx="15">
                  <c:v>17.422222222222221</c:v>
                </c:pt>
                <c:pt idx="16">
                  <c:v>16.951351351351352</c:v>
                </c:pt>
                <c:pt idx="17">
                  <c:v>16.505263157894738</c:v>
                </c:pt>
                <c:pt idx="18">
                  <c:v>16.082051282051282</c:v>
                </c:pt>
                <c:pt idx="19">
                  <c:v>15.68</c:v>
                </c:pt>
                <c:pt idx="20">
                  <c:v>15.297560975609755</c:v>
                </c:pt>
                <c:pt idx="21">
                  <c:v>14.933333333333334</c:v>
                </c:pt>
                <c:pt idx="22">
                  <c:v>14.586046511627908</c:v>
                </c:pt>
                <c:pt idx="23">
                  <c:v>14.254545454545454</c:v>
                </c:pt>
                <c:pt idx="24">
                  <c:v>13.937777777777777</c:v>
                </c:pt>
                <c:pt idx="25">
                  <c:v>13.634782608695652</c:v>
                </c:pt>
                <c:pt idx="26">
                  <c:v>13.34468085106383</c:v>
                </c:pt>
                <c:pt idx="27">
                  <c:v>13.066666666666666</c:v>
                </c:pt>
                <c:pt idx="28">
                  <c:v>12.8</c:v>
                </c:pt>
                <c:pt idx="29">
                  <c:v>12.544</c:v>
                </c:pt>
                <c:pt idx="30">
                  <c:v>12.298039215686275</c:v>
                </c:pt>
                <c:pt idx="31">
                  <c:v>12.061538461538461</c:v>
                </c:pt>
                <c:pt idx="32">
                  <c:v>11.833962264150943</c:v>
                </c:pt>
                <c:pt idx="33">
                  <c:v>11.614814814814816</c:v>
                </c:pt>
                <c:pt idx="34">
                  <c:v>11.403636363636364</c:v>
                </c:pt>
                <c:pt idx="35">
                  <c:v>11.2</c:v>
                </c:pt>
                <c:pt idx="36">
                  <c:v>11.003508771929825</c:v>
                </c:pt>
                <c:pt idx="37">
                  <c:v>10.813793103448276</c:v>
                </c:pt>
                <c:pt idx="38">
                  <c:v>10.630508474576271</c:v>
                </c:pt>
                <c:pt idx="39">
                  <c:v>10.453333333333333</c:v>
                </c:pt>
                <c:pt idx="40">
                  <c:v>10.281967213114754</c:v>
                </c:pt>
                <c:pt idx="41">
                  <c:v>10.116129032258064</c:v>
                </c:pt>
                <c:pt idx="42">
                  <c:v>9.9555555555555557</c:v>
                </c:pt>
                <c:pt idx="43">
                  <c:v>9.8000000000000007</c:v>
                </c:pt>
                <c:pt idx="44">
                  <c:v>9.6492307692307691</c:v>
                </c:pt>
                <c:pt idx="45">
                  <c:v>9.5030303030303038</c:v>
                </c:pt>
                <c:pt idx="46">
                  <c:v>9.361194029850747</c:v>
                </c:pt>
                <c:pt idx="47">
                  <c:v>9.2235294117647051</c:v>
                </c:pt>
                <c:pt idx="48">
                  <c:v>9.0898550724637683</c:v>
                </c:pt>
                <c:pt idx="49">
                  <c:v>8.9600000000000009</c:v>
                </c:pt>
                <c:pt idx="50">
                  <c:v>8.8338028169014091</c:v>
                </c:pt>
                <c:pt idx="51">
                  <c:v>8.7111111111111104</c:v>
                </c:pt>
                <c:pt idx="52">
                  <c:v>8.5917808219178085</c:v>
                </c:pt>
                <c:pt idx="53">
                  <c:v>8.4756756756756761</c:v>
                </c:pt>
                <c:pt idx="54">
                  <c:v>8.3626666666666658</c:v>
                </c:pt>
                <c:pt idx="55">
                  <c:v>8.2526315789473692</c:v>
                </c:pt>
                <c:pt idx="56">
                  <c:v>8.1454545454545446</c:v>
                </c:pt>
                <c:pt idx="57">
                  <c:v>8.0410256410256409</c:v>
                </c:pt>
                <c:pt idx="58">
                  <c:v>7.9392405063291136</c:v>
                </c:pt>
                <c:pt idx="59">
                  <c:v>7.84</c:v>
                </c:pt>
                <c:pt idx="60">
                  <c:v>7.7432098765432098</c:v>
                </c:pt>
                <c:pt idx="61">
                  <c:v>7.6487804878048777</c:v>
                </c:pt>
                <c:pt idx="62">
                  <c:v>7.556626506024096</c:v>
                </c:pt>
                <c:pt idx="63">
                  <c:v>7.4666666666666668</c:v>
                </c:pt>
                <c:pt idx="64">
                  <c:v>7.3788235294117648</c:v>
                </c:pt>
                <c:pt idx="65">
                  <c:v>7.2930232558139538</c:v>
                </c:pt>
                <c:pt idx="66">
                  <c:v>7.2091954022988505</c:v>
                </c:pt>
                <c:pt idx="67">
                  <c:v>7.127272727272727</c:v>
                </c:pt>
                <c:pt idx="68">
                  <c:v>7.047191011235955</c:v>
                </c:pt>
                <c:pt idx="69">
                  <c:v>6.9688888888888885</c:v>
                </c:pt>
                <c:pt idx="70">
                  <c:v>6.8923076923076927</c:v>
                </c:pt>
                <c:pt idx="71">
                  <c:v>6.8173913043478258</c:v>
                </c:pt>
                <c:pt idx="72">
                  <c:v>6.7440860215053764</c:v>
                </c:pt>
                <c:pt idx="73">
                  <c:v>6.6723404255319148</c:v>
                </c:pt>
                <c:pt idx="74">
                  <c:v>6.6021052631578945</c:v>
                </c:pt>
                <c:pt idx="75">
                  <c:v>6.5333333333333332</c:v>
                </c:pt>
                <c:pt idx="76">
                  <c:v>6.4659793814432991</c:v>
                </c:pt>
                <c:pt idx="77">
                  <c:v>6.4</c:v>
                </c:pt>
                <c:pt idx="78">
                  <c:v>6.3353535353535353</c:v>
                </c:pt>
                <c:pt idx="79">
                  <c:v>6.2720000000000002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A9-4FEC-BF6E-915368FB1DC0}"/>
            </c:ext>
          </c:extLst>
        </c:ser>
        <c:ser>
          <c:idx val="5"/>
          <c:order val="5"/>
          <c:tx>
            <c:v>LANDING (CL=2.8)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Foglio1!$J$26:$J$27</c:f>
              <c:numCache>
                <c:formatCode>General</c:formatCode>
                <c:ptCount val="2"/>
                <c:pt idx="0">
                  <c:v>100.35852914942252</c:v>
                </c:pt>
                <c:pt idx="1">
                  <c:v>100.35852914942252</c:v>
                </c:pt>
              </c:numCache>
            </c:numRef>
          </c:xVal>
          <c:yVal>
            <c:numRef>
              <c:f>Foglio1!$G$26:$G$27</c:f>
              <c:numCache>
                <c:formatCode>General</c:formatCode>
                <c:ptCount val="2"/>
                <c:pt idx="0">
                  <c:v>0</c:v>
                </c:pt>
                <c:pt idx="1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9A9-4FEC-BF6E-915368FB1DC0}"/>
            </c:ext>
          </c:extLst>
        </c:ser>
        <c:ser>
          <c:idx val="6"/>
          <c:order val="6"/>
          <c:tx>
            <c:v>LANDING (CL=2.9)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Foglio1!$K$26:$K$27</c:f>
              <c:numCache>
                <c:formatCode>General</c:formatCode>
                <c:ptCount val="2"/>
                <c:pt idx="0">
                  <c:v>104.37287031539942</c:v>
                </c:pt>
                <c:pt idx="1">
                  <c:v>104.37287031539942</c:v>
                </c:pt>
              </c:numCache>
            </c:numRef>
          </c:xVal>
          <c:yVal>
            <c:numRef>
              <c:f>Foglio1!$G$26:$G$27</c:f>
              <c:numCache>
                <c:formatCode>General</c:formatCode>
                <c:ptCount val="2"/>
                <c:pt idx="0">
                  <c:v>0</c:v>
                </c:pt>
                <c:pt idx="1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9A9-4FEC-BF6E-915368FB1DC0}"/>
            </c:ext>
          </c:extLst>
        </c:ser>
        <c:ser>
          <c:idx val="13"/>
          <c:order val="13"/>
          <c:tx>
            <c:strRef>
              <c:f>Foglio1!$E$44</c:f>
              <c:strCache>
                <c:ptCount val="1"/>
                <c:pt idx="0">
                  <c:v>W/P First segment OEI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Foglio1!$A$45:$A$125</c:f>
              <c:numCache>
                <c:formatCode>General</c:formatCode>
                <c:ptCount val="81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  <c:pt idx="75">
                  <c:v>96</c:v>
                </c:pt>
                <c:pt idx="76">
                  <c:v>97</c:v>
                </c:pt>
                <c:pt idx="77">
                  <c:v>98</c:v>
                </c:pt>
                <c:pt idx="78">
                  <c:v>99</c:v>
                </c:pt>
                <c:pt idx="79">
                  <c:v>100</c:v>
                </c:pt>
              </c:numCache>
            </c:numRef>
          </c:xVal>
          <c:yVal>
            <c:numRef>
              <c:f>Foglio1!$E$45:$E$124</c:f>
              <c:numCache>
                <c:formatCode>General</c:formatCode>
                <c:ptCount val="80"/>
                <c:pt idx="0">
                  <c:v>18.822740612233268</c:v>
                </c:pt>
                <c:pt idx="1">
                  <c:v>18.389976082914558</c:v>
                </c:pt>
                <c:pt idx="2">
                  <c:v>17.985751422413738</c:v>
                </c:pt>
                <c:pt idx="3">
                  <c:v>17.607061612773119</c:v>
                </c:pt>
                <c:pt idx="4">
                  <c:v>17.251326728415677</c:v>
                </c:pt>
                <c:pt idx="5">
                  <c:v>16.916317619914675</c:v>
                </c:pt>
                <c:pt idx="6">
                  <c:v>16.600096884214963</c:v>
                </c:pt>
                <c:pt idx="7">
                  <c:v>16.300971539039068</c:v>
                </c:pt>
                <c:pt idx="8">
                  <c:v>16.017454754179813</c:v>
                </c:pt>
                <c:pt idx="9">
                  <c:v>15.748234660075108</c:v>
                </c:pt>
                <c:pt idx="10">
                  <c:v>15.492148737098361</c:v>
                </c:pt>
                <c:pt idx="11">
                  <c:v>15.248162642659327</c:v>
                </c:pt>
                <c:pt idx="12">
                  <c:v>15.015352595042394</c:v>
                </c:pt>
                <c:pt idx="13">
                  <c:v>14.79289062877217</c:v>
                </c:pt>
                <c:pt idx="14">
                  <c:v>14.580032184232289</c:v>
                </c:pt>
                <c:pt idx="15">
                  <c:v>14.376105607013063</c:v>
                </c:pt>
                <c:pt idx="16">
                  <c:v>14.1805032191269</c:v>
                </c:pt>
                <c:pt idx="17">
                  <c:v>13.992673691373497</c:v>
                </c:pt>
                <c:pt idx="18">
                  <c:v>13.812115498547781</c:v>
                </c:pt>
                <c:pt idx="19">
                  <c:v>13.638371280383637</c:v>
                </c:pt>
                <c:pt idx="20">
                  <c:v>13.471022963730677</c:v>
                </c:pt>
                <c:pt idx="21">
                  <c:v>13.309687527425572</c:v>
                </c:pt>
                <c:pt idx="22">
                  <c:v>13.154013312120204</c:v>
                </c:pt>
                <c:pt idx="23">
                  <c:v>13.003676794087307</c:v>
                </c:pt>
                <c:pt idx="24">
                  <c:v>12.858379755598836</c:v>
                </c:pt>
                <c:pt idx="25">
                  <c:v>12.717846795524347</c:v>
                </c:pt>
                <c:pt idx="26">
                  <c:v>12.581823132838769</c:v>
                </c:pt>
                <c:pt idx="27">
                  <c:v>12.450072663161222</c:v>
                </c:pt>
                <c:pt idx="28">
                  <c:v>12.322376234582626</c:v>
                </c:pt>
                <c:pt idx="29">
                  <c:v>12.198530114127463</c:v>
                </c:pt>
                <c:pt idx="30">
                  <c:v>12.078344620430277</c:v>
                </c:pt>
                <c:pt idx="31">
                  <c:v>11.961642901747146</c:v>
                </c:pt>
                <c:pt idx="32">
                  <c:v>11.84825984139135</c:v>
                </c:pt>
                <c:pt idx="33">
                  <c:v>11.738041075182078</c:v>
                </c:pt>
                <c:pt idx="34">
                  <c:v>11.630842107606302</c:v>
                </c:pt>
                <c:pt idx="35">
                  <c:v>11.526527515183437</c:v>
                </c:pt>
                <c:pt idx="36">
                  <c:v>11.424970227043804</c:v>
                </c:pt>
                <c:pt idx="37">
                  <c:v>11.326050874029249</c:v>
                </c:pt>
                <c:pt idx="38">
                  <c:v>11.229657198734081</c:v>
                </c:pt>
                <c:pt idx="39">
                  <c:v>11.135683519856132</c:v>
                </c:pt>
                <c:pt idx="40">
                  <c:v>11.044030245046585</c:v>
                </c:pt>
                <c:pt idx="41">
                  <c:v>10.954603427152859</c:v>
                </c:pt>
                <c:pt idx="42">
                  <c:v>10.867314359359376</c:v>
                </c:pt>
                <c:pt idx="43">
                  <c:v>10.782079205259798</c:v>
                </c:pt>
                <c:pt idx="44">
                  <c:v>10.698818660353783</c:v>
                </c:pt>
                <c:pt idx="45">
                  <c:v>10.617457641861499</c:v>
                </c:pt>
                <c:pt idx="46">
                  <c:v>10.537925004098101</c:v>
                </c:pt>
                <c:pt idx="47">
                  <c:v>10.460153276955733</c:v>
                </c:pt>
                <c:pt idx="48">
                  <c:v>10.384078425308266</c:v>
                </c:pt>
                <c:pt idx="49">
                  <c:v>10.309639627388762</c:v>
                </c:pt>
                <c:pt idx="50">
                  <c:v>10.236779070396549</c:v>
                </c:pt>
                <c:pt idx="51">
                  <c:v>10.165441761772886</c:v>
                </c:pt>
                <c:pt idx="52">
                  <c:v>10.095575354745204</c:v>
                </c:pt>
                <c:pt idx="53">
                  <c:v>10.027129986882297</c:v>
                </c:pt>
                <c:pt idx="54">
                  <c:v>9.9600581305289762</c:v>
                </c:pt>
                <c:pt idx="55">
                  <c:v>9.8943144541007992</c:v>
                </c:pt>
                <c:pt idx="56">
                  <c:v>9.8298556933190522</c:v>
                </c:pt>
                <c:pt idx="57">
                  <c:v>9.7666405315549465</c:v>
                </c:pt>
                <c:pt idx="58">
                  <c:v>9.7046294885311024</c:v>
                </c:pt>
                <c:pt idx="59">
                  <c:v>9.6437848166991262</c:v>
                </c:pt>
                <c:pt idx="60">
                  <c:v>9.5840704046753746</c:v>
                </c:pt>
                <c:pt idx="61">
                  <c:v>9.5254516871736641</c:v>
                </c:pt>
                <c:pt idx="62">
                  <c:v>9.4678955609245623</c:v>
                </c:pt>
                <c:pt idx="63">
                  <c:v>9.4113703061166341</c:v>
                </c:pt>
                <c:pt idx="64">
                  <c:v>9.3558455129360816</c:v>
                </c:pt>
                <c:pt idx="65">
                  <c:v>9.3012920128183136</c:v>
                </c:pt>
                <c:pt idx="66">
                  <c:v>9.2476818140583674</c:v>
                </c:pt>
                <c:pt idx="67">
                  <c:v>9.1949880414572789</c:v>
                </c:pt>
                <c:pt idx="68">
                  <c:v>9.1431848797088353</c:v>
                </c:pt>
                <c:pt idx="69">
                  <c:v>9.0922475202557571</c:v>
                </c:pt>
                <c:pt idx="70">
                  <c:v>9.0421521113668462</c:v>
                </c:pt>
                <c:pt idx="71">
                  <c:v>8.9928757112068691</c:v>
                </c:pt>
                <c:pt idx="72">
                  <c:v>8.9443962436894591</c:v>
                </c:pt>
                <c:pt idx="73">
                  <c:v>8.8966924569200643</c:v>
                </c:pt>
                <c:pt idx="74">
                  <c:v>8.8497438840512448</c:v>
                </c:pt>
                <c:pt idx="75">
                  <c:v>8.8035308063865596</c:v>
                </c:pt>
                <c:pt idx="76">
                  <c:v>8.7580342185819813</c:v>
                </c:pt>
                <c:pt idx="77">
                  <c:v>8.7132357958053301</c:v>
                </c:pt>
                <c:pt idx="78">
                  <c:v>8.6691178627248711</c:v>
                </c:pt>
                <c:pt idx="79">
                  <c:v>8.6256633642078384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56-4DFC-BFB1-F751E6E08730}"/>
            </c:ext>
          </c:extLst>
        </c:ser>
        <c:ser>
          <c:idx val="14"/>
          <c:order val="14"/>
          <c:tx>
            <c:strRef>
              <c:f>Foglio1!$F$44</c:f>
              <c:strCache>
                <c:ptCount val="1"/>
                <c:pt idx="0">
                  <c:v>W/P Transition Climb OEI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Foglio1!$A$45:$A$124</c:f>
              <c:numCache>
                <c:formatCode>General</c:formatCode>
                <c:ptCount val="8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  <c:pt idx="75">
                  <c:v>96</c:v>
                </c:pt>
                <c:pt idx="76">
                  <c:v>97</c:v>
                </c:pt>
                <c:pt idx="77">
                  <c:v>98</c:v>
                </c:pt>
                <c:pt idx="78">
                  <c:v>99</c:v>
                </c:pt>
                <c:pt idx="79">
                  <c:v>100</c:v>
                </c:pt>
              </c:numCache>
            </c:numRef>
          </c:xVal>
          <c:yVal>
            <c:numRef>
              <c:f>Foglio1!$F$45:$F$124</c:f>
              <c:numCache>
                <c:formatCode>General</c:formatCode>
                <c:ptCount val="80"/>
                <c:pt idx="0">
                  <c:v>21.255721010679871</c:v>
                </c:pt>
                <c:pt idx="1">
                  <c:v>20.767018420126277</c:v>
                </c:pt>
                <c:pt idx="2">
                  <c:v>20.310544690490005</c:v>
                </c:pt>
                <c:pt idx="3">
                  <c:v>19.882906382704103</c:v>
                </c:pt>
                <c:pt idx="4">
                  <c:v>19.48119009646075</c:v>
                </c:pt>
                <c:pt idx="5">
                  <c:v>19.102878548050747</c:v>
                </c:pt>
                <c:pt idx="6">
                  <c:v>18.745783910543143</c:v>
                </c:pt>
                <c:pt idx="7">
                  <c:v>18.407994371003408</c:v>
                </c:pt>
                <c:pt idx="8">
                  <c:v>18.087830915268562</c:v>
                </c:pt>
                <c:pt idx="9">
                  <c:v>17.783812104796326</c:v>
                </c:pt>
                <c:pt idx="10">
                  <c:v>17.494625155579246</c:v>
                </c:pt>
                <c:pt idx="11">
                  <c:v>17.219102028489509</c:v>
                </c:pt>
                <c:pt idx="12">
                  <c:v>16.956199536096214</c:v>
                </c:pt>
                <c:pt idx="13">
                  <c:v>16.704982692176369</c:v>
                </c:pt>
                <c:pt idx="14">
                  <c:v>16.464610697198843</c:v>
                </c:pt>
                <c:pt idx="15">
                  <c:v>16.234325080383957</c:v>
                </c:pt>
                <c:pt idx="16">
                  <c:v>16.013439616806515</c:v>
                </c:pt>
                <c:pt idx="17">
                  <c:v>15.801331713831999</c:v>
                </c:pt>
                <c:pt idx="18">
                  <c:v>15.597435020361036</c:v>
                </c:pt>
                <c:pt idx="19">
                  <c:v>15.401233058882827</c:v>
                </c:pt>
                <c:pt idx="20">
                  <c:v>15.21225371715666</c:v>
                </c:pt>
                <c:pt idx="21">
                  <c:v>15.030064465661111</c:v>
                </c:pt>
                <c:pt idx="22">
                  <c:v>14.854268190439806</c:v>
                </c:pt>
                <c:pt idx="23">
                  <c:v>14.684499549897234</c:v>
                </c:pt>
                <c:pt idx="24">
                  <c:v>14.520421779427307</c:v>
                </c:pt>
                <c:pt idx="25">
                  <c:v>14.361723880237911</c:v>
                </c:pt>
                <c:pt idx="26">
                  <c:v>14.208118138945576</c:v>
                </c:pt>
                <c:pt idx="27">
                  <c:v>14.05933793290736</c:v>
                </c:pt>
                <c:pt idx="28">
                  <c:v>13.915135783186249</c:v>
                </c:pt>
                <c:pt idx="29">
                  <c:v>13.775281622791608</c:v>
                </c:pt>
                <c:pt idx="30">
                  <c:v>13.639561252618845</c:v>
                </c:pt>
                <c:pt idx="31">
                  <c:v>13.50777496150971</c:v>
                </c:pt>
                <c:pt idx="32">
                  <c:v>13.379736290207322</c:v>
                </c:pt>
                <c:pt idx="33">
                  <c:v>13.255270921802733</c:v>
                </c:pt>
                <c:pt idx="34">
                  <c:v>13.134215683654112</c:v>
                </c:pt>
                <c:pt idx="35">
                  <c:v>13.016417647780308</c:v>
                </c:pt>
                <c:pt idx="36">
                  <c:v>12.901733318448674</c:v>
                </c:pt>
                <c:pt idx="37">
                  <c:v>12.790027897142076</c:v>
                </c:pt>
                <c:pt idx="38">
                  <c:v>12.681174616343183</c:v>
                </c:pt>
                <c:pt idx="39">
                  <c:v>12.575054134648889</c:v>
                </c:pt>
                <c:pt idx="40">
                  <c:v>12.471553986652337</c:v>
                </c:pt>
                <c:pt idx="41">
                  <c:v>12.370568081826844</c:v>
                </c:pt>
                <c:pt idx="42">
                  <c:v>12.271996247335604</c:v>
                </c:pt>
                <c:pt idx="43">
                  <c:v>12.175743810287969</c:v>
                </c:pt>
                <c:pt idx="44">
                  <c:v>12.081721215482128</c:v>
                </c:pt>
                <c:pt idx="45">
                  <c:v>11.989843675125822</c:v>
                </c:pt>
                <c:pt idx="46">
                  <c:v>11.90003084742083</c:v>
                </c:pt>
                <c:pt idx="47">
                  <c:v>11.812206541241819</c:v>
                </c:pt>
                <c:pt idx="48">
                  <c:v>11.726298444442328</c:v>
                </c:pt>
                <c:pt idx="49">
                  <c:v>11.642237873585872</c:v>
                </c:pt>
                <c:pt idx="50">
                  <c:v>11.559959543133681</c:v>
                </c:pt>
                <c:pt idx="51">
                  <c:v>11.479401352326342</c:v>
                </c:pt>
                <c:pt idx="52">
                  <c:v>11.400504188178319</c:v>
                </c:pt>
                <c:pt idx="53">
                  <c:v>11.323211743165196</c:v>
                </c:pt>
                <c:pt idx="54">
                  <c:v>11.247470346325883</c:v>
                </c:pt>
                <c:pt idx="55">
                  <c:v>11.173228806628657</c:v>
                </c:pt>
                <c:pt idx="56">
                  <c:v>11.100438267562284</c:v>
                </c:pt>
                <c:pt idx="57">
                  <c:v>11.029052072013824</c:v>
                </c:pt>
                <c:pt idx="58">
                  <c:v>10.959025636583936</c:v>
                </c:pt>
                <c:pt idx="59">
                  <c:v>10.89031633457048</c:v>
                </c:pt>
                <c:pt idx="60">
                  <c:v>10.822883386922639</c:v>
                </c:pt>
                <c:pt idx="61">
                  <c:v>10.756687760531737</c:v>
                </c:pt>
                <c:pt idx="62">
                  <c:v>10.691692073282493</c:v>
                </c:pt>
                <c:pt idx="63">
                  <c:v>10.627860505339935</c:v>
                </c:pt>
                <c:pt idx="64">
                  <c:v>10.565158716193752</c:v>
                </c:pt>
                <c:pt idx="65">
                  <c:v>10.503553767023613</c:v>
                </c:pt>
                <c:pt idx="66">
                  <c:v>10.44301404798674</c:v>
                </c:pt>
                <c:pt idx="67">
                  <c:v>10.383509210063139</c:v>
                </c:pt>
                <c:pt idx="68">
                  <c:v>10.325010101124645</c:v>
                </c:pt>
                <c:pt idx="69">
                  <c:v>10.267488705921885</c:v>
                </c:pt>
                <c:pt idx="70">
                  <c:v>10.210918089708505</c:v>
                </c:pt>
                <c:pt idx="71">
                  <c:v>10.155272345245002</c:v>
                </c:pt>
                <c:pt idx="72">
                  <c:v>10.100526542945277</c:v>
                </c:pt>
                <c:pt idx="73">
                  <c:v>10.046656683948004</c:v>
                </c:pt>
                <c:pt idx="74">
                  <c:v>9.9936396559122134</c:v>
                </c:pt>
                <c:pt idx="75">
                  <c:v>9.9414531913520516</c:v>
                </c:pt>
                <c:pt idx="76">
                  <c:v>9.8900758283402315</c:v>
                </c:pt>
                <c:pt idx="77">
                  <c:v>9.839486873422576</c:v>
                </c:pt>
                <c:pt idx="78">
                  <c:v>9.7896663665981567</c:v>
                </c:pt>
                <c:pt idx="79">
                  <c:v>9.7405950482303751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77B-4092-9166-53FC8BA07EA4}"/>
            </c:ext>
          </c:extLst>
        </c:ser>
        <c:ser>
          <c:idx val="15"/>
          <c:order val="15"/>
          <c:tx>
            <c:strRef>
              <c:f>Foglio1!$G$44</c:f>
              <c:strCache>
                <c:ptCount val="1"/>
                <c:pt idx="0">
                  <c:v>W/P Second segment OEI 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Foglio1!$A$45:$A$124</c:f>
              <c:numCache>
                <c:formatCode>General</c:formatCode>
                <c:ptCount val="8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  <c:pt idx="75">
                  <c:v>96</c:v>
                </c:pt>
                <c:pt idx="76">
                  <c:v>97</c:v>
                </c:pt>
                <c:pt idx="77">
                  <c:v>98</c:v>
                </c:pt>
                <c:pt idx="78">
                  <c:v>99</c:v>
                </c:pt>
                <c:pt idx="79">
                  <c:v>100</c:v>
                </c:pt>
              </c:numCache>
            </c:numRef>
          </c:xVal>
          <c:yVal>
            <c:numRef>
              <c:f>Foglio1!$G$45:$G$124</c:f>
              <c:numCache>
                <c:formatCode>General</c:formatCode>
                <c:ptCount val="80"/>
                <c:pt idx="0">
                  <c:v>19.263735204993168</c:v>
                </c:pt>
                <c:pt idx="1">
                  <c:v>18.820831513620455</c:v>
                </c:pt>
                <c:pt idx="2">
                  <c:v>18.407136346501424</c:v>
                </c:pt>
                <c:pt idx="3">
                  <c:v>18.019574281654979</c:v>
                </c:pt>
                <c:pt idx="4">
                  <c:v>17.65550494889337</c:v>
                </c:pt>
                <c:pt idx="5">
                  <c:v>17.312646972450246</c:v>
                </c:pt>
                <c:pt idx="6">
                  <c:v>16.98901755820393</c:v>
                </c:pt>
                <c:pt idx="7">
                  <c:v>16.682884059300711</c:v>
                </c:pt>
                <c:pt idx="8">
                  <c:v>16.392724810856834</c:v>
                </c:pt>
                <c:pt idx="9">
                  <c:v>16.117197207754987</c:v>
                </c:pt>
                <c:pt idx="10">
                  <c:v>15.855111493906064</c:v>
                </c:pt>
                <c:pt idx="11">
                  <c:v>15.605409093293936</c:v>
                </c:pt>
                <c:pt idx="12">
                  <c:v>15.367144581087903</c:v>
                </c:pt>
                <c:pt idx="13">
                  <c:v>15.139470593558876</c:v>
                </c:pt>
                <c:pt idx="14">
                  <c:v>14.921625126937611</c:v>
                </c:pt>
                <c:pt idx="15">
                  <c:v>14.712920790744473</c:v>
                </c:pt>
                <c:pt idx="16">
                  <c:v>14.512735669813969</c:v>
                </c:pt>
                <c:pt idx="17">
                  <c:v>14.320505517953467</c:v>
                </c:pt>
                <c:pt idx="18">
                  <c:v>14.135717059814372</c:v>
                </c:pt>
                <c:pt idx="19">
                  <c:v>13.957902219719442</c:v>
                </c:pt>
                <c:pt idx="20">
                  <c:v>13.786633129557895</c:v>
                </c:pt>
                <c:pt idx="21">
                  <c:v>13.621517794432696</c:v>
                </c:pt>
                <c:pt idx="22">
                  <c:v>13.462196316032326</c:v>
                </c:pt>
                <c:pt idx="23">
                  <c:v>13.308337590850499</c:v>
                </c:pt>
                <c:pt idx="24">
                  <c:v>13.159636414269842</c:v>
                </c:pt>
                <c:pt idx="25">
                  <c:v>13.015810932836528</c:v>
                </c:pt>
                <c:pt idx="26">
                  <c:v>12.876600396306833</c:v>
                </c:pt>
                <c:pt idx="27">
                  <c:v>12.741763168652946</c:v>
                </c:pt>
                <c:pt idx="28">
                  <c:v>12.611074963495263</c:v>
                </c:pt>
                <c:pt idx="29">
                  <c:v>12.484327274635151</c:v>
                </c:pt>
                <c:pt idx="30">
                  <c:v>12.361325976696675</c:v>
                </c:pt>
                <c:pt idx="31">
                  <c:v>12.241890074508321</c:v>
                </c:pt>
                <c:pt idx="32">
                  <c:v>12.125850582894317</c:v>
                </c:pt>
                <c:pt idx="33">
                  <c:v>12.013049521103319</c:v>
                </c:pt>
                <c:pt idx="34">
                  <c:v>11.903339008263</c:v>
                </c:pt>
                <c:pt idx="35">
                  <c:v>11.796580448080492</c:v>
                </c:pt>
                <c:pt idx="36">
                  <c:v>11.69264379256564</c:v>
                </c:pt>
                <c:pt idx="37">
                  <c:v>11.591406875881832</c:v>
                </c:pt>
                <c:pt idx="38">
                  <c:v>11.492754810564872</c:v>
                </c:pt>
                <c:pt idx="39">
                  <c:v>11.396579439324441</c:v>
                </c:pt>
                <c:pt idx="40">
                  <c:v>11.302778836480554</c:v>
                </c:pt>
                <c:pt idx="41">
                  <c:v>11.211256853809749</c:v>
                </c:pt>
                <c:pt idx="42">
                  <c:v>11.121922706200474</c:v>
                </c:pt>
                <c:pt idx="43">
                  <c:v>11.034690593058356</c:v>
                </c:pt>
                <c:pt idx="44">
                  <c:v>10.949479351872228</c:v>
                </c:pt>
                <c:pt idx="45">
                  <c:v>10.866212140761363</c:v>
                </c:pt>
                <c:pt idx="46">
                  <c:v>10.7848161471815</c:v>
                </c:pt>
                <c:pt idx="47">
                  <c:v>10.705222320279809</c:v>
                </c:pt>
                <c:pt idx="48">
                  <c:v>10.62736512466274</c:v>
                </c:pt>
                <c:pt idx="49">
                  <c:v>10.551182313581164</c:v>
                </c:pt>
                <c:pt idx="50">
                  <c:v>10.476614719748728</c:v>
                </c:pt>
                <c:pt idx="51">
                  <c:v>10.40360606219596</c:v>
                </c:pt>
                <c:pt idx="52">
                  <c:v>10.332102767727202</c:v>
                </c:pt>
                <c:pt idx="53">
                  <c:v>10.26205380569335</c:v>
                </c:pt>
                <c:pt idx="54">
                  <c:v>10.193410534922355</c:v>
                </c:pt>
                <c:pt idx="55">
                  <c:v>10.126126561764268</c:v>
                </c:pt>
                <c:pt idx="56">
                  <c:v>10.060157608309394</c:v>
                </c:pt>
                <c:pt idx="57">
                  <c:v>9.9954613899291065</c:v>
                </c:pt>
                <c:pt idx="58">
                  <c:v>9.9319975013697341</c:v>
                </c:pt>
                <c:pt idx="59">
                  <c:v>9.8697273107023804</c:v>
                </c:pt>
                <c:pt idx="60">
                  <c:v>9.8086138604963153</c:v>
                </c:pt>
                <c:pt idx="61">
                  <c:v>9.7486217756415012</c:v>
                </c:pt>
                <c:pt idx="62">
                  <c:v>9.6897171772979824</c:v>
                </c:pt>
                <c:pt idx="63">
                  <c:v>9.6318676024965839</c:v>
                </c:pt>
                <c:pt idx="64">
                  <c:v>9.5750419289574698</c:v>
                </c:pt>
                <c:pt idx="65">
                  <c:v>9.5192103047310166</c:v>
                </c:pt>
                <c:pt idx="66">
                  <c:v>9.4643440822996503</c:v>
                </c:pt>
                <c:pt idx="67">
                  <c:v>9.4104157568102274</c:v>
                </c:pt>
                <c:pt idx="68">
                  <c:v>9.3573989081343854</c:v>
                </c:pt>
                <c:pt idx="69">
                  <c:v>9.3052681464796265</c:v>
                </c:pt>
                <c:pt idx="70">
                  <c:v>9.2539990612968523</c:v>
                </c:pt>
                <c:pt idx="71">
                  <c:v>9.2035681732507122</c:v>
                </c:pt>
                <c:pt idx="72">
                  <c:v>9.1539528890381945</c:v>
                </c:pt>
                <c:pt idx="73">
                  <c:v>9.1051314588579455</c:v>
                </c:pt>
                <c:pt idx="74">
                  <c:v>9.0570829363484506</c:v>
                </c:pt>
                <c:pt idx="75">
                  <c:v>9.0097871408274894</c:v>
                </c:pt>
                <c:pt idx="76">
                  <c:v>8.9632246216782594</c:v>
                </c:pt>
                <c:pt idx="77">
                  <c:v>8.9173766247393917</c:v>
                </c:pt>
                <c:pt idx="78">
                  <c:v>8.8722250605669988</c:v>
                </c:pt>
                <c:pt idx="79">
                  <c:v>8.8277524744466849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77B-4092-9166-53FC8BA07EA4}"/>
            </c:ext>
          </c:extLst>
        </c:ser>
        <c:ser>
          <c:idx val="16"/>
          <c:order val="16"/>
          <c:tx>
            <c:strRef>
              <c:f>Foglio1!$H$44</c:f>
              <c:strCache>
                <c:ptCount val="1"/>
                <c:pt idx="0">
                  <c:v>W/P Climb cruise OEI 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Foglio1!$A$45:$A$124</c:f>
              <c:numCache>
                <c:formatCode>General</c:formatCode>
                <c:ptCount val="8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  <c:pt idx="75">
                  <c:v>96</c:v>
                </c:pt>
                <c:pt idx="76">
                  <c:v>97</c:v>
                </c:pt>
                <c:pt idx="77">
                  <c:v>98</c:v>
                </c:pt>
                <c:pt idx="78">
                  <c:v>99</c:v>
                </c:pt>
                <c:pt idx="79">
                  <c:v>100</c:v>
                </c:pt>
              </c:numCache>
            </c:numRef>
          </c:xVal>
          <c:yVal>
            <c:numRef>
              <c:f>Foglio1!$H$45:$H$124</c:f>
              <c:numCache>
                <c:formatCode>General</c:formatCode>
                <c:ptCount val="80"/>
                <c:pt idx="0">
                  <c:v>24.788327133322923</c:v>
                </c:pt>
                <c:pt idx="1">
                  <c:v>24.218404349736417</c:v>
                </c:pt>
                <c:pt idx="2">
                  <c:v>23.686066720149231</c:v>
                </c:pt>
                <c:pt idx="3">
                  <c:v>23.187356831041662</c:v>
                </c:pt>
                <c:pt idx="4">
                  <c:v>22.718877087956002</c:v>
                </c:pt>
                <c:pt idx="5">
                  <c:v>22.27769184584686</c:v>
                </c:pt>
                <c:pt idx="6">
                  <c:v>21.861249670695695</c:v>
                </c:pt>
                <c:pt idx="7">
                  <c:v>21.46732101477674</c:v>
                </c:pt>
                <c:pt idx="8">
                  <c:v>21.093947819254321</c:v>
                </c:pt>
                <c:pt idx="9">
                  <c:v>20.739402437101301</c:v>
                </c:pt>
                <c:pt idx="10">
                  <c:v>20.40215390545757</c:v>
                </c:pt>
                <c:pt idx="11">
                  <c:v>20.080840062296712</c:v>
                </c:pt>
                <c:pt idx="12">
                  <c:v>19.774244347084956</c:v>
                </c:pt>
                <c:pt idx="13">
                  <c:v>19.481276383055075</c:v>
                </c:pt>
                <c:pt idx="14">
                  <c:v>19.200955633540222</c:v>
                </c:pt>
                <c:pt idx="15">
                  <c:v>18.932397573296665</c:v>
                </c:pt>
                <c:pt idx="16">
                  <c:v>18.674801929874256</c:v>
                </c:pt>
                <c:pt idx="17">
                  <c:v>18.427442638516712</c:v>
                </c:pt>
                <c:pt idx="18">
                  <c:v>18.189659223095443</c:v>
                </c:pt>
                <c:pt idx="19">
                  <c:v>17.960849369838627</c:v>
                </c:pt>
                <c:pt idx="20">
                  <c:v>17.740462503554742</c:v>
                </c:pt>
                <c:pt idx="21">
                  <c:v>17.527994210243133</c:v>
                </c:pt>
                <c:pt idx="22">
                  <c:v>17.322981377377292</c:v>
                </c:pt>
                <c:pt idx="23">
                  <c:v>17.1249979452164</c:v>
                </c:pt>
                <c:pt idx="24">
                  <c:v>16.93365118037736</c:v>
                </c:pt>
                <c:pt idx="25">
                  <c:v>16.748578397454526</c:v>
                </c:pt>
                <c:pt idx="26">
                  <c:v>16.569444066382069</c:v>
                </c:pt>
                <c:pt idx="27">
                  <c:v>16.395937253021774</c:v>
                </c:pt>
                <c:pt idx="28">
                  <c:v>16.227769348539997</c:v>
                </c:pt>
                <c:pt idx="29">
                  <c:v>16.06467204983737</c:v>
                </c:pt>
                <c:pt idx="30">
                  <c:v>15.906395558872525</c:v>
                </c:pt>
                <c:pt idx="31">
                  <c:v>15.752706973382569</c:v>
                </c:pt>
                <c:pt idx="32">
                  <c:v>15.603388845412931</c:v>
                </c:pt>
                <c:pt idx="33">
                  <c:v>15.458237887361106</c:v>
                </c:pt>
                <c:pt idx="34">
                  <c:v>15.317063808019238</c:v>
                </c:pt>
                <c:pt idx="35">
                  <c:v>15.179688263457111</c:v>
                </c:pt>
                <c:pt idx="36">
                  <c:v>15.04594390959069</c:v>
                </c:pt>
                <c:pt idx="37">
                  <c:v>14.915673544989916</c:v>
                </c:pt>
                <c:pt idx="38">
                  <c:v>14.788729333940916</c:v>
                </c:pt>
                <c:pt idx="39">
                  <c:v>14.66497210103114</c:v>
                </c:pt>
                <c:pt idx="40">
                  <c:v>14.544270689604218</c:v>
                </c:pt>
                <c:pt idx="41">
                  <c:v>14.426501377360651</c:v>
                </c:pt>
                <c:pt idx="42">
                  <c:v>14.311547343184492</c:v>
                </c:pt>
                <c:pt idx="43">
                  <c:v>14.1992981799725</c:v>
                </c:pt>
                <c:pt idx="44">
                  <c:v>14.089649448847359</c:v>
                </c:pt>
                <c:pt idx="45">
                  <c:v>13.982502270663524</c:v>
                </c:pt>
                <c:pt idx="46">
                  <c:v>13.87776295117389</c:v>
                </c:pt>
                <c:pt idx="47">
                  <c:v>13.775342636627581</c:v>
                </c:pt>
                <c:pt idx="48">
                  <c:v>13.675156996921595</c:v>
                </c:pt>
                <c:pt idx="49">
                  <c:v>13.577125933738333</c:v>
                </c:pt>
                <c:pt idx="50">
                  <c:v>13.48117331137338</c:v>
                </c:pt>
                <c:pt idx="51">
                  <c:v>13.38722670819781</c:v>
                </c:pt>
                <c:pt idx="52">
                  <c:v>13.295217186911282</c:v>
                </c:pt>
                <c:pt idx="53">
                  <c:v>13.205079081929711</c:v>
                </c:pt>
                <c:pt idx="54">
                  <c:v>13.116749802417415</c:v>
                </c:pt>
                <c:pt idx="55">
                  <c:v>13.030169649621291</c:v>
                </c:pt>
                <c:pt idx="56">
                  <c:v>12.945281647295632</c:v>
                </c:pt>
                <c:pt idx="57">
                  <c:v>12.862031384123213</c:v>
                </c:pt>
                <c:pt idx="58">
                  <c:v>12.780366867142378</c:v>
                </c:pt>
                <c:pt idx="59">
                  <c:v>12.70023838528302</c:v>
                </c:pt>
                <c:pt idx="60">
                  <c:v>12.621598382197776</c:v>
                </c:pt>
                <c:pt idx="61">
                  <c:v>12.544401337649232</c:v>
                </c:pt>
                <c:pt idx="62">
                  <c:v>12.468603656781108</c:v>
                </c:pt>
                <c:pt idx="63">
                  <c:v>12.394163566661462</c:v>
                </c:pt>
                <c:pt idx="64">
                  <c:v>12.321041019540182</c:v>
                </c:pt>
                <c:pt idx="65">
                  <c:v>12.249197602311764</c:v>
                </c:pt>
                <c:pt idx="66">
                  <c:v>12.178596451718402</c:v>
                </c:pt>
                <c:pt idx="67">
                  <c:v>12.109202174868209</c:v>
                </c:pt>
                <c:pt idx="68">
                  <c:v>12.040980774679213</c:v>
                </c:pt>
                <c:pt idx="69">
                  <c:v>11.973899579892416</c:v>
                </c:pt>
                <c:pt idx="70">
                  <c:v>11.907927179326643</c:v>
                </c:pt>
                <c:pt idx="71">
                  <c:v>11.843033360074616</c:v>
                </c:pt>
                <c:pt idx="72">
                  <c:v>11.779189049364101</c:v>
                </c:pt>
                <c:pt idx="73">
                  <c:v>11.716366259829961</c:v>
                </c:pt>
                <c:pt idx="74">
                  <c:v>11.65453803796313</c:v>
                </c:pt>
                <c:pt idx="75">
                  <c:v>11.593678415520831</c:v>
                </c:pt>
                <c:pt idx="76">
                  <c:v>11.533762363699084</c:v>
                </c:pt>
                <c:pt idx="77">
                  <c:v>11.474765749883836</c:v>
                </c:pt>
                <c:pt idx="78">
                  <c:v>11.416665296810935</c:v>
                </c:pt>
                <c:pt idx="79">
                  <c:v>11.359438543978001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77B-4092-9166-53FC8BA07EA4}"/>
            </c:ext>
          </c:extLst>
        </c:ser>
        <c:ser>
          <c:idx val="17"/>
          <c:order val="17"/>
          <c:tx>
            <c:strRef>
              <c:f>Foglio1!$I$44</c:f>
              <c:strCache>
                <c:ptCount val="1"/>
                <c:pt idx="0">
                  <c:v>W/P Aborted landing AEO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Foglio1!$A$45:$A$124</c:f>
              <c:numCache>
                <c:formatCode>General</c:formatCode>
                <c:ptCount val="8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  <c:pt idx="75">
                  <c:v>96</c:v>
                </c:pt>
                <c:pt idx="76">
                  <c:v>97</c:v>
                </c:pt>
                <c:pt idx="77">
                  <c:v>98</c:v>
                </c:pt>
                <c:pt idx="78">
                  <c:v>99</c:v>
                </c:pt>
                <c:pt idx="79">
                  <c:v>100</c:v>
                </c:pt>
              </c:numCache>
            </c:numRef>
          </c:xVal>
          <c:yVal>
            <c:numRef>
              <c:f>Foglio1!$I$45:$I$124</c:f>
              <c:numCache>
                <c:formatCode>General</c:formatCode>
                <c:ptCount val="80"/>
                <c:pt idx="0">
                  <c:v>24.556754064647571</c:v>
                </c:pt>
                <c:pt idx="1">
                  <c:v>23.992155511582684</c:v>
                </c:pt>
                <c:pt idx="2">
                  <c:v>23.464790991225172</c:v>
                </c:pt>
                <c:pt idx="3">
                  <c:v>22.970740060294901</c:v>
                </c:pt>
                <c:pt idx="4">
                  <c:v>22.5066368647324</c:v>
                </c:pt>
                <c:pt idx="5">
                  <c:v>22.069573184349469</c:v>
                </c:pt>
                <c:pt idx="6">
                  <c:v>21.657021420677342</c:v>
                </c:pt>
                <c:pt idx="7">
                  <c:v>21.266772854471565</c:v>
                </c:pt>
                <c:pt idx="8">
                  <c:v>20.896887719122923</c:v>
                </c:pt>
                <c:pt idx="9">
                  <c:v>20.545654507318801</c:v>
                </c:pt>
                <c:pt idx="10">
                  <c:v>20.211556558486041</c:v>
                </c:pt>
                <c:pt idx="11">
                  <c:v>19.893244435944268</c:v>
                </c:pt>
                <c:pt idx="12">
                  <c:v>19.589512944293563</c:v>
                </c:pt>
                <c:pt idx="13">
                  <c:v>19.299281893089184</c:v>
                </c:pt>
                <c:pt idx="14">
                  <c:v>19.021579905858264</c:v>
                </c:pt>
                <c:pt idx="15">
                  <c:v>18.755530720610331</c:v>
                </c:pt>
                <c:pt idx="16">
                  <c:v>18.500341541057139</c:v>
                </c:pt>
                <c:pt idx="17">
                  <c:v>18.255293085354495</c:v>
                </c:pt>
                <c:pt idx="18">
                  <c:v>18.019731047555567</c:v>
                </c:pt>
                <c:pt idx="19">
                  <c:v>17.79305874071634</c:v>
                </c:pt>
                <c:pt idx="20">
                  <c:v>17.574730733130206</c:v>
                </c:pt>
                <c:pt idx="21">
                  <c:v>17.364247323042612</c:v>
                </c:pt>
                <c:pt idx="22">
                  <c:v>17.161149724333931</c:v>
                </c:pt>
                <c:pt idx="23">
                  <c:v>16.965015857522317</c:v>
                </c:pt>
                <c:pt idx="24">
                  <c:v>16.775456658148126</c:v>
                </c:pt>
                <c:pt idx="25">
                  <c:v>16.592112829020326</c:v>
                </c:pt>
                <c:pt idx="26">
                  <c:v>16.414651974601956</c:v>
                </c:pt>
                <c:pt idx="27">
                  <c:v>16.242766065508008</c:v>
                </c:pt>
                <c:pt idx="28">
                  <c:v>16.076169189094568</c:v>
                </c:pt>
                <c:pt idx="29">
                  <c:v>15.914595548755415</c:v>
                </c:pt>
                <c:pt idx="30">
                  <c:v>15.757797680067691</c:v>
                </c:pt>
                <c:pt idx="31">
                  <c:v>15.605544856546295</c:v>
                </c:pt>
                <c:pt idx="32">
                  <c:v>15.457621661639983</c:v>
                </c:pt>
                <c:pt idx="33">
                  <c:v>15.313826706863265</c:v>
                </c:pt>
                <c:pt idx="34">
                  <c:v>15.173971478712717</c:v>
                </c:pt>
                <c:pt idx="35">
                  <c:v>15.037879299350836</c:v>
                </c:pt>
                <c:pt idx="36">
                  <c:v>14.905384388025505</c:v>
                </c:pt>
                <c:pt idx="37">
                  <c:v>14.776331011885704</c:v>
                </c:pt>
                <c:pt idx="38">
                  <c:v>14.650572716301877</c:v>
                </c:pt>
                <c:pt idx="39">
                  <c:v>14.527971626041079</c:v>
                </c:pt>
                <c:pt idx="40">
                  <c:v>14.408397809715161</c:v>
                </c:pt>
                <c:pt idx="41">
                  <c:v>14.291728700840919</c:v>
                </c:pt>
                <c:pt idx="42">
                  <c:v>14.177848569647709</c:v>
                </c:pt>
                <c:pt idx="43">
                  <c:v>14.066648040457748</c:v>
                </c:pt>
                <c:pt idx="44">
                  <c:v>13.95802365006389</c:v>
                </c:pt>
                <c:pt idx="45">
                  <c:v>13.851877443051626</c:v>
                </c:pt>
                <c:pt idx="46">
                  <c:v>13.748116600467462</c:v>
                </c:pt>
                <c:pt idx="47">
                  <c:v>13.646653098634113</c:v>
                </c:pt>
                <c:pt idx="48">
                  <c:v>13.547403395262156</c:v>
                </c:pt>
                <c:pt idx="49">
                  <c:v>13.45028814031415</c:v>
                </c:pt>
                <c:pt idx="50">
                  <c:v>13.35523190934701</c:v>
                </c:pt>
                <c:pt idx="51">
                  <c:v>13.26216295729618</c:v>
                </c:pt>
                <c:pt idx="52">
                  <c:v>13.171012990875015</c:v>
                </c:pt>
                <c:pt idx="53">
                  <c:v>13.081716957948686</c:v>
                </c:pt>
                <c:pt idx="54">
                  <c:v>12.994212852406402</c:v>
                </c:pt>
                <c:pt idx="55">
                  <c:v>12.908441533202055</c:v>
                </c:pt>
                <c:pt idx="56">
                  <c:v>12.824346556363212</c:v>
                </c:pt>
                <c:pt idx="57">
                  <c:v>12.74187401888431</c:v>
                </c:pt>
                <c:pt idx="58">
                  <c:v>12.660972413523021</c:v>
                </c:pt>
                <c:pt idx="59">
                  <c:v>12.581592493611094</c:v>
                </c:pt>
                <c:pt idx="60">
                  <c:v>12.503687147073553</c:v>
                </c:pt>
                <c:pt idx="61">
                  <c:v>12.427211278923989</c:v>
                </c:pt>
                <c:pt idx="62">
                  <c:v>12.35212170157018</c:v>
                </c:pt>
                <c:pt idx="63">
                  <c:v>12.278377032323785</c:v>
                </c:pt>
                <c:pt idx="64">
                  <c:v>12.205937597561608</c:v>
                </c:pt>
                <c:pt idx="65">
                  <c:v>12.134765343034173</c:v>
                </c:pt>
                <c:pt idx="66">
                  <c:v>12.064823749861004</c:v>
                </c:pt>
                <c:pt idx="67">
                  <c:v>11.996077755791342</c:v>
                </c:pt>
                <c:pt idx="68">
                  <c:v>11.928493681344666</c:v>
                </c:pt>
                <c:pt idx="69">
                  <c:v>11.862039160477559</c:v>
                </c:pt>
                <c:pt idx="70">
                  <c:v>11.796683075452753</c:v>
                </c:pt>
                <c:pt idx="71">
                  <c:v>11.732395495612586</c:v>
                </c:pt>
                <c:pt idx="72">
                  <c:v>11.669147619783262</c:v>
                </c:pt>
                <c:pt idx="73">
                  <c:v>11.606911722058195</c:v>
                </c:pt>
                <c:pt idx="74">
                  <c:v>11.545661100728562</c:v>
                </c:pt>
                <c:pt idx="75">
                  <c:v>11.48537003014745</c:v>
                </c:pt>
                <c:pt idx="76">
                  <c:v>11.426013715330491</c:v>
                </c:pt>
                <c:pt idx="77">
                  <c:v>11.367568249111009</c:v>
                </c:pt>
                <c:pt idx="78">
                  <c:v>11.310010571681545</c:v>
                </c:pt>
                <c:pt idx="79">
                  <c:v>11.2533184323662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77B-4092-9166-53FC8BA07EA4}"/>
            </c:ext>
          </c:extLst>
        </c:ser>
        <c:ser>
          <c:idx val="18"/>
          <c:order val="18"/>
          <c:tx>
            <c:strRef>
              <c:f>Foglio1!$J$44</c:f>
              <c:strCache>
                <c:ptCount val="1"/>
                <c:pt idx="0">
                  <c:v>W/P  Aborted landing OEI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Foglio1!$A$45:$A$124</c:f>
              <c:numCache>
                <c:formatCode>General</c:formatCode>
                <c:ptCount val="8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  <c:pt idx="75">
                  <c:v>96</c:v>
                </c:pt>
                <c:pt idx="76">
                  <c:v>97</c:v>
                </c:pt>
                <c:pt idx="77">
                  <c:v>98</c:v>
                </c:pt>
                <c:pt idx="78">
                  <c:v>99</c:v>
                </c:pt>
                <c:pt idx="79">
                  <c:v>100</c:v>
                </c:pt>
              </c:numCache>
            </c:numRef>
          </c:xVal>
          <c:yVal>
            <c:numRef>
              <c:f>Foglio1!$J$45:$J$124</c:f>
              <c:numCache>
                <c:formatCode>General</c:formatCode>
                <c:ptCount val="80"/>
                <c:pt idx="0">
                  <c:v>11.404167294190616</c:v>
                </c:pt>
                <c:pt idx="1">
                  <c:v>11.141967479986372</c:v>
                </c:pt>
                <c:pt idx="2">
                  <c:v>10.897059166805201</c:v>
                </c:pt>
                <c:pt idx="3">
                  <c:v>10.667621699078529</c:v>
                </c:pt>
                <c:pt idx="4">
                  <c:v>10.452091972713646</c:v>
                </c:pt>
                <c:pt idx="5">
                  <c:v>10.249119408987189</c:v>
                </c:pt>
                <c:pt idx="6">
                  <c:v>10.057530190068249</c:v>
                </c:pt>
                <c:pt idx="7">
                  <c:v>9.8762985857767163</c:v>
                </c:pt>
                <c:pt idx="8">
                  <c:v>9.7045237676535461</c:v>
                </c:pt>
                <c:pt idx="9">
                  <c:v>9.5414109109565572</c:v>
                </c:pt>
                <c:pt idx="10">
                  <c:v>9.3862556778543187</c:v>
                </c:pt>
                <c:pt idx="11">
                  <c:v>9.2384313893641199</c:v>
                </c:pt>
                <c:pt idx="12">
                  <c:v>9.0973783522167846</c:v>
                </c:pt>
                <c:pt idx="13">
                  <c:v>8.96259492549882</c:v>
                </c:pt>
                <c:pt idx="14">
                  <c:v>8.8336300015527094</c:v>
                </c:pt>
                <c:pt idx="15">
                  <c:v>8.710076643928037</c:v>
                </c:pt>
                <c:pt idx="16">
                  <c:v>8.5915666776828861</c:v>
                </c:pt>
                <c:pt idx="17">
                  <c:v>8.4777660680152138</c:v>
                </c:pt>
                <c:pt idx="18">
                  <c:v>8.368370954958035</c:v>
                </c:pt>
                <c:pt idx="19">
                  <c:v>8.2631042368344012</c:v>
                </c:pt>
                <c:pt idx="20">
                  <c:v>8.1617126149219583</c:v>
                </c:pt>
                <c:pt idx="21">
                  <c:v>8.0639640275080264</c:v>
                </c:pt>
                <c:pt idx="22">
                  <c:v>7.9696454141186219</c:v>
                </c:pt>
                <c:pt idx="23">
                  <c:v>7.8785607608583526</c:v>
                </c:pt>
                <c:pt idx="24">
                  <c:v>7.7905293860225289</c:v>
                </c:pt>
                <c:pt idx="25">
                  <c:v>7.7053844318389872</c:v>
                </c:pt>
                <c:pt idx="26">
                  <c:v>7.6229715336754387</c:v>
                </c:pt>
                <c:pt idx="27">
                  <c:v>7.5431476425511876</c:v>
                </c:pt>
                <c:pt idx="28">
                  <c:v>7.4657799805097458</c:v>
                </c:pt>
                <c:pt idx="29">
                  <c:v>7.390745111491297</c:v>
                </c:pt>
                <c:pt idx="30">
                  <c:v>7.317928112909974</c:v>
                </c:pt>
                <c:pt idx="31">
                  <c:v>7.2472218352855009</c:v>
                </c:pt>
                <c:pt idx="32">
                  <c:v>7.1785262390775593</c:v>
                </c:pt>
                <c:pt idx="33">
                  <c:v>7.111747799385685</c:v>
                </c:pt>
                <c:pt idx="34">
                  <c:v>7.0467989704566962</c:v>
                </c:pt>
                <c:pt idx="35">
                  <c:v>6.9835977030258265</c:v>
                </c:pt>
                <c:pt idx="36">
                  <c:v>6.9220670084395142</c:v>
                </c:pt>
                <c:pt idx="37">
                  <c:v>6.8621345642938456</c:v>
                </c:pt>
                <c:pt idx="38">
                  <c:v>6.8037323569950026</c:v>
                </c:pt>
                <c:pt idx="39">
                  <c:v>6.746796357224695</c:v>
                </c:pt>
                <c:pt idx="40">
                  <c:v>6.6912662247896133</c:v>
                </c:pt>
                <c:pt idx="41">
                  <c:v>6.6370850397615229</c:v>
                </c:pt>
                <c:pt idx="42">
                  <c:v>6.5841990571844766</c:v>
                </c:pt>
                <c:pt idx="43">
                  <c:v>6.5325574829460278</c:v>
                </c:pt>
                <c:pt idx="44">
                  <c:v>6.4821122686876658</c:v>
                </c:pt>
                <c:pt idx="45">
                  <c:v>6.4328179238721876</c:v>
                </c:pt>
                <c:pt idx="46">
                  <c:v>6.3846313433371202</c:v>
                </c:pt>
                <c:pt idx="47">
                  <c:v>6.3375116488483556</c:v>
                </c:pt>
                <c:pt idx="48">
                  <c:v>6.2914200433302616</c:v>
                </c:pt>
                <c:pt idx="49">
                  <c:v>6.2463196765908542</c:v>
                </c:pt>
                <c:pt idx="50">
                  <c:v>6.2021755214858807</c:v>
                </c:pt>
                <c:pt idx="51">
                  <c:v>6.1589542595760811</c:v>
                </c:pt>
                <c:pt idx="52">
                  <c:v>6.1166241754293615</c:v>
                </c:pt>
                <c:pt idx="53">
                  <c:v>6.0751550588059455</c:v>
                </c:pt>
                <c:pt idx="54">
                  <c:v>6.0345181140409485</c:v>
                </c:pt>
                <c:pt idx="55">
                  <c:v>5.9946858760067707</c:v>
                </c:pt>
                <c:pt idx="56">
                  <c:v>5.9556321320980068</c:v>
                </c:pt>
                <c:pt idx="57">
                  <c:v>5.9173318497353709</c:v>
                </c:pt>
                <c:pt idx="58">
                  <c:v>5.8797611089330699</c:v>
                </c:pt>
                <c:pt idx="59">
                  <c:v>5.8428970395168962</c:v>
                </c:pt>
                <c:pt idx="60">
                  <c:v>5.8067177626186908</c:v>
                </c:pt>
                <c:pt idx="61">
                  <c:v>5.7712023361071045</c:v>
                </c:pt>
                <c:pt idx="62">
                  <c:v>5.7363307036454794</c:v>
                </c:pt>
                <c:pt idx="63">
                  <c:v>5.702083647095308</c:v>
                </c:pt>
                <c:pt idx="64">
                  <c:v>5.66844274200868</c:v>
                </c:pt>
                <c:pt idx="65">
                  <c:v>5.6353903159755481</c:v>
                </c:pt>
                <c:pt idx="66">
                  <c:v>5.6029094096118959</c:v>
                </c:pt>
                <c:pt idx="67">
                  <c:v>5.5709837399931859</c:v>
                </c:pt>
                <c:pt idx="68">
                  <c:v>5.5395976663539779</c:v>
                </c:pt>
                <c:pt idx="69">
                  <c:v>5.5087361578896008</c:v>
                </c:pt>
                <c:pt idx="70">
                  <c:v>5.4783847635092977</c:v>
                </c:pt>
                <c:pt idx="71">
                  <c:v>5.4485295834026006</c:v>
                </c:pt>
                <c:pt idx="72">
                  <c:v>5.4191572422918437</c:v>
                </c:pt>
                <c:pt idx="73">
                  <c:v>5.3902548642539188</c:v>
                </c:pt>
                <c:pt idx="74">
                  <c:v>5.3618100490036067</c:v>
                </c:pt>
                <c:pt idx="75">
                  <c:v>5.3338108495392644</c:v>
                </c:pt>
                <c:pt idx="76">
                  <c:v>5.3062457510593415</c:v>
                </c:pt>
                <c:pt idx="77">
                  <c:v>5.2791036510652116</c:v>
                </c:pt>
                <c:pt idx="78">
                  <c:v>5.2523738405722344</c:v>
                </c:pt>
                <c:pt idx="79">
                  <c:v>5.2260459863568229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77B-4092-9166-53FC8BA07EA4}"/>
            </c:ext>
          </c:extLst>
        </c:ser>
        <c:ser>
          <c:idx val="19"/>
          <c:order val="19"/>
          <c:tx>
            <c:strRef>
              <c:f>Foglio1!$K$44</c:f>
              <c:strCache>
                <c:ptCount val="1"/>
                <c:pt idx="0">
                  <c:v>W/P  cruise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Foglio1!$A$45:$A$124</c:f>
              <c:numCache>
                <c:formatCode>General</c:formatCode>
                <c:ptCount val="8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  <c:pt idx="75">
                  <c:v>96</c:v>
                </c:pt>
                <c:pt idx="76">
                  <c:v>97</c:v>
                </c:pt>
                <c:pt idx="77">
                  <c:v>98</c:v>
                </c:pt>
                <c:pt idx="78">
                  <c:v>99</c:v>
                </c:pt>
                <c:pt idx="79">
                  <c:v>100</c:v>
                </c:pt>
              </c:numCache>
            </c:numRef>
          </c:xVal>
          <c:yVal>
            <c:numRef>
              <c:f>Foglio1!$K$45:$K$124</c:f>
              <c:numCache>
                <c:formatCode>General</c:formatCode>
                <c:ptCount val="80"/>
                <c:pt idx="0">
                  <c:v>4.57111953580619</c:v>
                </c:pt>
                <c:pt idx="1">
                  <c:v>4.7887918946541044</c:v>
                </c:pt>
                <c:pt idx="2">
                  <c:v>5.0064642535020178</c:v>
                </c:pt>
                <c:pt idx="3">
                  <c:v>5.2241366123499313</c:v>
                </c:pt>
                <c:pt idx="4">
                  <c:v>5.4418089711978448</c:v>
                </c:pt>
                <c:pt idx="5">
                  <c:v>5.65948133004576</c:v>
                </c:pt>
                <c:pt idx="6">
                  <c:v>5.8771536888936735</c:v>
                </c:pt>
                <c:pt idx="7">
                  <c:v>6.094826047741587</c:v>
                </c:pt>
                <c:pt idx="8">
                  <c:v>6.3124984065895005</c:v>
                </c:pt>
                <c:pt idx="9">
                  <c:v>6.5301707654374148</c:v>
                </c:pt>
                <c:pt idx="10">
                  <c:v>6.7478431242853292</c:v>
                </c:pt>
                <c:pt idx="11">
                  <c:v>6.9655154831332426</c:v>
                </c:pt>
                <c:pt idx="12">
                  <c:v>7.1831878419811561</c:v>
                </c:pt>
                <c:pt idx="13">
                  <c:v>7.4008602008290696</c:v>
                </c:pt>
                <c:pt idx="14">
                  <c:v>7.618532559676984</c:v>
                </c:pt>
                <c:pt idx="15">
                  <c:v>7.8362049185248974</c:v>
                </c:pt>
                <c:pt idx="16">
                  <c:v>8.0538772773728109</c:v>
                </c:pt>
                <c:pt idx="17">
                  <c:v>8.2715496362207244</c:v>
                </c:pt>
                <c:pt idx="18">
                  <c:v>8.4892219950686396</c:v>
                </c:pt>
                <c:pt idx="19">
                  <c:v>8.7068943539165531</c:v>
                </c:pt>
                <c:pt idx="20">
                  <c:v>8.9245667127644666</c:v>
                </c:pt>
                <c:pt idx="21">
                  <c:v>9.14223907161238</c:v>
                </c:pt>
                <c:pt idx="22">
                  <c:v>9.3599114304602935</c:v>
                </c:pt>
                <c:pt idx="23">
                  <c:v>9.5775837893082088</c:v>
                </c:pt>
                <c:pt idx="24">
                  <c:v>9.7952561481561204</c:v>
                </c:pt>
                <c:pt idx="25">
                  <c:v>10.012928507004036</c:v>
                </c:pt>
                <c:pt idx="26">
                  <c:v>10.230600865851951</c:v>
                </c:pt>
                <c:pt idx="27">
                  <c:v>10.448273224699863</c:v>
                </c:pt>
                <c:pt idx="28">
                  <c:v>10.665945583547778</c:v>
                </c:pt>
                <c:pt idx="29">
                  <c:v>10.88361794239569</c:v>
                </c:pt>
                <c:pt idx="30">
                  <c:v>11.101290301243605</c:v>
                </c:pt>
                <c:pt idx="31">
                  <c:v>11.31896266009152</c:v>
                </c:pt>
                <c:pt idx="32">
                  <c:v>11.536635018939432</c:v>
                </c:pt>
                <c:pt idx="33">
                  <c:v>11.754307377787347</c:v>
                </c:pt>
                <c:pt idx="34">
                  <c:v>11.97197973663526</c:v>
                </c:pt>
                <c:pt idx="35">
                  <c:v>12.189652095483174</c:v>
                </c:pt>
                <c:pt idx="36">
                  <c:v>12.407324454331089</c:v>
                </c:pt>
                <c:pt idx="37">
                  <c:v>12.624996813179001</c:v>
                </c:pt>
                <c:pt idx="38">
                  <c:v>12.842669172026916</c:v>
                </c:pt>
                <c:pt idx="39">
                  <c:v>13.06034153087483</c:v>
                </c:pt>
                <c:pt idx="40">
                  <c:v>13.278013889722743</c:v>
                </c:pt>
                <c:pt idx="41">
                  <c:v>13.495686248570658</c:v>
                </c:pt>
                <c:pt idx="42">
                  <c:v>13.71335860741857</c:v>
                </c:pt>
                <c:pt idx="43">
                  <c:v>13.931030966266485</c:v>
                </c:pt>
                <c:pt idx="44">
                  <c:v>14.148703325114399</c:v>
                </c:pt>
                <c:pt idx="45">
                  <c:v>14.366375683962312</c:v>
                </c:pt>
                <c:pt idx="46">
                  <c:v>14.584048042810226</c:v>
                </c:pt>
                <c:pt idx="47">
                  <c:v>14.801720401658139</c:v>
                </c:pt>
                <c:pt idx="48">
                  <c:v>15.019392760506054</c:v>
                </c:pt>
                <c:pt idx="49">
                  <c:v>15.237065119353968</c:v>
                </c:pt>
                <c:pt idx="50">
                  <c:v>15.454737478201881</c:v>
                </c:pt>
                <c:pt idx="51">
                  <c:v>15.672409837049795</c:v>
                </c:pt>
                <c:pt idx="52">
                  <c:v>15.890082195897708</c:v>
                </c:pt>
                <c:pt idx="53">
                  <c:v>16.107754554745622</c:v>
                </c:pt>
                <c:pt idx="54">
                  <c:v>16.325426913593539</c:v>
                </c:pt>
                <c:pt idx="55">
                  <c:v>16.543099272441449</c:v>
                </c:pt>
                <c:pt idx="56">
                  <c:v>16.760771631289366</c:v>
                </c:pt>
                <c:pt idx="57">
                  <c:v>16.978443990137279</c:v>
                </c:pt>
                <c:pt idx="58">
                  <c:v>17.196116348985193</c:v>
                </c:pt>
                <c:pt idx="59">
                  <c:v>17.413788707833106</c:v>
                </c:pt>
                <c:pt idx="60">
                  <c:v>17.63146106668102</c:v>
                </c:pt>
                <c:pt idx="61">
                  <c:v>17.849133425528933</c:v>
                </c:pt>
                <c:pt idx="62">
                  <c:v>18.066805784376847</c:v>
                </c:pt>
                <c:pt idx="63">
                  <c:v>18.28447814322476</c:v>
                </c:pt>
                <c:pt idx="64">
                  <c:v>18.502150502072677</c:v>
                </c:pt>
                <c:pt idx="65">
                  <c:v>18.719822860920587</c:v>
                </c:pt>
                <c:pt idx="66">
                  <c:v>18.937495219768504</c:v>
                </c:pt>
                <c:pt idx="67">
                  <c:v>19.155167578616418</c:v>
                </c:pt>
                <c:pt idx="68">
                  <c:v>19.372839937464331</c:v>
                </c:pt>
                <c:pt idx="69">
                  <c:v>19.590512296312241</c:v>
                </c:pt>
                <c:pt idx="70">
                  <c:v>19.808184655160158</c:v>
                </c:pt>
                <c:pt idx="71">
                  <c:v>20.025857014008071</c:v>
                </c:pt>
                <c:pt idx="72">
                  <c:v>20.243529372855985</c:v>
                </c:pt>
                <c:pt idx="73">
                  <c:v>20.461201731703902</c:v>
                </c:pt>
                <c:pt idx="74">
                  <c:v>20.678874090551812</c:v>
                </c:pt>
                <c:pt idx="75">
                  <c:v>20.896546449399725</c:v>
                </c:pt>
                <c:pt idx="76">
                  <c:v>21.114218808247642</c:v>
                </c:pt>
                <c:pt idx="77">
                  <c:v>21.331891167095556</c:v>
                </c:pt>
                <c:pt idx="78">
                  <c:v>21.549563525943469</c:v>
                </c:pt>
                <c:pt idx="79">
                  <c:v>21.767235884791379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B2-4569-A284-E3D482F4F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66160"/>
        <c:axId val="501167144"/>
      </c:scatterChart>
      <c:scatterChart>
        <c:scatterStyle val="lineMarker"/>
        <c:varyColors val="0"/>
        <c:ser>
          <c:idx val="7"/>
          <c:order val="7"/>
          <c:tx>
            <c:strRef>
              <c:f>Foglio1!$H$12</c:f>
              <c:strCache>
                <c:ptCount val="1"/>
                <c:pt idx="0">
                  <c:v>ATR 72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Foglio1!$H$16</c:f>
              <c:numCache>
                <c:formatCode>0.00</c:formatCode>
                <c:ptCount val="1"/>
                <c:pt idx="0">
                  <c:v>77.224752128421088</c:v>
                </c:pt>
              </c:numCache>
            </c:numRef>
          </c:xVal>
          <c:yVal>
            <c:numRef>
              <c:f>Foglio1!$H$17</c:f>
              <c:numCache>
                <c:formatCode>0.000</c:formatCode>
                <c:ptCount val="1"/>
                <c:pt idx="0">
                  <c:v>9.2190909090909088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EF-4C7A-B613-54E28A97D18B}"/>
            </c:ext>
          </c:extLst>
        </c:ser>
        <c:ser>
          <c:idx val="8"/>
          <c:order val="8"/>
          <c:tx>
            <c:strRef>
              <c:f>Foglio1!$I$12</c:f>
              <c:strCache>
                <c:ptCount val="1"/>
                <c:pt idx="0">
                  <c:v>BA ATP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Foglio1!$I$16</c:f>
              <c:numCache>
                <c:formatCode>0.00</c:formatCode>
                <c:ptCount val="1"/>
                <c:pt idx="0">
                  <c:v>59.263774912075029</c:v>
                </c:pt>
              </c:numCache>
            </c:numRef>
          </c:xVal>
          <c:yVal>
            <c:numRef>
              <c:f>Foglio1!$I$17</c:f>
              <c:numCache>
                <c:formatCode>0.000</c:formatCode>
                <c:ptCount val="1"/>
                <c:pt idx="0">
                  <c:v>9.191272727272727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EF-4C7A-B613-54E28A97D18B}"/>
            </c:ext>
          </c:extLst>
        </c:ser>
        <c:ser>
          <c:idx val="9"/>
          <c:order val="9"/>
          <c:tx>
            <c:strRef>
              <c:f>Foglio1!$J$12</c:f>
              <c:strCache>
                <c:ptCount val="1"/>
                <c:pt idx="0">
                  <c:v>saab 2000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Foglio1!$J$16</c:f>
              <c:numCache>
                <c:formatCode>0.00</c:formatCode>
                <c:ptCount val="1"/>
                <c:pt idx="0">
                  <c:v>83.958333333333329</c:v>
                </c:pt>
              </c:numCache>
            </c:numRef>
          </c:xVal>
          <c:yVal>
            <c:numRef>
              <c:f>Foglio1!$J$17</c:f>
              <c:numCache>
                <c:formatCode>0.000</c:formatCode>
                <c:ptCount val="1"/>
                <c:pt idx="0">
                  <c:v>6.0663535645472058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EF-4C7A-B613-54E28A97D18B}"/>
            </c:ext>
          </c:extLst>
        </c:ser>
        <c:ser>
          <c:idx val="10"/>
          <c:order val="10"/>
          <c:tx>
            <c:strRef>
              <c:f>Foglio1!$K$12</c:f>
              <c:strCache>
                <c:ptCount val="1"/>
                <c:pt idx="0">
                  <c:v>Q 400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Foglio1!$K$16</c:f>
              <c:numCache>
                <c:formatCode>0.00</c:formatCode>
                <c:ptCount val="1"/>
                <c:pt idx="0">
                  <c:v>89.550072568940493</c:v>
                </c:pt>
              </c:numCache>
            </c:numRef>
          </c:xVal>
          <c:yVal>
            <c:numRef>
              <c:f>Foglio1!$J$17</c:f>
              <c:numCache>
                <c:formatCode>0.000</c:formatCode>
                <c:ptCount val="1"/>
                <c:pt idx="0">
                  <c:v>6.0663535645472058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EF-4C7A-B613-54E28A97D18B}"/>
            </c:ext>
          </c:extLst>
        </c:ser>
        <c:ser>
          <c:idx val="11"/>
          <c:order val="11"/>
          <c:tx>
            <c:strRef>
              <c:f>Foglio1!$L$12</c:f>
              <c:strCache>
                <c:ptCount val="1"/>
                <c:pt idx="0">
                  <c:v>Xian MA60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Foglio1!$L$16</c:f>
              <c:numCache>
                <c:formatCode>0.00</c:formatCode>
                <c:ptCount val="1"/>
                <c:pt idx="0">
                  <c:v>59.55514250309789</c:v>
                </c:pt>
              </c:numCache>
            </c:numRef>
          </c:xVal>
          <c:yVal>
            <c:numRef>
              <c:f>Foglio1!$L$17</c:f>
              <c:numCache>
                <c:formatCode>0.000</c:formatCode>
                <c:ptCount val="1"/>
                <c:pt idx="0">
                  <c:v>9.7092929292929284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EF-4C7A-B613-54E28A97D18B}"/>
            </c:ext>
          </c:extLst>
        </c:ser>
        <c:ser>
          <c:idx val="12"/>
          <c:order val="12"/>
          <c:tx>
            <c:strRef>
              <c:f>Foglio1!$M$12</c:f>
              <c:strCache>
                <c:ptCount val="1"/>
                <c:pt idx="0">
                  <c:v>Ilyushin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Foglio1!$M$16</c:f>
              <c:numCache>
                <c:formatCode>0.00</c:formatCode>
                <c:ptCount val="1"/>
                <c:pt idx="0">
                  <c:v>58.807037457434731</c:v>
                </c:pt>
              </c:numCache>
            </c:numRef>
          </c:xVal>
          <c:yVal>
            <c:numRef>
              <c:f>Foglio1!$M$17</c:f>
              <c:numCache>
                <c:formatCode>0.000</c:formatCode>
                <c:ptCount val="1"/>
                <c:pt idx="0">
                  <c:v>9.2516071428571429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6EF-4C7A-B613-54E28A97D18B}"/>
            </c:ext>
          </c:extLst>
        </c:ser>
        <c:ser>
          <c:idx val="20"/>
          <c:order val="20"/>
          <c:tx>
            <c:strRef>
              <c:f>Foglio1!$O$12</c:f>
              <c:strCache>
                <c:ptCount val="1"/>
                <c:pt idx="0">
                  <c:v>DABCM98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Foglio1!$O$16</c:f>
              <c:numCache>
                <c:formatCode>General</c:formatCode>
                <c:ptCount val="1"/>
                <c:pt idx="0">
                  <c:v>78</c:v>
                </c:pt>
              </c:numCache>
            </c:numRef>
          </c:xVal>
          <c:yVal>
            <c:numRef>
              <c:f>Foglio1!$O$17</c:f>
              <c:numCache>
                <c:formatCode>General</c:formatCode>
                <c:ptCount val="1"/>
                <c:pt idx="0">
                  <c:v>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B2-4569-A284-E3D482F4F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66160"/>
        <c:axId val="501167144"/>
      </c:scatterChart>
      <c:valAx>
        <c:axId val="50116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14:m xmlns:a14="http://schemas.microsoft.com/office/drawing/2010/main">
                  <m:oMath xmlns:m="http://schemas.openxmlformats.org/officeDocument/2006/math">
                    <m:f>
                      <m:fPr>
                        <m:ctrlPr>
                          <a:rPr lang="en-GB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i="1">
                            <a:latin typeface="Cambria Math" panose="02040503050406030204" pitchFamily="18" charset="0"/>
                          </a:rPr>
                          <m:t>𝑊</m:t>
                        </m:r>
                      </m:num>
                      <m:den>
                        <m:r>
                          <a:rPr lang="en-GB" i="1">
                            <a:latin typeface="Cambria Math" panose="02040503050406030204" pitchFamily="18" charset="0"/>
                          </a:rPr>
                          <m:t>𝑆</m:t>
                        </m:r>
                      </m:den>
                    </m:f>
                  </m:oMath>
                </a14:m>
                <a:r>
                  <a:rPr lang="en-GB"/>
                  <a:t> [psf]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1167144"/>
        <c:crosses val="autoZero"/>
        <c:crossBetween val="midCat"/>
      </c:valAx>
      <c:valAx>
        <c:axId val="501167144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14:m xmlns:a14="http://schemas.microsoft.com/office/drawing/2010/main"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f>
                        <m:fPr>
                          <m:ctrlPr>
                            <a:rPr lang="en-GB" i="1">
                              <a:solidFill>
                                <a:srgbClr val="836967"/>
                              </a:solidFill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GB" i="1">
                              <a:latin typeface="Cambria Math" panose="02040503050406030204" pitchFamily="18" charset="0"/>
                            </a:rPr>
                            <m:t>𝑊</m:t>
                          </m:r>
                        </m:num>
                        <m:den>
                          <m:r>
                            <a:rPr lang="en-GB" i="1">
                              <a:latin typeface="Cambria Math" panose="02040503050406030204" pitchFamily="18" charset="0"/>
                            </a:rPr>
                            <m:t>𝑃</m:t>
                          </m:r>
                        </m:den>
                      </m:f>
                    </m:oMath>
                  </m:oMathPara>
                </a14:m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116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13986843625106"/>
          <c:y val="5.6995251048253773E-2"/>
          <c:w val="0.19067363839628149"/>
          <c:h val="0.88281605606017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711600</xdr:colOff>
      <xdr:row>44</xdr:row>
      <xdr:rowOff>158623</xdr:rowOff>
    </xdr:from>
    <xdr:to>
      <xdr:col>15</xdr:col>
      <xdr:colOff>9691</xdr:colOff>
      <xdr:row>79</xdr:row>
      <xdr:rowOff>115607</xdr:rowOff>
    </xdr:to>
    <xdr:graphicFrame macro="">
      <xdr:nvGraphicFramePr>
        <xdr:cNvPr id="9" name="Grafico 3">
          <a:extLst>
            <a:ext uri="{FF2B5EF4-FFF2-40B4-BE49-F238E27FC236}">
              <a16:creationId xmlns:a16="http://schemas.microsoft.com/office/drawing/2014/main" id="{962FF40F-2D6C-4BE1-BE3C-98E25A24F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623001</xdr:colOff>
      <xdr:row>34</xdr:row>
      <xdr:rowOff>133112</xdr:rowOff>
    </xdr:from>
    <xdr:to>
      <xdr:col>7</xdr:col>
      <xdr:colOff>2463266</xdr:colOff>
      <xdr:row>41</xdr:row>
      <xdr:rowOff>79619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4D2C0E4B-6931-4CFF-ABD7-0BA3C4D26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7486" y="6767899"/>
          <a:ext cx="4574806" cy="12395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1737861</xdr:colOff>
      <xdr:row>36</xdr:row>
      <xdr:rowOff>50803</xdr:rowOff>
    </xdr:from>
    <xdr:to>
      <xdr:col>12</xdr:col>
      <xdr:colOff>1194252</xdr:colOff>
      <xdr:row>44</xdr:row>
      <xdr:rowOff>3354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F7B85943-EE3F-4F0C-B9AA-C473D9ADF3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84646" y="6684685"/>
          <a:ext cx="1528233" cy="1541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2043545</xdr:colOff>
      <xdr:row>38</xdr:row>
      <xdr:rowOff>40408</xdr:rowOff>
    </xdr:from>
    <xdr:to>
      <xdr:col>11</xdr:col>
      <xdr:colOff>716781</xdr:colOff>
      <xdr:row>41</xdr:row>
      <xdr:rowOff>172222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D497F7D3-2068-4B96-88D4-D8C2C003D7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71787" y="7414104"/>
          <a:ext cx="2390872" cy="6859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190547</xdr:colOff>
      <xdr:row>1</xdr:row>
      <xdr:rowOff>95940</xdr:rowOff>
    </xdr:from>
    <xdr:to>
      <xdr:col>4</xdr:col>
      <xdr:colOff>387489</xdr:colOff>
      <xdr:row>5</xdr:row>
      <xdr:rowOff>72196</xdr:rowOff>
    </xdr:to>
    <xdr:pic>
      <xdr:nvPicPr>
        <xdr:cNvPr id="11" name="Immagine 3">
          <a:extLst>
            <a:ext uri="{FF2B5EF4-FFF2-40B4-BE49-F238E27FC236}">
              <a16:creationId xmlns:a16="http://schemas.microsoft.com/office/drawing/2014/main" id="{20A1177C-C5E4-4196-8708-34D495ACC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3597" y="276915"/>
          <a:ext cx="2516809" cy="7043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147108</xdr:colOff>
      <xdr:row>5</xdr:row>
      <xdr:rowOff>43988</xdr:rowOff>
    </xdr:from>
    <xdr:to>
      <xdr:col>11</xdr:col>
      <xdr:colOff>20936</xdr:colOff>
      <xdr:row>10</xdr:row>
      <xdr:rowOff>128382</xdr:rowOff>
    </xdr:to>
    <xdr:pic>
      <xdr:nvPicPr>
        <xdr:cNvPr id="12" name="Immagine 4">
          <a:extLst>
            <a:ext uri="{FF2B5EF4-FFF2-40B4-BE49-F238E27FC236}">
              <a16:creationId xmlns:a16="http://schemas.microsoft.com/office/drawing/2014/main" id="{08099D7C-BCC5-4828-B3B3-8C26A26DB43E}"/>
            </a:ext>
            <a:ext uri="{147F2762-F138-4A5C-976F-8EAC2B608ADB}">
              <a16:predDERef xmlns:a16="http://schemas.microsoft.com/office/drawing/2014/main" pred="{20A1177C-C5E4-4196-8708-34D495ACC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0558" y="948863"/>
          <a:ext cx="4217228" cy="994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UNO SPOTI" id="{652A1629-9039-4AAD-BC52-6642C56B43EA}" userId="BRUNO SPOTI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7B6598-7FF0-4FA8-B2CA-51BE0BF8C723}" name="Tabella2" displayName="Tabella2" ref="G12:P18" totalsRowShown="0">
  <autoFilter ref="G12:P18" xr:uid="{E7EC2CEA-59D0-4FED-AF82-8B9DC1396CB6}"/>
  <tableColumns count="10">
    <tableColumn id="1" xr3:uid="{66F5815B-A8E7-4788-943F-42EB62857BFD}" name="Dati"/>
    <tableColumn id="2" xr3:uid="{405710E5-F9CC-4CD2-84D2-82364D416F21}" name="ATR 72"/>
    <tableColumn id="3" xr3:uid="{B66D0861-ED5E-4873-8270-42E57728C772}" name="BA ATP"/>
    <tableColumn id="4" xr3:uid="{1B3DCBE7-97C2-4309-8463-BB270B1FB401}" name="saab 2000"/>
    <tableColumn id="5" xr3:uid="{607E9761-0066-4ACA-A866-825F94889254}" name="Q 400"/>
    <tableColumn id="6" xr3:uid="{FB840B36-03E9-4148-9137-7841FA01B75E}" name="Xian MA60"/>
    <tableColumn id="7" xr3:uid="{004776D2-2BC7-4B33-B0FA-CDAD2A4004DA}" name="Ilyushin"/>
    <tableColumn id="8" xr3:uid="{B3173F6B-B736-4D4A-B0E9-E95E9B83DFC4}" name="Media" dataDxfId="9">
      <calculatedColumnFormula>AVERAGE(Tabella2[[#This Row],[ATR 72]:[Ilyushin]])</calculatedColumnFormula>
    </tableColumn>
    <tableColumn id="9" xr3:uid="{97E0CD08-030A-4D0D-BE73-1070BB428557}" name="DABCM98" dataDxfId="8"/>
    <tableColumn id="10" xr3:uid="{3AB1A44A-917B-4D82-95FE-C1F9E06980DD}" name="DABCM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193B4E-D9A2-4CAA-9DB8-51AD65DE61F4}" name="Tabella1" displayName="Tabella1" ref="A44:K124" totalsRowShown="0">
  <autoFilter ref="A44:K124" xr:uid="{89F6EDBF-5777-4848-8DE5-0803BF67A590}"/>
  <tableColumns count="11">
    <tableColumn id="1" xr3:uid="{E9DDE29E-6BC9-49C2-9086-165F3A387088}" name="W/S [lb/ft^2]"/>
    <tableColumn id="2" xr3:uid="{4CB4D618-4102-4782-895B-276D93807D66}" name="W/P TAKE OFF [lb/hp] @CLmax=1.9">
      <calculatedColumnFormula>(2.8*$B$19*$C$3*$B$15)/(37.5*$A45)</calculatedColumnFormula>
    </tableColumn>
    <tableColumn id="3" xr3:uid="{D2A7CBA9-D5A0-4A94-AE65-702793D313D3}" name="W/P TAKE OFF [lb/hp]  @CLmax=2">
      <calculatedColumnFormula>(2.8*$B$19*$C$4*$B$15)/(37.5*$A45)</calculatedColumnFormula>
    </tableColumn>
    <tableColumn id="4" xr3:uid="{512ECBD9-F0D2-4801-9980-8DF790D5E0FD}" name="W/P TAKE OFF [lb/hp]  @CLmax=2.1">
      <calculatedColumnFormula>(2.8*$B$19*$C$5*$B$15)/(37.5*$A45)</calculatedColumnFormula>
    </tableColumn>
    <tableColumn id="5" xr3:uid="{F1674123-576F-48EA-95B7-D943DA8664E8}" name="W/P First segment OEI">
      <calculatedColumnFormula>0.5*(18.97*$B$21*$B$19/$E$35)*Tabella1[[#This Row],[W/S '[lb/ft^2']]]^-0.5</calculatedColumnFormula>
    </tableColumn>
    <tableColumn id="6" xr3:uid="{2CCB512D-6CCD-493E-AC92-B460D796191A}" name="W/P Transition Climb OEI" dataDxfId="7">
      <calculatedColumnFormula>0.5*(18.97*$B$21*$B$19/$E$36)*Tabella1[[#This Row],[W/S '[lb/ft^2']]]^-0.5</calculatedColumnFormula>
    </tableColumn>
    <tableColumn id="7" xr3:uid="{63A42EC9-98AC-4FD1-BF87-78946E98BD53}" name="W/P Second segment OEI " dataDxfId="6">
      <calculatedColumnFormula>0.5*(18.97*$B$21*$B$19/$E$37)*Tabella1[[#This Row],[W/S '[lb/ft^2']]]^-0.5</calculatedColumnFormula>
    </tableColumn>
    <tableColumn id="8" xr3:uid="{EE18B658-E47D-43FB-B7B4-8CF2D52E8446}" name="W/P Climb cruise OEI " dataDxfId="5">
      <calculatedColumnFormula>0.5*(18.97*$B$21*$B$19/$E$38)*Tabella1[[#This Row],[W/S '[lb/ft^2']]]^-0.5</calculatedColumnFormula>
    </tableColumn>
    <tableColumn id="9" xr3:uid="{C3A78689-8750-419C-ADEC-383C26963FBB}" name="W/P Aborted landing AEO" dataDxfId="4">
      <calculatedColumnFormula>1.18*(18.97*$B$21*$B$19/$E$39)*Tabella1[[#This Row],[W/S '[lb/ft^2']]]^-0.5</calculatedColumnFormula>
    </tableColumn>
    <tableColumn id="10" xr3:uid="{DF5CD113-FBAE-4AA5-B3B3-5EB205FEE89D}" name="W/P  Aborted landing OEI" dataDxfId="3">
      <calculatedColumnFormula>1.18*0.5*(18.97*$B$21*$B$19/$E$40)*(Tabella1[[#This Row],[W/S '[lb/ft^2']]]^-0.5)</calculatedColumnFormula>
    </tableColumn>
    <tableColumn id="11" xr3:uid="{A8A89898-406A-4DD4-A842-64A6AD6C7516}" name="W/P  cruise" dataDxfId="2">
      <calculatedColumnFormula>($B$27*$B$28*$B$29*Tabella1[[#This Row],[W/S '[lb/ft^2']]])/($B$30^3*$B$26)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CCD123B-2C7B-46C2-A2A7-65BA065EDEEE}" name="Tabella4" displayName="Tabella4" ref="A34:E40" totalsRowShown="0">
  <autoFilter ref="A34:E40" xr:uid="{FEE8C7A4-7C4A-4274-8AEC-7FBFEB22CB73}"/>
  <tableColumns count="5">
    <tableColumn id="1" xr3:uid="{517550DB-7446-4078-B110-945272AC4CCD}" name="Configurazione"/>
    <tableColumn id="2" xr3:uid="{746812B9-9DEB-40E3-AAD2-A7DB6BDF6875}" name="CGR"/>
    <tableColumn id="3" xr3:uid="{DFDBDC59-ED9A-49DE-A96E-5FA7256A61C7}" name="CL" dataDxfId="1">
      <calculatedColumnFormula>C3/1.2^2</calculatedColumnFormula>
    </tableColumn>
    <tableColumn id="4" xr3:uid="{92A4EACD-03E1-4E2A-A557-D2EBE308DF7A}" name="CD">
      <calculatedColumnFormula>Polare!$B$14+Polare!$B$18+Polare!$B$20+Tabella4[[#This Row],[CL]]^2/(PI()*Foglio1!$N$18*Polare!$C$18)</calculatedColumnFormula>
    </tableColumn>
    <tableColumn id="5" xr3:uid="{98E386A9-6DBC-4C7B-831A-7B6D1EBA3B5B}" name="CGRP" dataDxfId="0">
      <calculatedColumnFormula>(Tabella4[[#This Row],[CGR]]+(Tabella4[[#This Row],[CD]]/Tabella4[[#This Row],[CL]]))*(Tabella4[[#This Row],[CL]]^(-0.5))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BC3539-758A-4336-A78E-A8EEDB6E74EB}" name="Tabella3" displayName="Tabella3" ref="A16:D21" totalsRowShown="0">
  <autoFilter ref="A16:D21" xr:uid="{6EBDF461-D16B-4D2F-8FE6-1466468A8592}"/>
  <tableColumns count="4">
    <tableColumn id="1" xr3:uid="{D0BB4041-090E-432F-97D5-FE66C9AB4E6A}" name="Configuration"/>
    <tableColumn id="2" xr3:uid="{1FBA6B2B-AE9A-45D9-B0F3-10E1C1A9085A}" name="ΔCDo"/>
    <tableColumn id="3" xr3:uid="{5B1BF9A1-F5F7-44C3-AF9E-A61BE8D02089}" name="e"/>
    <tableColumn id="4" xr3:uid="{26C5F085-D10C-40C5-AD49-67B1A823B1E1}" name="CL_max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8060F12-D078-41F5-ACBA-5B1936332AAA}" name="Tabella6" displayName="Tabella6" ref="A25:F65" totalsRowShown="0">
  <autoFilter ref="A25:F65" xr:uid="{80358D58-A322-4CC8-B553-BAC24F1D5386}"/>
  <tableColumns count="6">
    <tableColumn id="1" xr3:uid="{81539905-8D98-4B59-912B-77D8767A4C56}" name="CL"/>
    <tableColumn id="2" xr3:uid="{83CB35E8-29EB-4D6A-ABA5-0EAFAEEE3AF1}" name="CD clean">
      <calculatedColumnFormula>$B$14+A26^2/(PI()*Foglio1!$N$18*$C$17)</calculatedColumnFormula>
    </tableColumn>
    <tableColumn id="3" xr3:uid="{6B7A96AD-19B9-489D-BF2E-D81138DCBB68}" name="CD take-off no gear">
      <calculatedColumnFormula>$B$18+$B$14+$A26^2/(PI()*Foglio1!$N$18*$C$18)</calculatedColumnFormula>
    </tableColumn>
    <tableColumn id="4" xr3:uid="{038C2744-B459-479D-AEBF-02F4954D82C2}" name="CD take-off gear">
      <calculatedColumnFormula>C26+$B$20</calculatedColumnFormula>
    </tableColumn>
    <tableColumn id="5" xr3:uid="{12CDE6C0-B067-41B4-AD04-CFB4B9E2D6DE}" name="CD landing no gear">
      <calculatedColumnFormula>$B$19+$B$14+$A26^2/(PI()*Foglio1!$N$18*$C$19)</calculatedColumnFormula>
    </tableColumn>
    <tableColumn id="6" xr3:uid="{47B7D63D-1175-40C7-9A45-51C0174310C3}" name="CD landing gear">
      <calculatedColumnFormula>$E26+$B$20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0" dT="2021-04-29T15:01:40.89" personId="{652A1629-9039-4AAD-BC52-6642C56B43EA}" id="{C69BEF49-08A0-40DD-B1A3-8B3A212A25EF}">
    <text>Da cambiare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1-04-20T15:32:28.14" personId="{652A1629-9039-4AAD-BC52-6642C56B43EA}" id="{D489FE98-8288-4316-91BE-072ED45A5D98}">
    <text>dati statistici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8E24B-4739-4D32-8C39-A951AE773A8B}">
  <dimension ref="A1:P124"/>
  <sheetViews>
    <sheetView tabSelected="1" topLeftCell="H10" zoomScale="80" zoomScaleNormal="80" workbookViewId="0">
      <selection activeCell="O18" sqref="O18"/>
    </sheetView>
  </sheetViews>
  <sheetFormatPr defaultRowHeight="14.4" x14ac:dyDescent="0.3"/>
  <cols>
    <col min="1" max="1" width="29.6640625" customWidth="1"/>
    <col min="2" max="2" width="34.109375" bestFit="1" customWidth="1"/>
    <col min="3" max="3" width="33.109375" bestFit="1" customWidth="1"/>
    <col min="4" max="4" width="34.5546875" bestFit="1" customWidth="1"/>
    <col min="5" max="5" width="25" customWidth="1"/>
    <col min="6" max="6" width="25.109375" customWidth="1"/>
    <col min="7" max="7" width="35.6640625" customWidth="1"/>
    <col min="8" max="8" width="37" customWidth="1"/>
    <col min="9" max="9" width="40.5546875" customWidth="1"/>
    <col min="10" max="10" width="29.33203125" bestFit="1" customWidth="1"/>
    <col min="11" max="11" width="22.44140625" bestFit="1" customWidth="1"/>
    <col min="12" max="12" width="28.6640625" bestFit="1" customWidth="1"/>
    <col min="13" max="13" width="37" bestFit="1" customWidth="1"/>
    <col min="14" max="15" width="28.6640625" bestFit="1" customWidth="1"/>
    <col min="16" max="16" width="29.109375" bestFit="1" customWidth="1"/>
  </cols>
  <sheetData>
    <row r="1" spans="1:16" ht="15" thickBot="1" x14ac:dyDescent="0.35">
      <c r="A1" s="13" t="s">
        <v>0</v>
      </c>
      <c r="B1" s="28" t="s">
        <v>1</v>
      </c>
      <c r="C1" s="29"/>
      <c r="D1" s="30" t="s">
        <v>2</v>
      </c>
      <c r="E1" s="31"/>
      <c r="F1" s="31"/>
      <c r="G1" s="31"/>
      <c r="H1" s="15" t="s">
        <v>3</v>
      </c>
      <c r="I1" s="15" t="s">
        <v>4</v>
      </c>
      <c r="J1" s="15"/>
      <c r="K1" s="15"/>
      <c r="L1" s="15"/>
      <c r="M1" s="15"/>
      <c r="N1" s="15"/>
      <c r="O1" s="15"/>
      <c r="P1" s="15"/>
    </row>
    <row r="2" spans="1:16" ht="15" thickBot="1" x14ac:dyDescent="0.35">
      <c r="A2" s="12" t="s">
        <v>5</v>
      </c>
      <c r="B2" s="10" t="s">
        <v>6</v>
      </c>
      <c r="C2" s="11">
        <v>1.7</v>
      </c>
      <c r="D2" s="15">
        <f>0.5*D12^2*$B$17*C2</f>
        <v>4094.5003611399998</v>
      </c>
      <c r="E2" s="15" t="s">
        <v>7</v>
      </c>
      <c r="F2" s="15">
        <f>D2/9.81</f>
        <v>417.3802610744138</v>
      </c>
      <c r="G2" s="15" t="s">
        <v>8</v>
      </c>
      <c r="H2" s="15">
        <f>F2*2.25/(3.28084^2)</f>
        <v>87.245758368336467</v>
      </c>
      <c r="I2" s="15">
        <f>F6*2.25/(3.28084^2)</f>
        <v>82.788096907210232</v>
      </c>
      <c r="J2" s="15"/>
      <c r="K2" s="15"/>
      <c r="L2" s="15"/>
      <c r="M2" s="15"/>
      <c r="N2" s="15"/>
      <c r="O2" s="15"/>
      <c r="P2" s="15"/>
    </row>
    <row r="3" spans="1:16" x14ac:dyDescent="0.3">
      <c r="A3" s="40" t="s">
        <v>9</v>
      </c>
      <c r="B3" s="6" t="s">
        <v>10</v>
      </c>
      <c r="C3" s="7">
        <v>1.9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</row>
    <row r="4" spans="1:16" ht="14.4" customHeight="1" x14ac:dyDescent="0.3">
      <c r="A4" s="40"/>
      <c r="B4" s="6" t="s">
        <v>11</v>
      </c>
      <c r="C4" s="7">
        <v>2</v>
      </c>
      <c r="D4" s="15"/>
      <c r="E4" s="15"/>
      <c r="F4" s="15"/>
      <c r="G4" s="15"/>
      <c r="H4" s="15" t="s">
        <v>12</v>
      </c>
      <c r="I4" s="15" t="s">
        <v>13</v>
      </c>
      <c r="J4" s="15" t="s">
        <v>14</v>
      </c>
      <c r="K4" s="15"/>
      <c r="L4" s="15"/>
      <c r="M4" s="15"/>
      <c r="N4" s="15"/>
      <c r="O4" s="15"/>
      <c r="P4" s="15"/>
    </row>
    <row r="5" spans="1:16" ht="15" thickBot="1" x14ac:dyDescent="0.35">
      <c r="A5" s="41"/>
      <c r="B5" s="8" t="s">
        <v>15</v>
      </c>
      <c r="C5" s="9">
        <v>2.1</v>
      </c>
      <c r="D5" s="15"/>
      <c r="E5" s="15"/>
      <c r="F5" s="15"/>
      <c r="G5" s="15"/>
      <c r="H5" s="15">
        <f>($B$20^(-1)*0.5*$B$17*$D$14^2*C6*(9.81^(-1)))*0.204816</f>
        <v>100.35852914942252</v>
      </c>
      <c r="I5" s="15">
        <f>($B$20^(-1)*0.5*$B$17*$D$14^2*C7*(9.81^(-1)))*0.204816</f>
        <v>104.37287031539942</v>
      </c>
      <c r="J5" s="15">
        <f>($B$20^(-1)*0.5*$B$17*$D$14^2*C8*(9.81^(-1)))*0.204816</f>
        <v>108.38721148137633</v>
      </c>
      <c r="K5" s="15"/>
      <c r="L5" s="15"/>
      <c r="M5" s="15"/>
      <c r="N5" s="15"/>
      <c r="O5" s="15"/>
      <c r="P5" s="15"/>
    </row>
    <row r="6" spans="1:16" x14ac:dyDescent="0.3">
      <c r="A6" s="39" t="s">
        <v>16</v>
      </c>
      <c r="B6" s="6" t="s">
        <v>17</v>
      </c>
      <c r="C6" s="7">
        <v>2.5</v>
      </c>
      <c r="D6" s="15">
        <f>D13^2*0.5*$B$17*C6</f>
        <v>3885.2994005000005</v>
      </c>
      <c r="E6" s="15" t="s">
        <v>7</v>
      </c>
      <c r="F6" s="15">
        <f>D6/9.81</f>
        <v>396.05498476044858</v>
      </c>
      <c r="G6" s="15" t="s">
        <v>8</v>
      </c>
      <c r="H6" s="15"/>
      <c r="I6" s="15"/>
      <c r="J6" s="15"/>
      <c r="K6" s="15"/>
      <c r="L6" s="15"/>
      <c r="M6" s="15"/>
      <c r="N6" s="15"/>
      <c r="O6" s="15"/>
      <c r="P6" s="15"/>
    </row>
    <row r="7" spans="1:16" ht="14.4" customHeight="1" x14ac:dyDescent="0.3">
      <c r="A7" s="40"/>
      <c r="B7" s="6" t="s">
        <v>18</v>
      </c>
      <c r="C7" s="7">
        <v>2.6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</row>
    <row r="8" spans="1:16" ht="15" thickBot="1" x14ac:dyDescent="0.35">
      <c r="A8" s="41"/>
      <c r="B8" s="8" t="s">
        <v>19</v>
      </c>
      <c r="C8" s="9">
        <v>2.7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</row>
    <row r="9" spans="1:16" ht="15" thickBot="1" x14ac:dyDescent="0.3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</row>
    <row r="10" spans="1:16" ht="15" thickBot="1" x14ac:dyDescent="0.35">
      <c r="A10" s="32" t="s">
        <v>20</v>
      </c>
      <c r="B10" s="33"/>
      <c r="C10" s="33"/>
      <c r="D10" s="33"/>
      <c r="E10" s="34"/>
      <c r="F10" s="15"/>
      <c r="G10" s="42" t="s">
        <v>21</v>
      </c>
      <c r="H10" s="43"/>
      <c r="I10" s="43"/>
      <c r="J10" s="43"/>
      <c r="K10" s="43"/>
      <c r="L10" s="43"/>
      <c r="M10" s="43"/>
      <c r="N10" s="44"/>
      <c r="O10" s="15"/>
      <c r="P10" s="15"/>
    </row>
    <row r="11" spans="1:16" s="15" customFormat="1" x14ac:dyDescent="0.3">
      <c r="A11" s="21" t="s">
        <v>22</v>
      </c>
      <c r="B11" s="16"/>
      <c r="C11" s="16"/>
      <c r="D11" s="16"/>
      <c r="E11" s="22"/>
      <c r="G11" s="17"/>
      <c r="H11" s="17"/>
      <c r="I11" s="17"/>
      <c r="J11" s="17"/>
      <c r="K11" s="17"/>
      <c r="L11" s="17"/>
      <c r="M11" s="17"/>
      <c r="N11" s="17"/>
    </row>
    <row r="12" spans="1:16" x14ac:dyDescent="0.3">
      <c r="A12" s="23" t="s">
        <v>23</v>
      </c>
      <c r="B12" s="14">
        <v>122</v>
      </c>
      <c r="C12" s="14" t="s">
        <v>24</v>
      </c>
      <c r="D12" s="14">
        <f>0.514*B12</f>
        <v>62.707999999999998</v>
      </c>
      <c r="E12" s="24" t="s">
        <v>25</v>
      </c>
      <c r="F12" s="15"/>
      <c r="G12" s="15" t="s">
        <v>22</v>
      </c>
      <c r="H12" s="15" t="s">
        <v>26</v>
      </c>
      <c r="I12" s="15" t="s">
        <v>27</v>
      </c>
      <c r="J12" s="15" t="s">
        <v>28</v>
      </c>
      <c r="K12" s="15" t="s">
        <v>29</v>
      </c>
      <c r="L12" s="15" t="s">
        <v>30</v>
      </c>
      <c r="M12" s="15" t="s">
        <v>31</v>
      </c>
      <c r="N12" s="15" t="s">
        <v>32</v>
      </c>
      <c r="O12" s="20" t="s">
        <v>33</v>
      </c>
      <c r="P12" s="15" t="s">
        <v>34</v>
      </c>
    </row>
    <row r="13" spans="1:16" x14ac:dyDescent="0.3">
      <c r="A13" s="23" t="s">
        <v>35</v>
      </c>
      <c r="B13" s="14">
        <v>98</v>
      </c>
      <c r="C13" s="14" t="s">
        <v>24</v>
      </c>
      <c r="D13" s="14">
        <f>0.514*B13</f>
        <v>50.372</v>
      </c>
      <c r="E13" s="24" t="s">
        <v>25</v>
      </c>
      <c r="F13" s="15"/>
      <c r="G13" s="15" t="s">
        <v>36</v>
      </c>
      <c r="H13" s="15">
        <v>50705</v>
      </c>
      <c r="I13" s="15">
        <v>50552</v>
      </c>
      <c r="J13" s="15">
        <v>50375</v>
      </c>
      <c r="K13" s="15">
        <v>61700</v>
      </c>
      <c r="L13" s="15">
        <v>48061</v>
      </c>
      <c r="M13" s="15">
        <v>51809</v>
      </c>
      <c r="N13" s="15">
        <f>AVERAGE(Tabella2[[#This Row],[ATR 72]:[Ilyushin]])</f>
        <v>52200.333333333336</v>
      </c>
      <c r="O13" s="20">
        <f>B18</f>
        <v>76400</v>
      </c>
      <c r="P13" s="15"/>
    </row>
    <row r="14" spans="1:16" x14ac:dyDescent="0.3">
      <c r="A14" s="23" t="s">
        <v>37</v>
      </c>
      <c r="B14" s="14">
        <f>SQRT(B16/(0.3*0.6*1.3*1.3))</f>
        <v>107.26410596590712</v>
      </c>
      <c r="C14" s="14" t="s">
        <v>24</v>
      </c>
      <c r="D14" s="14">
        <f>B14*0.514444</f>
        <v>55.181375729525122</v>
      </c>
      <c r="E14" s="24" t="s">
        <v>25</v>
      </c>
      <c r="F14" s="15"/>
      <c r="G14" s="15" t="s">
        <v>38</v>
      </c>
      <c r="H14" s="15">
        <v>656.59</v>
      </c>
      <c r="I14" s="15">
        <v>853</v>
      </c>
      <c r="J14" s="15">
        <v>600</v>
      </c>
      <c r="K14" s="15">
        <v>689</v>
      </c>
      <c r="L14" s="15">
        <v>807</v>
      </c>
      <c r="M14" s="15">
        <v>881</v>
      </c>
      <c r="N14" s="15">
        <f>AVERAGE(Tabella2[[#This Row],[ATR 72]:[Ilyushin]])</f>
        <v>747.76499999999999</v>
      </c>
      <c r="O14" s="20">
        <f>B18/O16</f>
        <v>979.48717948717945</v>
      </c>
      <c r="P14" s="15"/>
    </row>
    <row r="15" spans="1:16" x14ac:dyDescent="0.3">
      <c r="A15" s="23" t="s">
        <v>39</v>
      </c>
      <c r="B15" s="14">
        <v>4000</v>
      </c>
      <c r="C15" s="14" t="s">
        <v>40</v>
      </c>
      <c r="D15" s="14">
        <f>0.305*B15</f>
        <v>1220</v>
      </c>
      <c r="E15" s="24" t="s">
        <v>41</v>
      </c>
      <c r="F15" s="15"/>
      <c r="G15" s="15" t="s">
        <v>42</v>
      </c>
      <c r="H15" s="15">
        <v>5500</v>
      </c>
      <c r="I15" s="15">
        <v>5500</v>
      </c>
      <c r="J15" s="15">
        <v>8304</v>
      </c>
      <c r="K15" s="15">
        <v>9160</v>
      </c>
      <c r="L15" s="15">
        <v>4950</v>
      </c>
      <c r="M15" s="15">
        <v>5600</v>
      </c>
      <c r="N15" s="15">
        <f>AVERAGE(Tabella2[[#This Row],[ATR 72]:[Ilyushin]])</f>
        <v>6502.333333333333</v>
      </c>
      <c r="O15" s="20">
        <f>B18/O17</f>
        <v>13172.413793103449</v>
      </c>
      <c r="P15" s="15"/>
    </row>
    <row r="16" spans="1:16" x14ac:dyDescent="0.3">
      <c r="A16" s="23" t="s">
        <v>43</v>
      </c>
      <c r="B16" s="14">
        <v>3500</v>
      </c>
      <c r="C16" s="14" t="s">
        <v>40</v>
      </c>
      <c r="D16" s="14">
        <f>0.305*B16</f>
        <v>1067.5</v>
      </c>
      <c r="E16" s="24" t="s">
        <v>41</v>
      </c>
      <c r="F16" s="15"/>
      <c r="G16" s="15" t="s">
        <v>44</v>
      </c>
      <c r="H16" s="3">
        <f t="shared" ref="H16:M16" si="0">H13/H14</f>
        <v>77.224752128421088</v>
      </c>
      <c r="I16" s="3">
        <f t="shared" si="0"/>
        <v>59.263774912075029</v>
      </c>
      <c r="J16" s="3">
        <f t="shared" si="0"/>
        <v>83.958333333333329</v>
      </c>
      <c r="K16" s="3">
        <f t="shared" si="0"/>
        <v>89.550072568940493</v>
      </c>
      <c r="L16" s="3">
        <f t="shared" si="0"/>
        <v>59.55514250309789</v>
      </c>
      <c r="M16" s="3">
        <f t="shared" si="0"/>
        <v>58.807037457434731</v>
      </c>
      <c r="N16" s="15">
        <f>AVERAGE(Tabella2[[#This Row],[ATR 72]:[Ilyushin]])</f>
        <v>71.393185483883755</v>
      </c>
      <c r="O16" s="20">
        <v>78</v>
      </c>
      <c r="P16" s="15"/>
    </row>
    <row r="17" spans="1:15" x14ac:dyDescent="0.3">
      <c r="A17" s="23" t="s">
        <v>45</v>
      </c>
      <c r="B17" s="14">
        <v>1.2250000000000001</v>
      </c>
      <c r="C17" s="14" t="s">
        <v>46</v>
      </c>
      <c r="D17" s="14"/>
      <c r="E17" s="24"/>
      <c r="F17" s="15"/>
      <c r="G17" s="15" t="s">
        <v>47</v>
      </c>
      <c r="H17" s="2">
        <f t="shared" ref="H17:M17" si="1">H13/H15</f>
        <v>9.2190909090909088</v>
      </c>
      <c r="I17" s="2">
        <f t="shared" si="1"/>
        <v>9.191272727272727</v>
      </c>
      <c r="J17" s="2">
        <f t="shared" si="1"/>
        <v>6.0663535645472058</v>
      </c>
      <c r="K17" s="2">
        <f t="shared" si="1"/>
        <v>6.7358078602620086</v>
      </c>
      <c r="L17" s="2">
        <f t="shared" si="1"/>
        <v>9.7092929292929284</v>
      </c>
      <c r="M17" s="2">
        <f t="shared" si="1"/>
        <v>9.2516071428571429</v>
      </c>
      <c r="N17" s="15">
        <f>AVERAGE(Tabella2[[#This Row],[ATR 72]:[Ilyushin]])</f>
        <v>8.3622375222204877</v>
      </c>
      <c r="O17" s="20">
        <v>5.8</v>
      </c>
    </row>
    <row r="18" spans="1:15" x14ac:dyDescent="0.3">
      <c r="A18" s="23" t="s">
        <v>48</v>
      </c>
      <c r="B18" s="14">
        <v>76400</v>
      </c>
      <c r="C18" s="14" t="s">
        <v>49</v>
      </c>
      <c r="D18" s="14"/>
      <c r="E18" s="24"/>
      <c r="F18" s="15"/>
      <c r="G18" s="15" t="s">
        <v>50</v>
      </c>
      <c r="H18" s="4">
        <v>12</v>
      </c>
      <c r="I18" s="4">
        <v>12</v>
      </c>
      <c r="J18" s="4">
        <v>11</v>
      </c>
      <c r="K18" s="4">
        <v>12.6</v>
      </c>
      <c r="L18" s="4">
        <v>11.4</v>
      </c>
      <c r="M18" s="4">
        <v>11</v>
      </c>
      <c r="N18" s="15">
        <f>AVERAGE(Tabella2[[#This Row],[ATR 72]:[Ilyushin]])</f>
        <v>11.666666666666666</v>
      </c>
      <c r="O18" s="20"/>
    </row>
    <row r="19" spans="1:15" x14ac:dyDescent="0.3">
      <c r="A19" s="23" t="s">
        <v>51</v>
      </c>
      <c r="B19" s="14">
        <v>1</v>
      </c>
      <c r="C19" s="14"/>
      <c r="D19" s="14"/>
      <c r="E19" s="24"/>
      <c r="F19" s="15"/>
      <c r="G19" s="15"/>
      <c r="H19" s="15"/>
      <c r="I19" s="15"/>
      <c r="J19" s="15"/>
      <c r="K19" s="15"/>
      <c r="L19" s="15"/>
      <c r="M19" s="15"/>
      <c r="N19" s="15"/>
      <c r="O19" s="15"/>
    </row>
    <row r="20" spans="1:15" x14ac:dyDescent="0.3">
      <c r="A20" s="23" t="s">
        <v>52</v>
      </c>
      <c r="B20" s="14">
        <v>0.97</v>
      </c>
      <c r="C20" s="14"/>
      <c r="D20" s="14"/>
      <c r="E20" s="24"/>
      <c r="F20" s="15"/>
      <c r="G20" s="15"/>
      <c r="H20" s="15"/>
      <c r="I20" s="15"/>
      <c r="J20" s="15"/>
      <c r="K20" s="15"/>
      <c r="L20" s="15"/>
      <c r="M20" s="15"/>
      <c r="N20" s="15"/>
      <c r="O20" s="15"/>
    </row>
    <row r="21" spans="1:15" x14ac:dyDescent="0.3">
      <c r="A21" s="23" t="s">
        <v>53</v>
      </c>
      <c r="B21" s="14">
        <v>0.83</v>
      </c>
      <c r="C21" s="14"/>
      <c r="D21" s="14"/>
      <c r="E21" s="24"/>
      <c r="F21" s="15"/>
      <c r="G21" s="15"/>
      <c r="H21" s="15"/>
      <c r="I21" s="15"/>
      <c r="J21" s="15"/>
      <c r="K21" s="15"/>
      <c r="L21" s="15"/>
      <c r="M21" s="15"/>
      <c r="N21" s="15"/>
      <c r="O21" s="15"/>
    </row>
    <row r="22" spans="1:15" x14ac:dyDescent="0.3">
      <c r="A22" s="23" t="s">
        <v>54</v>
      </c>
      <c r="B22" s="14">
        <v>1.2E-2</v>
      </c>
      <c r="C22" s="14"/>
      <c r="D22" s="14"/>
      <c r="E22" s="24"/>
      <c r="F22" s="15"/>
      <c r="G22" s="15"/>
      <c r="H22" s="15"/>
      <c r="I22" s="15"/>
      <c r="J22" s="15"/>
      <c r="K22" s="15"/>
      <c r="L22" s="15"/>
      <c r="M22" s="15"/>
      <c r="N22" s="15"/>
      <c r="O22" s="15"/>
    </row>
    <row r="23" spans="1:15" s="15" customFormat="1" x14ac:dyDescent="0.3">
      <c r="A23" s="23" t="s">
        <v>55</v>
      </c>
      <c r="B23" s="14">
        <v>0.55000000000000004</v>
      </c>
      <c r="C23" s="14"/>
      <c r="D23" s="14"/>
      <c r="E23" s="24"/>
    </row>
    <row r="24" spans="1:15" x14ac:dyDescent="0.3">
      <c r="A24" s="23" t="s">
        <v>56</v>
      </c>
      <c r="B24" s="14">
        <f>B23*1114.6317</f>
        <v>613.04743499999995</v>
      </c>
      <c r="C24" s="14" t="s">
        <v>57</v>
      </c>
      <c r="D24" s="14">
        <f>B24*0.54</f>
        <v>331.04561489999998</v>
      </c>
      <c r="E24" s="24" t="s">
        <v>24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</row>
    <row r="25" spans="1:15" x14ac:dyDescent="0.3">
      <c r="A25" s="23" t="s">
        <v>58</v>
      </c>
      <c r="B25" s="14">
        <v>25000</v>
      </c>
      <c r="C25" s="14" t="s">
        <v>40</v>
      </c>
      <c r="D25" s="14">
        <f>B25*0.3048</f>
        <v>7620</v>
      </c>
      <c r="E25" s="24" t="s">
        <v>41</v>
      </c>
      <c r="F25" s="15"/>
      <c r="G25" s="15"/>
      <c r="H25" s="15" t="s">
        <v>59</v>
      </c>
      <c r="I25" s="15" t="s">
        <v>60</v>
      </c>
      <c r="J25" s="15" t="s">
        <v>12</v>
      </c>
      <c r="K25" s="15" t="s">
        <v>13</v>
      </c>
      <c r="L25" s="15" t="s">
        <v>14</v>
      </c>
      <c r="M25" s="15"/>
      <c r="N25" s="15"/>
      <c r="O25" s="15"/>
    </row>
    <row r="26" spans="1:15" x14ac:dyDescent="0.3">
      <c r="A26" s="23" t="s">
        <v>61</v>
      </c>
      <c r="B26" s="14">
        <f>((288-D25*0.0065)/(288))^((9.81-287*0.0065)/(287*0.0065))</f>
        <v>0.4476792211319312</v>
      </c>
      <c r="C26" s="14"/>
      <c r="D26" s="14"/>
      <c r="E26" s="24"/>
      <c r="F26" s="15"/>
      <c r="G26" s="1">
        <v>0</v>
      </c>
      <c r="H26" s="15">
        <f>$H$2</f>
        <v>87.245758368336467</v>
      </c>
      <c r="I26" s="15">
        <f>$I$2</f>
        <v>82.788096907210232</v>
      </c>
      <c r="J26" s="15">
        <f>$H$5</f>
        <v>100.35852914942252</v>
      </c>
      <c r="K26" s="15">
        <f>$I$5</f>
        <v>104.37287031539942</v>
      </c>
      <c r="L26" s="15">
        <f>$J$5</f>
        <v>108.38721148137633</v>
      </c>
      <c r="M26" s="15"/>
      <c r="N26" s="15"/>
      <c r="O26" s="15"/>
    </row>
    <row r="27" spans="1:15" x14ac:dyDescent="0.3">
      <c r="A27" s="23" t="s">
        <v>62</v>
      </c>
      <c r="B27" s="14">
        <v>0.85</v>
      </c>
      <c r="C27" s="14"/>
      <c r="D27" s="14"/>
      <c r="E27" s="24"/>
      <c r="F27" s="15"/>
      <c r="G27" s="15">
        <v>45</v>
      </c>
      <c r="H27" s="15">
        <f>$H$2</f>
        <v>87.245758368336467</v>
      </c>
      <c r="I27" s="15">
        <f>$I$2</f>
        <v>82.788096907210232</v>
      </c>
      <c r="J27" s="15">
        <f>$H$5</f>
        <v>100.35852914942252</v>
      </c>
      <c r="K27" s="15">
        <f>$I$5</f>
        <v>104.37287031539942</v>
      </c>
      <c r="L27" s="15">
        <f>$J$5</f>
        <v>108.38721148137633</v>
      </c>
      <c r="M27" s="15"/>
      <c r="N27" s="15"/>
      <c r="O27" s="15"/>
    </row>
    <row r="28" spans="1:15" x14ac:dyDescent="0.3">
      <c r="A28" s="23" t="s">
        <v>63</v>
      </c>
      <c r="B28" s="14">
        <f>0.2019+1.8532*B27-0.6013*B27^2</f>
        <v>1.34268075</v>
      </c>
      <c r="C28" s="14"/>
      <c r="D28" s="14"/>
      <c r="E28" s="24"/>
      <c r="F28" s="15"/>
      <c r="G28" s="15"/>
      <c r="H28" s="15"/>
      <c r="I28" s="15"/>
      <c r="J28" s="15"/>
      <c r="K28" s="15"/>
      <c r="L28" s="15"/>
      <c r="M28" s="15"/>
      <c r="N28" s="15"/>
      <c r="O28" s="15"/>
    </row>
    <row r="29" spans="1:15" x14ac:dyDescent="0.3">
      <c r="A29" s="23" t="s">
        <v>64</v>
      </c>
      <c r="B29" s="14">
        <f>1-0.00263513*(D24/100)+0.0283865*(D24/100)^2</f>
        <v>1.3023675751396748</v>
      </c>
      <c r="C29" s="14"/>
      <c r="D29" s="14"/>
      <c r="E29" s="24"/>
      <c r="F29" s="15"/>
      <c r="G29" s="15"/>
      <c r="H29" s="15"/>
      <c r="I29" s="15"/>
      <c r="J29" s="15"/>
      <c r="K29" s="15"/>
      <c r="L29" s="15"/>
      <c r="M29" s="15"/>
      <c r="N29" s="15"/>
      <c r="O29" s="15"/>
    </row>
    <row r="30" spans="1:15" s="15" customFormat="1" ht="15" thickBot="1" x14ac:dyDescent="0.35">
      <c r="A30" s="25" t="s">
        <v>65</v>
      </c>
      <c r="B30" s="26">
        <v>2.48</v>
      </c>
      <c r="C30" s="26"/>
      <c r="D30" s="26"/>
      <c r="E30" s="27"/>
    </row>
    <row r="31" spans="1:15" s="15" customFormat="1" x14ac:dyDescent="0.3"/>
    <row r="32" spans="1:15" s="15" customFormat="1" x14ac:dyDescent="0.3"/>
    <row r="34" spans="1:11" x14ac:dyDescent="0.3">
      <c r="A34" s="15" t="s">
        <v>0</v>
      </c>
      <c r="B34" s="15" t="s">
        <v>54</v>
      </c>
      <c r="C34" s="15" t="s">
        <v>66</v>
      </c>
      <c r="D34" s="15" t="s">
        <v>67</v>
      </c>
      <c r="E34" s="15" t="s">
        <v>68</v>
      </c>
      <c r="F34" s="15"/>
      <c r="G34" s="15"/>
      <c r="H34" s="15"/>
      <c r="I34" s="15"/>
      <c r="J34" s="15"/>
      <c r="K34" s="15"/>
    </row>
    <row r="35" spans="1:11" x14ac:dyDescent="0.3">
      <c r="A35" s="15" t="s">
        <v>69</v>
      </c>
      <c r="B35" s="15">
        <v>1.2E-2</v>
      </c>
      <c r="C35" s="15">
        <f>$C$3/1.2^2</f>
        <v>1.3194444444444444</v>
      </c>
      <c r="D35" s="15">
        <f>Polare!$B$14+Polare!$B$18+Polare!$B$20+Tabella4[[#This Row],[CL]]^2/(PI()*Foglio1!$N$18*Polare!$C$18)</f>
        <v>0.12249450367567416</v>
      </c>
      <c r="E35" s="15">
        <f>(Tabella4[[#This Row],[CGR]]+(Tabella4[[#This Row],[CD]]/Tabella4[[#This Row],[CL]]))*(Tabella4[[#This Row],[CL]]^(-0.5))</f>
        <v>9.1268922372592459E-2</v>
      </c>
      <c r="F35" s="15"/>
      <c r="G35" s="15"/>
      <c r="H35" s="15"/>
      <c r="I35" s="15"/>
      <c r="J35" s="15"/>
      <c r="K35" s="15"/>
    </row>
    <row r="36" spans="1:11" x14ac:dyDescent="0.3">
      <c r="A36" s="15" t="s">
        <v>70</v>
      </c>
      <c r="B36" s="15">
        <v>0</v>
      </c>
      <c r="C36" s="15">
        <f>$C$3/1.2^2</f>
        <v>1.3194444444444444</v>
      </c>
      <c r="D36" s="15">
        <f>Polare!$B$14+Polare!$B$18+Polare!$B$20+Tabella4[[#This Row],[CL]]^2/(PI()*Foglio1!$N$18*Polare!$C$18)</f>
        <v>0.12249450367567416</v>
      </c>
      <c r="E36" s="15">
        <f>(Tabella4[[#This Row],[CGR]]+(Tabella4[[#This Row],[CD]]/Tabella4[[#This Row],[CL]]))*(Tabella4[[#This Row],[CL]]^(-0.5))</f>
        <v>8.0822064371008293E-2</v>
      </c>
      <c r="F36" s="15"/>
      <c r="G36" s="15"/>
      <c r="H36" s="15"/>
      <c r="I36" s="15"/>
      <c r="J36" s="15"/>
      <c r="K36" s="15"/>
    </row>
    <row r="37" spans="1:11" x14ac:dyDescent="0.3">
      <c r="A37" s="15" t="s">
        <v>71</v>
      </c>
      <c r="B37" s="15">
        <v>2.4E-2</v>
      </c>
      <c r="C37" s="15">
        <f>$C$3/1.2^2</f>
        <v>1.3194444444444444</v>
      </c>
      <c r="D37" s="15">
        <f>Polare!$B$14+Polare!$B$18+Tabella4[[#This Row],[CL]]^2/(PI()*Foglio1!$N$18*Polare!$C$18)</f>
        <v>0.10349450367567414</v>
      </c>
      <c r="E37" s="15">
        <f>(Tabella4[[#This Row],[CGR]]+(Tabella4[[#This Row],[CD]]/Tabella4[[#This Row],[CL]]))*(Tabella4[[#This Row],[CL]]^(-0.5))</f>
        <v>8.9179550772275629E-2</v>
      </c>
      <c r="F37" s="15"/>
      <c r="G37" s="15"/>
      <c r="H37" s="15"/>
      <c r="I37" s="15"/>
      <c r="J37" s="15"/>
      <c r="K37" s="15"/>
    </row>
    <row r="38" spans="1:11" x14ac:dyDescent="0.3">
      <c r="A38" s="15" t="s">
        <v>72</v>
      </c>
      <c r="B38" s="15">
        <v>1.2E-2</v>
      </c>
      <c r="C38" s="15">
        <f>$C$2/1.25^2</f>
        <v>1.0880000000000001</v>
      </c>
      <c r="D38" s="15">
        <f>Polare!$B$14+Tabella4[[#This Row],[CL]]^2/(PI()*Foglio1!$N$18*Polare!$C$17)</f>
        <v>6.5594575421542609E-2</v>
      </c>
      <c r="E38" s="15">
        <f>(Tabella4[[#This Row],[CGR]]+(Tabella4[[#This Row],[CD]]/Tabella4[[#This Row],[CL]]))*(Tabella4[[#This Row],[CL]]^(-0.5))</f>
        <v>6.9304041476358783E-2</v>
      </c>
      <c r="F38" s="15"/>
      <c r="G38" s="15"/>
      <c r="H38" s="15"/>
      <c r="I38" s="15"/>
      <c r="J38" s="15"/>
      <c r="K38" s="15"/>
    </row>
    <row r="39" spans="1:11" x14ac:dyDescent="0.3">
      <c r="A39" s="15" t="s">
        <v>73</v>
      </c>
      <c r="B39" s="15">
        <v>3.2000000000000001E-2</v>
      </c>
      <c r="C39" s="15">
        <f>$C$6/1.3^3</f>
        <v>1.1379153390987709</v>
      </c>
      <c r="D39" s="15">
        <f>Polare!$B$14+Polare!$B$19+Polare!$B$20+Tabella4[[#This Row],[CL]]^2/(PI()*Foglio1!$N$18*Polare!$C$19)</f>
        <v>0.16399318453761572</v>
      </c>
      <c r="E39" s="15">
        <f>(Tabella4[[#This Row],[CGR]]+(Tabella4[[#This Row],[CD]]/Tabella4[[#This Row],[CL]]))*(Tabella4[[#This Row],[CL]]^(-0.5))</f>
        <v>0.16509990463402718</v>
      </c>
      <c r="F39" s="15"/>
      <c r="G39" s="15"/>
      <c r="H39" s="15"/>
      <c r="I39" s="15"/>
      <c r="J39" s="15"/>
      <c r="K39" s="15"/>
    </row>
    <row r="40" spans="1:11" x14ac:dyDescent="0.3">
      <c r="A40" s="15" t="s">
        <v>74</v>
      </c>
      <c r="B40" s="15">
        <v>2.1000000000000001E-2</v>
      </c>
      <c r="C40" s="15">
        <f>(C3+C6)/(2*1.5^2)</f>
        <v>0.97777777777777786</v>
      </c>
      <c r="D40" s="15">
        <f>Polare!$B$14+Polare!$B$19+Polare!$B$20+Tabella4[[#This Row],[CL]]^2/(PI()*Foglio1!$N$18*Polare!$C$19)</f>
        <v>0.15133048327380288</v>
      </c>
      <c r="E40" s="15">
        <f>(Tabella4[[#This Row],[CGR]]+(Tabella4[[#This Row],[CD]]/Tabella4[[#This Row],[CL]]))*(Tabella4[[#This Row],[CL]]^(-0.5))</f>
        <v>0.17775597505746338</v>
      </c>
      <c r="F40" s="15"/>
      <c r="G40" s="15"/>
      <c r="H40" s="15"/>
      <c r="I40" s="15"/>
      <c r="J40" s="15"/>
      <c r="K40" s="15"/>
    </row>
    <row r="43" spans="1:11" ht="23.4" x14ac:dyDescent="0.45">
      <c r="A43" s="15"/>
      <c r="B43" s="35" t="s">
        <v>75</v>
      </c>
      <c r="C43" s="36"/>
      <c r="D43" s="36"/>
      <c r="E43" s="37" t="s">
        <v>76</v>
      </c>
      <c r="F43" s="38"/>
      <c r="G43" s="38"/>
      <c r="H43" s="38"/>
      <c r="I43" s="38"/>
      <c r="J43" s="38"/>
      <c r="K43" s="18" t="s">
        <v>77</v>
      </c>
    </row>
    <row r="44" spans="1:11" x14ac:dyDescent="0.3">
      <c r="A44" s="15" t="s">
        <v>78</v>
      </c>
      <c r="B44" s="15" t="s">
        <v>79</v>
      </c>
      <c r="C44" s="15" t="s">
        <v>80</v>
      </c>
      <c r="D44" s="15" t="s">
        <v>81</v>
      </c>
      <c r="E44" s="15" t="s">
        <v>82</v>
      </c>
      <c r="F44" s="15" t="s">
        <v>83</v>
      </c>
      <c r="G44" s="15" t="s">
        <v>84</v>
      </c>
      <c r="H44" s="15" t="s">
        <v>85</v>
      </c>
      <c r="I44" s="15" t="s">
        <v>86</v>
      </c>
      <c r="J44" s="15" t="s">
        <v>87</v>
      </c>
      <c r="K44" s="15" t="s">
        <v>88</v>
      </c>
    </row>
    <row r="45" spans="1:11" x14ac:dyDescent="0.3">
      <c r="A45" s="15">
        <v>21</v>
      </c>
      <c r="B45" s="15">
        <f t="shared" ref="B45:B76" si="2">(2.8*$B$19*$C$3*$B$15)/(37.5*$A45)</f>
        <v>27.022222222222219</v>
      </c>
      <c r="C45" s="15">
        <f t="shared" ref="C45:C76" si="3">(2.8*$B$19*$C$4*$B$15)/(37.5*$A45)</f>
        <v>28.444444444444443</v>
      </c>
      <c r="D45" s="15">
        <f t="shared" ref="D45:D76" si="4">(2.8*$B$19*$C$5*$B$15)/(37.5*$A45)</f>
        <v>29.866666666666667</v>
      </c>
      <c r="E45" s="15">
        <f>0.5*(18.97*$B$21*$B$19/$E$35)*Tabella1[[#This Row],[W/S '[lb/ft^2']]]^-0.5</f>
        <v>18.822740612233268</v>
      </c>
      <c r="F45" s="15">
        <f>0.5*(18.97*$B$21*$B$19/$E$36)*Tabella1[[#This Row],[W/S '[lb/ft^2']]]^-0.5</f>
        <v>21.255721010679871</v>
      </c>
      <c r="G45" s="15">
        <f>0.5*(18.97*$B$21*$B$19/$E$37)*Tabella1[[#This Row],[W/S '[lb/ft^2']]]^-0.5</f>
        <v>19.263735204993168</v>
      </c>
      <c r="H45" s="15">
        <f>0.5*(18.97*$B$21*$B$19/$E$38)*Tabella1[[#This Row],[W/S '[lb/ft^2']]]^-0.5</f>
        <v>24.788327133322923</v>
      </c>
      <c r="I45" s="15">
        <f>1.18*(18.97*$B$21*$B$19/$E$39)*Tabella1[[#This Row],[W/S '[lb/ft^2']]]^-0.5</f>
        <v>24.556754064647571</v>
      </c>
      <c r="J45" s="15">
        <f>1.18*0.5*(18.97*$B$21*$B$19/$E$40)*(Tabella1[[#This Row],[W/S '[lb/ft^2']]]^-0.5)</f>
        <v>11.404167294190616</v>
      </c>
      <c r="K45" s="19">
        <f>($B$27*$B$28*$B$29*Tabella1[[#This Row],[W/S '[lb/ft^2']]])/($B$30^3*$B$26)</f>
        <v>4.57111953580619</v>
      </c>
    </row>
    <row r="46" spans="1:11" x14ac:dyDescent="0.3">
      <c r="A46" s="15">
        <v>22</v>
      </c>
      <c r="B46" s="15">
        <f t="shared" si="2"/>
        <v>25.79393939393939</v>
      </c>
      <c r="C46" s="15">
        <f t="shared" si="3"/>
        <v>27.151515151515152</v>
      </c>
      <c r="D46" s="15">
        <f t="shared" si="4"/>
        <v>28.509090909090908</v>
      </c>
      <c r="E46" s="15">
        <f>0.5*(18.97*$B$21*$B$19/$E$35)*Tabella1[[#This Row],[W/S '[lb/ft^2']]]^-0.5</f>
        <v>18.389976082914558</v>
      </c>
      <c r="F46" s="15">
        <f>0.5*(18.97*$B$21*$B$19/$E$36)*Tabella1[[#This Row],[W/S '[lb/ft^2']]]^-0.5</f>
        <v>20.767018420126277</v>
      </c>
      <c r="G46" s="15">
        <f>0.5*(18.97*$B$21*$B$19/$E$37)*Tabella1[[#This Row],[W/S '[lb/ft^2']]]^-0.5</f>
        <v>18.820831513620455</v>
      </c>
      <c r="H46" s="15">
        <f>0.5*(18.97*$B$21*$B$19/$E$38)*Tabella1[[#This Row],[W/S '[lb/ft^2']]]^-0.5</f>
        <v>24.218404349736417</v>
      </c>
      <c r="I46" s="15">
        <f>1.18*(18.97*$B$21*$B$19/$E$39)*Tabella1[[#This Row],[W/S '[lb/ft^2']]]^-0.5</f>
        <v>23.992155511582684</v>
      </c>
      <c r="J46" s="15">
        <f>1.18*0.5*(18.97*$B$21*$B$19/$E$40)*(Tabella1[[#This Row],[W/S '[lb/ft^2']]]^-0.5)</f>
        <v>11.141967479986372</v>
      </c>
      <c r="K46" s="19">
        <f>($B$27*$B$28*$B$29*Tabella1[[#This Row],[W/S '[lb/ft^2']]])/($B$30^3*$B$26)</f>
        <v>4.7887918946541044</v>
      </c>
    </row>
    <row r="47" spans="1:11" x14ac:dyDescent="0.3">
      <c r="A47" s="15">
        <v>23</v>
      </c>
      <c r="B47" s="15">
        <f t="shared" si="2"/>
        <v>24.672463768115939</v>
      </c>
      <c r="C47" s="15">
        <f t="shared" si="3"/>
        <v>25.971014492753625</v>
      </c>
      <c r="D47" s="15">
        <f t="shared" si="4"/>
        <v>27.269565217391303</v>
      </c>
      <c r="E47" s="15">
        <f>0.5*(18.97*$B$21*$B$19/$E$35)*Tabella1[[#This Row],[W/S '[lb/ft^2']]]^-0.5</f>
        <v>17.985751422413738</v>
      </c>
      <c r="F47" s="15">
        <f>0.5*(18.97*$B$21*$B$19/$E$36)*Tabella1[[#This Row],[W/S '[lb/ft^2']]]^-0.5</f>
        <v>20.310544690490005</v>
      </c>
      <c r="G47" s="15">
        <f>0.5*(18.97*$B$21*$B$19/$E$37)*Tabella1[[#This Row],[W/S '[lb/ft^2']]]^-0.5</f>
        <v>18.407136346501424</v>
      </c>
      <c r="H47" s="15">
        <f>0.5*(18.97*$B$21*$B$19/$E$38)*Tabella1[[#This Row],[W/S '[lb/ft^2']]]^-0.5</f>
        <v>23.686066720149231</v>
      </c>
      <c r="I47" s="15">
        <f>1.18*(18.97*$B$21*$B$19/$E$39)*Tabella1[[#This Row],[W/S '[lb/ft^2']]]^-0.5</f>
        <v>23.464790991225172</v>
      </c>
      <c r="J47" s="15">
        <f>1.18*0.5*(18.97*$B$21*$B$19/$E$40)*(Tabella1[[#This Row],[W/S '[lb/ft^2']]]^-0.5)</f>
        <v>10.897059166805201</v>
      </c>
      <c r="K47" s="19">
        <f>($B$27*$B$28*$B$29*Tabella1[[#This Row],[W/S '[lb/ft^2']]])/($B$30^3*$B$26)</f>
        <v>5.0064642535020178</v>
      </c>
    </row>
    <row r="48" spans="1:11" x14ac:dyDescent="0.3">
      <c r="A48" s="15">
        <v>24</v>
      </c>
      <c r="B48" s="15">
        <f>(2.8*$B$19*$C$3*$B$15)/(37.5*$A48)</f>
        <v>23.644444444444442</v>
      </c>
      <c r="C48" s="15">
        <f>(2.8*$B$19*$C$4*$B$15)/(37.5*$A48)</f>
        <v>24.888888888888889</v>
      </c>
      <c r="D48" s="15">
        <f t="shared" si="4"/>
        <v>26.133333333333333</v>
      </c>
      <c r="E48" s="15">
        <f>0.5*(18.97*$B$21*$B$19/$E$35)*Tabella1[[#This Row],[W/S '[lb/ft^2']]]^-0.5</f>
        <v>17.607061612773119</v>
      </c>
      <c r="F48" s="15">
        <f>0.5*(18.97*$B$21*$B$19/$E$36)*Tabella1[[#This Row],[W/S '[lb/ft^2']]]^-0.5</f>
        <v>19.882906382704103</v>
      </c>
      <c r="G48" s="15">
        <f>0.5*(18.97*$B$21*$B$19/$E$37)*Tabella1[[#This Row],[W/S '[lb/ft^2']]]^-0.5</f>
        <v>18.019574281654979</v>
      </c>
      <c r="H48" s="15">
        <f>0.5*(18.97*$B$21*$B$19/$E$38)*Tabella1[[#This Row],[W/S '[lb/ft^2']]]^-0.5</f>
        <v>23.187356831041662</v>
      </c>
      <c r="I48" s="15">
        <f>1.18*(18.97*$B$21*$B$19/$E$39)*Tabella1[[#This Row],[W/S '[lb/ft^2']]]^-0.5</f>
        <v>22.970740060294901</v>
      </c>
      <c r="J48" s="15">
        <f>1.18*0.5*(18.97*$B$21*$B$19/$E$40)*(Tabella1[[#This Row],[W/S '[lb/ft^2']]]^-0.5)</f>
        <v>10.667621699078529</v>
      </c>
      <c r="K48" s="19">
        <f>($B$27*$B$28*$B$29*Tabella1[[#This Row],[W/S '[lb/ft^2']]])/($B$30^3*$B$26)</f>
        <v>5.2241366123499313</v>
      </c>
    </row>
    <row r="49" spans="1:11" x14ac:dyDescent="0.3">
      <c r="A49" s="15">
        <v>25</v>
      </c>
      <c r="B49" s="15">
        <f t="shared" si="2"/>
        <v>22.698666666666664</v>
      </c>
      <c r="C49" s="15">
        <f t="shared" si="3"/>
        <v>23.893333333333334</v>
      </c>
      <c r="D49" s="15">
        <f t="shared" si="4"/>
        <v>25.088000000000001</v>
      </c>
      <c r="E49" s="15">
        <f>0.5*(18.97*$B$21*$B$19/$E$35)*Tabella1[[#This Row],[W/S '[lb/ft^2']]]^-0.5</f>
        <v>17.251326728415677</v>
      </c>
      <c r="F49" s="15">
        <f>0.5*(18.97*$B$21*$B$19/$E$36)*Tabella1[[#This Row],[W/S '[lb/ft^2']]]^-0.5</f>
        <v>19.48119009646075</v>
      </c>
      <c r="G49" s="15">
        <f>0.5*(18.97*$B$21*$B$19/$E$37)*Tabella1[[#This Row],[W/S '[lb/ft^2']]]^-0.5</f>
        <v>17.65550494889337</v>
      </c>
      <c r="H49" s="15">
        <f>0.5*(18.97*$B$21*$B$19/$E$38)*Tabella1[[#This Row],[W/S '[lb/ft^2']]]^-0.5</f>
        <v>22.718877087956002</v>
      </c>
      <c r="I49" s="15">
        <f>1.18*(18.97*$B$21*$B$19/$E$39)*Tabella1[[#This Row],[W/S '[lb/ft^2']]]^-0.5</f>
        <v>22.5066368647324</v>
      </c>
      <c r="J49" s="15">
        <f>1.18*0.5*(18.97*$B$21*$B$19/$E$40)*(Tabella1[[#This Row],[W/S '[lb/ft^2']]]^-0.5)</f>
        <v>10.452091972713646</v>
      </c>
      <c r="K49" s="19">
        <f>($B$27*$B$28*$B$29*Tabella1[[#This Row],[W/S '[lb/ft^2']]])/($B$30^3*$B$26)</f>
        <v>5.4418089711978448</v>
      </c>
    </row>
    <row r="50" spans="1:11" x14ac:dyDescent="0.3">
      <c r="A50" s="15">
        <v>26</v>
      </c>
      <c r="B50" s="15">
        <f t="shared" si="2"/>
        <v>21.825641025641023</v>
      </c>
      <c r="C50" s="15">
        <f t="shared" si="3"/>
        <v>22.974358974358974</v>
      </c>
      <c r="D50" s="15">
        <f t="shared" si="4"/>
        <v>24.123076923076923</v>
      </c>
      <c r="E50" s="15">
        <f>0.5*(18.97*$B$21*$B$19/$E$35)*Tabella1[[#This Row],[W/S '[lb/ft^2']]]^-0.5</f>
        <v>16.916317619914675</v>
      </c>
      <c r="F50" s="15">
        <f>0.5*(18.97*$B$21*$B$19/$E$36)*Tabella1[[#This Row],[W/S '[lb/ft^2']]]^-0.5</f>
        <v>19.102878548050747</v>
      </c>
      <c r="G50" s="15">
        <f>0.5*(18.97*$B$21*$B$19/$E$37)*Tabella1[[#This Row],[W/S '[lb/ft^2']]]^-0.5</f>
        <v>17.312646972450246</v>
      </c>
      <c r="H50" s="15">
        <f>0.5*(18.97*$B$21*$B$19/$E$38)*Tabella1[[#This Row],[W/S '[lb/ft^2']]]^-0.5</f>
        <v>22.27769184584686</v>
      </c>
      <c r="I50" s="15">
        <f>1.18*(18.97*$B$21*$B$19/$E$39)*Tabella1[[#This Row],[W/S '[lb/ft^2']]]^-0.5</f>
        <v>22.069573184349469</v>
      </c>
      <c r="J50" s="15">
        <f>1.18*0.5*(18.97*$B$21*$B$19/$E$40)*(Tabella1[[#This Row],[W/S '[lb/ft^2']]]^-0.5)</f>
        <v>10.249119408987189</v>
      </c>
      <c r="K50" s="19">
        <f>($B$27*$B$28*$B$29*Tabella1[[#This Row],[W/S '[lb/ft^2']]])/($B$30^3*$B$26)</f>
        <v>5.65948133004576</v>
      </c>
    </row>
    <row r="51" spans="1:11" x14ac:dyDescent="0.3">
      <c r="A51" s="15">
        <v>27</v>
      </c>
      <c r="B51" s="15">
        <f t="shared" si="2"/>
        <v>21.01728395061728</v>
      </c>
      <c r="C51" s="15">
        <f t="shared" si="3"/>
        <v>22.123456790123456</v>
      </c>
      <c r="D51" s="15">
        <f>(2.8*$B$19*$C$5*$B$15)/(37.5*$A51)</f>
        <v>23.229629629629631</v>
      </c>
      <c r="E51" s="15">
        <f>0.5*(18.97*$B$21*$B$19/$E$35)*Tabella1[[#This Row],[W/S '[lb/ft^2']]]^-0.5</f>
        <v>16.600096884214963</v>
      </c>
      <c r="F51" s="15">
        <f>0.5*(18.97*$B$21*$B$19/$E$36)*Tabella1[[#This Row],[W/S '[lb/ft^2']]]^-0.5</f>
        <v>18.745783910543143</v>
      </c>
      <c r="G51" s="15">
        <f>0.5*(18.97*$B$21*$B$19/$E$37)*Tabella1[[#This Row],[W/S '[lb/ft^2']]]^-0.5</f>
        <v>16.98901755820393</v>
      </c>
      <c r="H51" s="15">
        <f>0.5*(18.97*$B$21*$B$19/$E$38)*Tabella1[[#This Row],[W/S '[lb/ft^2']]]^-0.5</f>
        <v>21.861249670695695</v>
      </c>
      <c r="I51" s="15">
        <f>1.18*(18.97*$B$21*$B$19/$E$39)*Tabella1[[#This Row],[W/S '[lb/ft^2']]]^-0.5</f>
        <v>21.657021420677342</v>
      </c>
      <c r="J51" s="15">
        <f>1.18*0.5*(18.97*$B$21*$B$19/$E$40)*(Tabella1[[#This Row],[W/S '[lb/ft^2']]]^-0.5)</f>
        <v>10.057530190068249</v>
      </c>
      <c r="K51" s="19">
        <f>($B$27*$B$28*$B$29*Tabella1[[#This Row],[W/S '[lb/ft^2']]])/($B$30^3*$B$26)</f>
        <v>5.8771536888936735</v>
      </c>
    </row>
    <row r="52" spans="1:11" x14ac:dyDescent="0.3">
      <c r="A52" s="15">
        <v>28</v>
      </c>
      <c r="B52" s="15">
        <f t="shared" si="2"/>
        <v>20.266666666666662</v>
      </c>
      <c r="C52" s="15">
        <f t="shared" si="3"/>
        <v>21.333333333333332</v>
      </c>
      <c r="D52" s="15">
        <f t="shared" si="4"/>
        <v>22.4</v>
      </c>
      <c r="E52" s="15">
        <f>0.5*(18.97*$B$21*$B$19/$E$35)*Tabella1[[#This Row],[W/S '[lb/ft^2']]]^-0.5</f>
        <v>16.300971539039068</v>
      </c>
      <c r="F52" s="15">
        <f>0.5*(18.97*$B$21*$B$19/$E$36)*Tabella1[[#This Row],[W/S '[lb/ft^2']]]^-0.5</f>
        <v>18.407994371003408</v>
      </c>
      <c r="G52" s="15">
        <f>0.5*(18.97*$B$21*$B$19/$E$37)*Tabella1[[#This Row],[W/S '[lb/ft^2']]]^-0.5</f>
        <v>16.682884059300711</v>
      </c>
      <c r="H52" s="15">
        <f>0.5*(18.97*$B$21*$B$19/$E$38)*Tabella1[[#This Row],[W/S '[lb/ft^2']]]^-0.5</f>
        <v>21.46732101477674</v>
      </c>
      <c r="I52" s="15">
        <f>1.18*(18.97*$B$21*$B$19/$E$39)*Tabella1[[#This Row],[W/S '[lb/ft^2']]]^-0.5</f>
        <v>21.266772854471565</v>
      </c>
      <c r="J52" s="15">
        <f>1.18*0.5*(18.97*$B$21*$B$19/$E$40)*(Tabella1[[#This Row],[W/S '[lb/ft^2']]]^-0.5)</f>
        <v>9.8762985857767163</v>
      </c>
      <c r="K52" s="19">
        <f>($B$27*$B$28*$B$29*Tabella1[[#This Row],[W/S '[lb/ft^2']]])/($B$30^3*$B$26)</f>
        <v>6.094826047741587</v>
      </c>
    </row>
    <row r="53" spans="1:11" x14ac:dyDescent="0.3">
      <c r="A53" s="15">
        <v>29</v>
      </c>
      <c r="B53" s="15">
        <f t="shared" si="2"/>
        <v>19.567816091954018</v>
      </c>
      <c r="C53" s="15">
        <f t="shared" si="3"/>
        <v>20.597701149425287</v>
      </c>
      <c r="D53" s="15">
        <f t="shared" si="4"/>
        <v>21.627586206896552</v>
      </c>
      <c r="E53" s="15">
        <f>0.5*(18.97*$B$21*$B$19/$E$35)*Tabella1[[#This Row],[W/S '[lb/ft^2']]]^-0.5</f>
        <v>16.017454754179813</v>
      </c>
      <c r="F53" s="15">
        <f>0.5*(18.97*$B$21*$B$19/$E$36)*Tabella1[[#This Row],[W/S '[lb/ft^2']]]^-0.5</f>
        <v>18.087830915268562</v>
      </c>
      <c r="G53" s="15">
        <f>0.5*(18.97*$B$21*$B$19/$E$37)*Tabella1[[#This Row],[W/S '[lb/ft^2']]]^-0.5</f>
        <v>16.392724810856834</v>
      </c>
      <c r="H53" s="15">
        <f>0.5*(18.97*$B$21*$B$19/$E$38)*Tabella1[[#This Row],[W/S '[lb/ft^2']]]^-0.5</f>
        <v>21.093947819254321</v>
      </c>
      <c r="I53" s="15">
        <f>1.18*(18.97*$B$21*$B$19/$E$39)*Tabella1[[#This Row],[W/S '[lb/ft^2']]]^-0.5</f>
        <v>20.896887719122923</v>
      </c>
      <c r="J53" s="15">
        <f>1.18*0.5*(18.97*$B$21*$B$19/$E$40)*(Tabella1[[#This Row],[W/S '[lb/ft^2']]]^-0.5)</f>
        <v>9.7045237676535461</v>
      </c>
      <c r="K53" s="19">
        <f>($B$27*$B$28*$B$29*Tabella1[[#This Row],[W/S '[lb/ft^2']]])/($B$30^3*$B$26)</f>
        <v>6.3124984065895005</v>
      </c>
    </row>
    <row r="54" spans="1:11" x14ac:dyDescent="0.3">
      <c r="A54" s="15">
        <v>30</v>
      </c>
      <c r="B54" s="15">
        <f t="shared" si="2"/>
        <v>18.915555555555553</v>
      </c>
      <c r="C54" s="15">
        <f t="shared" si="3"/>
        <v>19.911111111111111</v>
      </c>
      <c r="D54" s="15">
        <f t="shared" si="4"/>
        <v>20.906666666666666</v>
      </c>
      <c r="E54" s="15">
        <f>0.5*(18.97*$B$21*$B$19/$E$35)*Tabella1[[#This Row],[W/S '[lb/ft^2']]]^-0.5</f>
        <v>15.748234660075108</v>
      </c>
      <c r="F54" s="15">
        <f>0.5*(18.97*$B$21*$B$19/$E$36)*Tabella1[[#This Row],[W/S '[lb/ft^2']]]^-0.5</f>
        <v>17.783812104796326</v>
      </c>
      <c r="G54" s="15">
        <f>0.5*(18.97*$B$21*$B$19/$E$37)*Tabella1[[#This Row],[W/S '[lb/ft^2']]]^-0.5</f>
        <v>16.117197207754987</v>
      </c>
      <c r="H54" s="15">
        <f>0.5*(18.97*$B$21*$B$19/$E$38)*Tabella1[[#This Row],[W/S '[lb/ft^2']]]^-0.5</f>
        <v>20.739402437101301</v>
      </c>
      <c r="I54" s="15">
        <f>1.18*(18.97*$B$21*$B$19/$E$39)*Tabella1[[#This Row],[W/S '[lb/ft^2']]]^-0.5</f>
        <v>20.545654507318801</v>
      </c>
      <c r="J54" s="15">
        <f>1.18*0.5*(18.97*$B$21*$B$19/$E$40)*(Tabella1[[#This Row],[W/S '[lb/ft^2']]]^-0.5)</f>
        <v>9.5414109109565572</v>
      </c>
      <c r="K54" s="19">
        <f>($B$27*$B$28*$B$29*Tabella1[[#This Row],[W/S '[lb/ft^2']]])/($B$30^3*$B$26)</f>
        <v>6.5301707654374148</v>
      </c>
    </row>
    <row r="55" spans="1:11" x14ac:dyDescent="0.3">
      <c r="A55" s="15">
        <v>31</v>
      </c>
      <c r="B55" s="15">
        <f t="shared" si="2"/>
        <v>18.305376344086017</v>
      </c>
      <c r="C55" s="15">
        <f t="shared" si="3"/>
        <v>19.268817204301076</v>
      </c>
      <c r="D55" s="15">
        <f t="shared" si="4"/>
        <v>20.232258064516127</v>
      </c>
      <c r="E55" s="15">
        <f>0.5*(18.97*$B$21*$B$19/$E$35)*Tabella1[[#This Row],[W/S '[lb/ft^2']]]^-0.5</f>
        <v>15.492148737098361</v>
      </c>
      <c r="F55" s="15">
        <f>0.5*(18.97*$B$21*$B$19/$E$36)*Tabella1[[#This Row],[W/S '[lb/ft^2']]]^-0.5</f>
        <v>17.494625155579246</v>
      </c>
      <c r="G55" s="15">
        <f>0.5*(18.97*$B$21*$B$19/$E$37)*Tabella1[[#This Row],[W/S '[lb/ft^2']]]^-0.5</f>
        <v>15.855111493906064</v>
      </c>
      <c r="H55" s="15">
        <f>0.5*(18.97*$B$21*$B$19/$E$38)*Tabella1[[#This Row],[W/S '[lb/ft^2']]]^-0.5</f>
        <v>20.40215390545757</v>
      </c>
      <c r="I55" s="15">
        <f>1.18*(18.97*$B$21*$B$19/$E$39)*Tabella1[[#This Row],[W/S '[lb/ft^2']]]^-0.5</f>
        <v>20.211556558486041</v>
      </c>
      <c r="J55" s="15">
        <f>1.18*0.5*(18.97*$B$21*$B$19/$E$40)*(Tabella1[[#This Row],[W/S '[lb/ft^2']]]^-0.5)</f>
        <v>9.3862556778543187</v>
      </c>
      <c r="K55" s="19">
        <f>($B$27*$B$28*$B$29*Tabella1[[#This Row],[W/S '[lb/ft^2']]])/($B$30^3*$B$26)</f>
        <v>6.7478431242853292</v>
      </c>
    </row>
    <row r="56" spans="1:11" x14ac:dyDescent="0.3">
      <c r="A56" s="15">
        <v>32</v>
      </c>
      <c r="B56" s="15">
        <f t="shared" si="2"/>
        <v>17.733333333333331</v>
      </c>
      <c r="C56" s="15">
        <f t="shared" si="3"/>
        <v>18.666666666666668</v>
      </c>
      <c r="D56" s="15">
        <f t="shared" si="4"/>
        <v>19.600000000000001</v>
      </c>
      <c r="E56" s="15">
        <f>0.5*(18.97*$B$21*$B$19/$E$35)*Tabella1[[#This Row],[W/S '[lb/ft^2']]]^-0.5</f>
        <v>15.248162642659327</v>
      </c>
      <c r="F56" s="15">
        <f>0.5*(18.97*$B$21*$B$19/$E$36)*Tabella1[[#This Row],[W/S '[lb/ft^2']]]^-0.5</f>
        <v>17.219102028489509</v>
      </c>
      <c r="G56" s="15">
        <f>0.5*(18.97*$B$21*$B$19/$E$37)*Tabella1[[#This Row],[W/S '[lb/ft^2']]]^-0.5</f>
        <v>15.605409093293936</v>
      </c>
      <c r="H56" s="15">
        <f>0.5*(18.97*$B$21*$B$19/$E$38)*Tabella1[[#This Row],[W/S '[lb/ft^2']]]^-0.5</f>
        <v>20.080840062296712</v>
      </c>
      <c r="I56" s="15">
        <f>1.18*(18.97*$B$21*$B$19/$E$39)*Tabella1[[#This Row],[W/S '[lb/ft^2']]]^-0.5</f>
        <v>19.893244435944268</v>
      </c>
      <c r="J56" s="15">
        <f>1.18*0.5*(18.97*$B$21*$B$19/$E$40)*(Tabella1[[#This Row],[W/S '[lb/ft^2']]]^-0.5)</f>
        <v>9.2384313893641199</v>
      </c>
      <c r="K56" s="19">
        <f>($B$27*$B$28*$B$29*Tabella1[[#This Row],[W/S '[lb/ft^2']]])/($B$30^3*$B$26)</f>
        <v>6.9655154831332426</v>
      </c>
    </row>
    <row r="57" spans="1:11" x14ac:dyDescent="0.3">
      <c r="A57" s="15">
        <v>33</v>
      </c>
      <c r="B57" s="15">
        <f t="shared" si="2"/>
        <v>17.195959595959593</v>
      </c>
      <c r="C57" s="15">
        <f t="shared" si="3"/>
        <v>18.1010101010101</v>
      </c>
      <c r="D57" s="15">
        <f t="shared" si="4"/>
        <v>19.006060606060608</v>
      </c>
      <c r="E57" s="15">
        <f>0.5*(18.97*$B$21*$B$19/$E$35)*Tabella1[[#This Row],[W/S '[lb/ft^2']]]^-0.5</f>
        <v>15.015352595042394</v>
      </c>
      <c r="F57" s="15">
        <f>0.5*(18.97*$B$21*$B$19/$E$36)*Tabella1[[#This Row],[W/S '[lb/ft^2']]]^-0.5</f>
        <v>16.956199536096214</v>
      </c>
      <c r="G57" s="15">
        <f>0.5*(18.97*$B$21*$B$19/$E$37)*Tabella1[[#This Row],[W/S '[lb/ft^2']]]^-0.5</f>
        <v>15.367144581087903</v>
      </c>
      <c r="H57" s="15">
        <f>0.5*(18.97*$B$21*$B$19/$E$38)*Tabella1[[#This Row],[W/S '[lb/ft^2']]]^-0.5</f>
        <v>19.774244347084956</v>
      </c>
      <c r="I57" s="15">
        <f>1.18*(18.97*$B$21*$B$19/$E$39)*Tabella1[[#This Row],[W/S '[lb/ft^2']]]^-0.5</f>
        <v>19.589512944293563</v>
      </c>
      <c r="J57" s="15">
        <f>1.18*0.5*(18.97*$B$21*$B$19/$E$40)*(Tabella1[[#This Row],[W/S '[lb/ft^2']]]^-0.5)</f>
        <v>9.0973783522167846</v>
      </c>
      <c r="K57" s="19">
        <f>($B$27*$B$28*$B$29*Tabella1[[#This Row],[W/S '[lb/ft^2']]])/($B$30^3*$B$26)</f>
        <v>7.1831878419811561</v>
      </c>
    </row>
    <row r="58" spans="1:11" x14ac:dyDescent="0.3">
      <c r="A58" s="15">
        <v>34</v>
      </c>
      <c r="B58" s="15">
        <f t="shared" si="2"/>
        <v>16.69019607843137</v>
      </c>
      <c r="C58" s="15">
        <f t="shared" si="3"/>
        <v>17.568627450980394</v>
      </c>
      <c r="D58" s="15">
        <f t="shared" si="4"/>
        <v>18.44705882352941</v>
      </c>
      <c r="E58" s="15">
        <f>0.5*(18.97*$B$21*$B$19/$E$35)*Tabella1[[#This Row],[W/S '[lb/ft^2']]]^-0.5</f>
        <v>14.79289062877217</v>
      </c>
      <c r="F58" s="15">
        <f>0.5*(18.97*$B$21*$B$19/$E$36)*Tabella1[[#This Row],[W/S '[lb/ft^2']]]^-0.5</f>
        <v>16.704982692176369</v>
      </c>
      <c r="G58" s="15">
        <f>0.5*(18.97*$B$21*$B$19/$E$37)*Tabella1[[#This Row],[W/S '[lb/ft^2']]]^-0.5</f>
        <v>15.139470593558876</v>
      </c>
      <c r="H58" s="15">
        <f>0.5*(18.97*$B$21*$B$19/$E$38)*Tabella1[[#This Row],[W/S '[lb/ft^2']]]^-0.5</f>
        <v>19.481276383055075</v>
      </c>
      <c r="I58" s="15">
        <f>1.18*(18.97*$B$21*$B$19/$E$39)*Tabella1[[#This Row],[W/S '[lb/ft^2']]]^-0.5</f>
        <v>19.299281893089184</v>
      </c>
      <c r="J58" s="15">
        <f>1.18*0.5*(18.97*$B$21*$B$19/$E$40)*(Tabella1[[#This Row],[W/S '[lb/ft^2']]]^-0.5)</f>
        <v>8.96259492549882</v>
      </c>
      <c r="K58" s="19">
        <f>($B$27*$B$28*$B$29*Tabella1[[#This Row],[W/S '[lb/ft^2']]])/($B$30^3*$B$26)</f>
        <v>7.4008602008290696</v>
      </c>
    </row>
    <row r="59" spans="1:11" x14ac:dyDescent="0.3">
      <c r="A59" s="15">
        <v>35</v>
      </c>
      <c r="B59" s="15">
        <f t="shared" si="2"/>
        <v>16.213333333333331</v>
      </c>
      <c r="C59" s="15">
        <f t="shared" si="3"/>
        <v>17.066666666666666</v>
      </c>
      <c r="D59" s="15">
        <f t="shared" si="4"/>
        <v>17.920000000000002</v>
      </c>
      <c r="E59" s="15">
        <f>0.5*(18.97*$B$21*$B$19/$E$35)*Tabella1[[#This Row],[W/S '[lb/ft^2']]]^-0.5</f>
        <v>14.580032184232289</v>
      </c>
      <c r="F59" s="15">
        <f>0.5*(18.97*$B$21*$B$19/$E$36)*Tabella1[[#This Row],[W/S '[lb/ft^2']]]^-0.5</f>
        <v>16.464610697198843</v>
      </c>
      <c r="G59" s="15">
        <f>0.5*(18.97*$B$21*$B$19/$E$37)*Tabella1[[#This Row],[W/S '[lb/ft^2']]]^-0.5</f>
        <v>14.921625126937611</v>
      </c>
      <c r="H59" s="15">
        <f>0.5*(18.97*$B$21*$B$19/$E$38)*Tabella1[[#This Row],[W/S '[lb/ft^2']]]^-0.5</f>
        <v>19.200955633540222</v>
      </c>
      <c r="I59" s="15">
        <f>1.18*(18.97*$B$21*$B$19/$E$39)*Tabella1[[#This Row],[W/S '[lb/ft^2']]]^-0.5</f>
        <v>19.021579905858264</v>
      </c>
      <c r="J59" s="15">
        <f>1.18*0.5*(18.97*$B$21*$B$19/$E$40)*(Tabella1[[#This Row],[W/S '[lb/ft^2']]]^-0.5)</f>
        <v>8.8336300015527094</v>
      </c>
      <c r="K59" s="19">
        <f>($B$27*$B$28*$B$29*Tabella1[[#This Row],[W/S '[lb/ft^2']]])/($B$30^3*$B$26)</f>
        <v>7.618532559676984</v>
      </c>
    </row>
    <row r="60" spans="1:11" x14ac:dyDescent="0.3">
      <c r="A60" s="15">
        <v>36</v>
      </c>
      <c r="B60" s="15">
        <f t="shared" si="2"/>
        <v>15.762962962962961</v>
      </c>
      <c r="C60" s="15">
        <f t="shared" si="3"/>
        <v>16.592592592592592</v>
      </c>
      <c r="D60" s="15">
        <f t="shared" si="4"/>
        <v>17.422222222222221</v>
      </c>
      <c r="E60" s="15">
        <f>0.5*(18.97*$B$21*$B$19/$E$35)*Tabella1[[#This Row],[W/S '[lb/ft^2']]]^-0.5</f>
        <v>14.376105607013063</v>
      </c>
      <c r="F60" s="15">
        <f>0.5*(18.97*$B$21*$B$19/$E$36)*Tabella1[[#This Row],[W/S '[lb/ft^2']]]^-0.5</f>
        <v>16.234325080383957</v>
      </c>
      <c r="G60" s="15">
        <f>0.5*(18.97*$B$21*$B$19/$E$37)*Tabella1[[#This Row],[W/S '[lb/ft^2']]]^-0.5</f>
        <v>14.712920790744473</v>
      </c>
      <c r="H60" s="15">
        <f>0.5*(18.97*$B$21*$B$19/$E$38)*Tabella1[[#This Row],[W/S '[lb/ft^2']]]^-0.5</f>
        <v>18.932397573296665</v>
      </c>
      <c r="I60" s="15">
        <f>1.18*(18.97*$B$21*$B$19/$E$39)*Tabella1[[#This Row],[W/S '[lb/ft^2']]]^-0.5</f>
        <v>18.755530720610331</v>
      </c>
      <c r="J60" s="15">
        <f>1.18*0.5*(18.97*$B$21*$B$19/$E$40)*(Tabella1[[#This Row],[W/S '[lb/ft^2']]]^-0.5)</f>
        <v>8.710076643928037</v>
      </c>
      <c r="K60" s="19">
        <f>($B$27*$B$28*$B$29*Tabella1[[#This Row],[W/S '[lb/ft^2']]])/($B$30^3*$B$26)</f>
        <v>7.8362049185248974</v>
      </c>
    </row>
    <row r="61" spans="1:11" x14ac:dyDescent="0.3">
      <c r="A61" s="15">
        <v>37</v>
      </c>
      <c r="B61" s="15">
        <f t="shared" si="2"/>
        <v>15.336936936936935</v>
      </c>
      <c r="C61" s="15">
        <f t="shared" si="3"/>
        <v>16.144144144144143</v>
      </c>
      <c r="D61" s="15">
        <f t="shared" si="4"/>
        <v>16.951351351351352</v>
      </c>
      <c r="E61" s="15">
        <f>0.5*(18.97*$B$21*$B$19/$E$35)*Tabella1[[#This Row],[W/S '[lb/ft^2']]]^-0.5</f>
        <v>14.1805032191269</v>
      </c>
      <c r="F61" s="15">
        <f>0.5*(18.97*$B$21*$B$19/$E$36)*Tabella1[[#This Row],[W/S '[lb/ft^2']]]^-0.5</f>
        <v>16.013439616806515</v>
      </c>
      <c r="G61" s="15">
        <f>0.5*(18.97*$B$21*$B$19/$E$37)*Tabella1[[#This Row],[W/S '[lb/ft^2']]]^-0.5</f>
        <v>14.512735669813969</v>
      </c>
      <c r="H61" s="15">
        <f>0.5*(18.97*$B$21*$B$19/$E$38)*Tabella1[[#This Row],[W/S '[lb/ft^2']]]^-0.5</f>
        <v>18.674801929874256</v>
      </c>
      <c r="I61" s="15">
        <f>1.18*(18.97*$B$21*$B$19/$E$39)*Tabella1[[#This Row],[W/S '[lb/ft^2']]]^-0.5</f>
        <v>18.500341541057139</v>
      </c>
      <c r="J61" s="15">
        <f>1.18*0.5*(18.97*$B$21*$B$19/$E$40)*(Tabella1[[#This Row],[W/S '[lb/ft^2']]]^-0.5)</f>
        <v>8.5915666776828861</v>
      </c>
      <c r="K61" s="19">
        <f>($B$27*$B$28*$B$29*Tabella1[[#This Row],[W/S '[lb/ft^2']]])/($B$30^3*$B$26)</f>
        <v>8.0538772773728109</v>
      </c>
    </row>
    <row r="62" spans="1:11" x14ac:dyDescent="0.3">
      <c r="A62" s="15">
        <v>38</v>
      </c>
      <c r="B62" s="15">
        <f t="shared" si="2"/>
        <v>14.93333333333333</v>
      </c>
      <c r="C62" s="15">
        <f t="shared" si="3"/>
        <v>15.719298245614034</v>
      </c>
      <c r="D62" s="15">
        <f t="shared" si="4"/>
        <v>16.505263157894738</v>
      </c>
      <c r="E62" s="15">
        <f>0.5*(18.97*$B$21*$B$19/$E$35)*Tabella1[[#This Row],[W/S '[lb/ft^2']]]^-0.5</f>
        <v>13.992673691373497</v>
      </c>
      <c r="F62" s="15">
        <f>0.5*(18.97*$B$21*$B$19/$E$36)*Tabella1[[#This Row],[W/S '[lb/ft^2']]]^-0.5</f>
        <v>15.801331713831999</v>
      </c>
      <c r="G62" s="15">
        <f>0.5*(18.97*$B$21*$B$19/$E$37)*Tabella1[[#This Row],[W/S '[lb/ft^2']]]^-0.5</f>
        <v>14.320505517953467</v>
      </c>
      <c r="H62" s="15">
        <f>0.5*(18.97*$B$21*$B$19/$E$38)*Tabella1[[#This Row],[W/S '[lb/ft^2']]]^-0.5</f>
        <v>18.427442638516712</v>
      </c>
      <c r="I62" s="15">
        <f>1.18*(18.97*$B$21*$B$19/$E$39)*Tabella1[[#This Row],[W/S '[lb/ft^2']]]^-0.5</f>
        <v>18.255293085354495</v>
      </c>
      <c r="J62" s="15">
        <f>1.18*0.5*(18.97*$B$21*$B$19/$E$40)*(Tabella1[[#This Row],[W/S '[lb/ft^2']]]^-0.5)</f>
        <v>8.4777660680152138</v>
      </c>
      <c r="K62" s="19">
        <f>($B$27*$B$28*$B$29*Tabella1[[#This Row],[W/S '[lb/ft^2']]])/($B$30^3*$B$26)</f>
        <v>8.2715496362207244</v>
      </c>
    </row>
    <row r="63" spans="1:11" x14ac:dyDescent="0.3">
      <c r="A63" s="15">
        <v>39</v>
      </c>
      <c r="B63" s="15">
        <f t="shared" si="2"/>
        <v>14.550427350427348</v>
      </c>
      <c r="C63" s="15">
        <f t="shared" si="3"/>
        <v>15.316239316239317</v>
      </c>
      <c r="D63" s="15">
        <f t="shared" si="4"/>
        <v>16.082051282051282</v>
      </c>
      <c r="E63" s="15">
        <f>0.5*(18.97*$B$21*$B$19/$E$35)*Tabella1[[#This Row],[W/S '[lb/ft^2']]]^-0.5</f>
        <v>13.812115498547781</v>
      </c>
      <c r="F63" s="15">
        <f>0.5*(18.97*$B$21*$B$19/$E$36)*Tabella1[[#This Row],[W/S '[lb/ft^2']]]^-0.5</f>
        <v>15.597435020361036</v>
      </c>
      <c r="G63" s="15">
        <f>0.5*(18.97*$B$21*$B$19/$E$37)*Tabella1[[#This Row],[W/S '[lb/ft^2']]]^-0.5</f>
        <v>14.135717059814372</v>
      </c>
      <c r="H63" s="15">
        <f>0.5*(18.97*$B$21*$B$19/$E$38)*Tabella1[[#This Row],[W/S '[lb/ft^2']]]^-0.5</f>
        <v>18.189659223095443</v>
      </c>
      <c r="I63" s="15">
        <f>1.18*(18.97*$B$21*$B$19/$E$39)*Tabella1[[#This Row],[W/S '[lb/ft^2']]]^-0.5</f>
        <v>18.019731047555567</v>
      </c>
      <c r="J63" s="15">
        <f>1.18*0.5*(18.97*$B$21*$B$19/$E$40)*(Tabella1[[#This Row],[W/S '[lb/ft^2']]]^-0.5)</f>
        <v>8.368370954958035</v>
      </c>
      <c r="K63" s="19">
        <f>($B$27*$B$28*$B$29*Tabella1[[#This Row],[W/S '[lb/ft^2']]])/($B$30^3*$B$26)</f>
        <v>8.4892219950686396</v>
      </c>
    </row>
    <row r="64" spans="1:11" x14ac:dyDescent="0.3">
      <c r="A64" s="15">
        <v>40</v>
      </c>
      <c r="B64" s="15">
        <f t="shared" si="2"/>
        <v>14.186666666666664</v>
      </c>
      <c r="C64" s="15">
        <f t="shared" si="3"/>
        <v>14.933333333333334</v>
      </c>
      <c r="D64" s="15">
        <f t="shared" si="4"/>
        <v>15.68</v>
      </c>
      <c r="E64" s="15">
        <f>0.5*(18.97*$B$21*$B$19/$E$35)*Tabella1[[#This Row],[W/S '[lb/ft^2']]]^-0.5</f>
        <v>13.638371280383637</v>
      </c>
      <c r="F64" s="15">
        <f>0.5*(18.97*$B$21*$B$19/$E$36)*Tabella1[[#This Row],[W/S '[lb/ft^2']]]^-0.5</f>
        <v>15.401233058882827</v>
      </c>
      <c r="G64" s="15">
        <f>0.5*(18.97*$B$21*$B$19/$E$37)*Tabella1[[#This Row],[W/S '[lb/ft^2']]]^-0.5</f>
        <v>13.957902219719442</v>
      </c>
      <c r="H64" s="15">
        <f>0.5*(18.97*$B$21*$B$19/$E$38)*Tabella1[[#This Row],[W/S '[lb/ft^2']]]^-0.5</f>
        <v>17.960849369838627</v>
      </c>
      <c r="I64" s="15">
        <f>1.18*(18.97*$B$21*$B$19/$E$39)*Tabella1[[#This Row],[W/S '[lb/ft^2']]]^-0.5</f>
        <v>17.79305874071634</v>
      </c>
      <c r="J64" s="15">
        <f>1.18*0.5*(18.97*$B$21*$B$19/$E$40)*(Tabella1[[#This Row],[W/S '[lb/ft^2']]]^-0.5)</f>
        <v>8.2631042368344012</v>
      </c>
      <c r="K64" s="19">
        <f>($B$27*$B$28*$B$29*Tabella1[[#This Row],[W/S '[lb/ft^2']]])/($B$30^3*$B$26)</f>
        <v>8.7068943539165531</v>
      </c>
    </row>
    <row r="65" spans="1:11" x14ac:dyDescent="0.3">
      <c r="A65" s="15">
        <v>41</v>
      </c>
      <c r="B65" s="15">
        <f t="shared" si="2"/>
        <v>13.840650406504063</v>
      </c>
      <c r="C65" s="15">
        <f t="shared" si="3"/>
        <v>14.56910569105691</v>
      </c>
      <c r="D65" s="15">
        <f t="shared" si="4"/>
        <v>15.297560975609755</v>
      </c>
      <c r="E65" s="15">
        <f>0.5*(18.97*$B$21*$B$19/$E$35)*Tabella1[[#This Row],[W/S '[lb/ft^2']]]^-0.5</f>
        <v>13.471022963730677</v>
      </c>
      <c r="F65" s="15">
        <f>0.5*(18.97*$B$21*$B$19/$E$36)*Tabella1[[#This Row],[W/S '[lb/ft^2']]]^-0.5</f>
        <v>15.21225371715666</v>
      </c>
      <c r="G65" s="15">
        <f>0.5*(18.97*$B$21*$B$19/$E$37)*Tabella1[[#This Row],[W/S '[lb/ft^2']]]^-0.5</f>
        <v>13.786633129557895</v>
      </c>
      <c r="H65" s="15">
        <f>0.5*(18.97*$B$21*$B$19/$E$38)*Tabella1[[#This Row],[W/S '[lb/ft^2']]]^-0.5</f>
        <v>17.740462503554742</v>
      </c>
      <c r="I65" s="15">
        <f>1.18*(18.97*$B$21*$B$19/$E$39)*Tabella1[[#This Row],[W/S '[lb/ft^2']]]^-0.5</f>
        <v>17.574730733130206</v>
      </c>
      <c r="J65" s="15">
        <f>1.18*0.5*(18.97*$B$21*$B$19/$E$40)*(Tabella1[[#This Row],[W/S '[lb/ft^2']]]^-0.5)</f>
        <v>8.1617126149219583</v>
      </c>
      <c r="K65" s="19">
        <f>($B$27*$B$28*$B$29*Tabella1[[#This Row],[W/S '[lb/ft^2']]])/($B$30^3*$B$26)</f>
        <v>8.9245667127644666</v>
      </c>
    </row>
    <row r="66" spans="1:11" x14ac:dyDescent="0.3">
      <c r="A66" s="15">
        <v>42</v>
      </c>
      <c r="B66" s="15">
        <f t="shared" si="2"/>
        <v>13.511111111111109</v>
      </c>
      <c r="C66" s="15">
        <f t="shared" si="3"/>
        <v>14.222222222222221</v>
      </c>
      <c r="D66" s="15">
        <f t="shared" si="4"/>
        <v>14.933333333333334</v>
      </c>
      <c r="E66" s="15">
        <f>0.5*(18.97*$B$21*$B$19/$E$35)*Tabella1[[#This Row],[W/S '[lb/ft^2']]]^-0.5</f>
        <v>13.309687527425572</v>
      </c>
      <c r="F66" s="15">
        <f>0.5*(18.97*$B$21*$B$19/$E$36)*Tabella1[[#This Row],[W/S '[lb/ft^2']]]^-0.5</f>
        <v>15.030064465661111</v>
      </c>
      <c r="G66" s="15">
        <f>0.5*(18.97*$B$21*$B$19/$E$37)*Tabella1[[#This Row],[W/S '[lb/ft^2']]]^-0.5</f>
        <v>13.621517794432696</v>
      </c>
      <c r="H66" s="15">
        <f>0.5*(18.97*$B$21*$B$19/$E$38)*Tabella1[[#This Row],[W/S '[lb/ft^2']]]^-0.5</f>
        <v>17.527994210243133</v>
      </c>
      <c r="I66" s="15">
        <f>1.18*(18.97*$B$21*$B$19/$E$39)*Tabella1[[#This Row],[W/S '[lb/ft^2']]]^-0.5</f>
        <v>17.364247323042612</v>
      </c>
      <c r="J66" s="15">
        <f>1.18*0.5*(18.97*$B$21*$B$19/$E$40)*(Tabella1[[#This Row],[W/S '[lb/ft^2']]]^-0.5)</f>
        <v>8.0639640275080264</v>
      </c>
      <c r="K66" s="19">
        <f>($B$27*$B$28*$B$29*Tabella1[[#This Row],[W/S '[lb/ft^2']]])/($B$30^3*$B$26)</f>
        <v>9.14223907161238</v>
      </c>
    </row>
    <row r="67" spans="1:11" x14ac:dyDescent="0.3">
      <c r="A67" s="15">
        <v>43</v>
      </c>
      <c r="B67" s="15">
        <f t="shared" si="2"/>
        <v>13.196899224806199</v>
      </c>
      <c r="C67" s="15">
        <f t="shared" si="3"/>
        <v>13.891472868217054</v>
      </c>
      <c r="D67" s="15">
        <f t="shared" si="4"/>
        <v>14.586046511627908</v>
      </c>
      <c r="E67" s="15">
        <f>0.5*(18.97*$B$21*$B$19/$E$35)*Tabella1[[#This Row],[W/S '[lb/ft^2']]]^-0.5</f>
        <v>13.154013312120204</v>
      </c>
      <c r="F67" s="15">
        <f>0.5*(18.97*$B$21*$B$19/$E$36)*Tabella1[[#This Row],[W/S '[lb/ft^2']]]^-0.5</f>
        <v>14.854268190439806</v>
      </c>
      <c r="G67" s="15">
        <f>0.5*(18.97*$B$21*$B$19/$E$37)*Tabella1[[#This Row],[W/S '[lb/ft^2']]]^-0.5</f>
        <v>13.462196316032326</v>
      </c>
      <c r="H67" s="15">
        <f>0.5*(18.97*$B$21*$B$19/$E$38)*Tabella1[[#This Row],[W/S '[lb/ft^2']]]^-0.5</f>
        <v>17.322981377377292</v>
      </c>
      <c r="I67" s="15">
        <f>1.18*(18.97*$B$21*$B$19/$E$39)*Tabella1[[#This Row],[W/S '[lb/ft^2']]]^-0.5</f>
        <v>17.161149724333931</v>
      </c>
      <c r="J67" s="15">
        <f>1.18*0.5*(18.97*$B$21*$B$19/$E$40)*(Tabella1[[#This Row],[W/S '[lb/ft^2']]]^-0.5)</f>
        <v>7.9696454141186219</v>
      </c>
      <c r="K67" s="19">
        <f>($B$27*$B$28*$B$29*Tabella1[[#This Row],[W/S '[lb/ft^2']]])/($B$30^3*$B$26)</f>
        <v>9.3599114304602935</v>
      </c>
    </row>
    <row r="68" spans="1:11" x14ac:dyDescent="0.3">
      <c r="A68" s="15">
        <v>44</v>
      </c>
      <c r="B68" s="15">
        <f t="shared" si="2"/>
        <v>12.896969696969695</v>
      </c>
      <c r="C68" s="15">
        <f t="shared" si="3"/>
        <v>13.575757575757576</v>
      </c>
      <c r="D68" s="15">
        <f t="shared" si="4"/>
        <v>14.254545454545454</v>
      </c>
      <c r="E68" s="15">
        <f>0.5*(18.97*$B$21*$B$19/$E$35)*Tabella1[[#This Row],[W/S '[lb/ft^2']]]^-0.5</f>
        <v>13.003676794087307</v>
      </c>
      <c r="F68" s="15">
        <f>0.5*(18.97*$B$21*$B$19/$E$36)*Tabella1[[#This Row],[W/S '[lb/ft^2']]]^-0.5</f>
        <v>14.684499549897234</v>
      </c>
      <c r="G68" s="15">
        <f>0.5*(18.97*$B$21*$B$19/$E$37)*Tabella1[[#This Row],[W/S '[lb/ft^2']]]^-0.5</f>
        <v>13.308337590850499</v>
      </c>
      <c r="H68" s="15">
        <f>0.5*(18.97*$B$21*$B$19/$E$38)*Tabella1[[#This Row],[W/S '[lb/ft^2']]]^-0.5</f>
        <v>17.1249979452164</v>
      </c>
      <c r="I68" s="15">
        <f>1.18*(18.97*$B$21*$B$19/$E$39)*Tabella1[[#This Row],[W/S '[lb/ft^2']]]^-0.5</f>
        <v>16.965015857522317</v>
      </c>
      <c r="J68" s="15">
        <f>1.18*0.5*(18.97*$B$21*$B$19/$E$40)*(Tabella1[[#This Row],[W/S '[lb/ft^2']]]^-0.5)</f>
        <v>7.8785607608583526</v>
      </c>
      <c r="K68" s="19">
        <f>($B$27*$B$28*$B$29*Tabella1[[#This Row],[W/S '[lb/ft^2']]])/($B$30^3*$B$26)</f>
        <v>9.5775837893082088</v>
      </c>
    </row>
    <row r="69" spans="1:11" x14ac:dyDescent="0.3">
      <c r="A69" s="15">
        <v>45</v>
      </c>
      <c r="B69" s="15">
        <f t="shared" si="2"/>
        <v>12.610370370370369</v>
      </c>
      <c r="C69" s="15">
        <f t="shared" si="3"/>
        <v>13.274074074074074</v>
      </c>
      <c r="D69" s="15">
        <f t="shared" si="4"/>
        <v>13.937777777777777</v>
      </c>
      <c r="E69" s="15">
        <f>0.5*(18.97*$B$21*$B$19/$E$35)*Tabella1[[#This Row],[W/S '[lb/ft^2']]]^-0.5</f>
        <v>12.858379755598836</v>
      </c>
      <c r="F69" s="15">
        <f>0.5*(18.97*$B$21*$B$19/$E$36)*Tabella1[[#This Row],[W/S '[lb/ft^2']]]^-0.5</f>
        <v>14.520421779427307</v>
      </c>
      <c r="G69" s="15">
        <f>0.5*(18.97*$B$21*$B$19/$E$37)*Tabella1[[#This Row],[W/S '[lb/ft^2']]]^-0.5</f>
        <v>13.159636414269842</v>
      </c>
      <c r="H69" s="15">
        <f>0.5*(18.97*$B$21*$B$19/$E$38)*Tabella1[[#This Row],[W/S '[lb/ft^2']]]^-0.5</f>
        <v>16.93365118037736</v>
      </c>
      <c r="I69" s="15">
        <f>1.18*(18.97*$B$21*$B$19/$E$39)*Tabella1[[#This Row],[W/S '[lb/ft^2']]]^-0.5</f>
        <v>16.775456658148126</v>
      </c>
      <c r="J69" s="15">
        <f>1.18*0.5*(18.97*$B$21*$B$19/$E$40)*(Tabella1[[#This Row],[W/S '[lb/ft^2']]]^-0.5)</f>
        <v>7.7905293860225289</v>
      </c>
      <c r="K69" s="19">
        <f>($B$27*$B$28*$B$29*Tabella1[[#This Row],[W/S '[lb/ft^2']]])/($B$30^3*$B$26)</f>
        <v>9.7952561481561204</v>
      </c>
    </row>
    <row r="70" spans="1:11" x14ac:dyDescent="0.3">
      <c r="A70" s="15">
        <v>46</v>
      </c>
      <c r="B70" s="15">
        <f t="shared" si="2"/>
        <v>12.33623188405797</v>
      </c>
      <c r="C70" s="15">
        <f t="shared" si="3"/>
        <v>12.985507246376812</v>
      </c>
      <c r="D70" s="15">
        <f t="shared" si="4"/>
        <v>13.634782608695652</v>
      </c>
      <c r="E70" s="15">
        <f>0.5*(18.97*$B$21*$B$19/$E$35)*Tabella1[[#This Row],[W/S '[lb/ft^2']]]^-0.5</f>
        <v>12.717846795524347</v>
      </c>
      <c r="F70" s="15">
        <f>0.5*(18.97*$B$21*$B$19/$E$36)*Tabella1[[#This Row],[W/S '[lb/ft^2']]]^-0.5</f>
        <v>14.361723880237911</v>
      </c>
      <c r="G70" s="15">
        <f>0.5*(18.97*$B$21*$B$19/$E$37)*Tabella1[[#This Row],[W/S '[lb/ft^2']]]^-0.5</f>
        <v>13.015810932836528</v>
      </c>
      <c r="H70" s="15">
        <f>0.5*(18.97*$B$21*$B$19/$E$38)*Tabella1[[#This Row],[W/S '[lb/ft^2']]]^-0.5</f>
        <v>16.748578397454526</v>
      </c>
      <c r="I70" s="15">
        <f>1.18*(18.97*$B$21*$B$19/$E$39)*Tabella1[[#This Row],[W/S '[lb/ft^2']]]^-0.5</f>
        <v>16.592112829020326</v>
      </c>
      <c r="J70" s="15">
        <f>1.18*0.5*(18.97*$B$21*$B$19/$E$40)*(Tabella1[[#This Row],[W/S '[lb/ft^2']]]^-0.5)</f>
        <v>7.7053844318389872</v>
      </c>
      <c r="K70" s="19">
        <f>($B$27*$B$28*$B$29*Tabella1[[#This Row],[W/S '[lb/ft^2']]])/($B$30^3*$B$26)</f>
        <v>10.012928507004036</v>
      </c>
    </row>
    <row r="71" spans="1:11" x14ac:dyDescent="0.3">
      <c r="A71" s="15">
        <v>47</v>
      </c>
      <c r="B71" s="15">
        <f t="shared" si="2"/>
        <v>12.073758865248225</v>
      </c>
      <c r="C71" s="15">
        <f t="shared" si="3"/>
        <v>12.709219858156029</v>
      </c>
      <c r="D71" s="15">
        <f t="shared" si="4"/>
        <v>13.34468085106383</v>
      </c>
      <c r="E71" s="15">
        <f>0.5*(18.97*$B$21*$B$19/$E$35)*Tabella1[[#This Row],[W/S '[lb/ft^2']]]^-0.5</f>
        <v>12.581823132838769</v>
      </c>
      <c r="F71" s="15">
        <f>0.5*(18.97*$B$21*$B$19/$E$36)*Tabella1[[#This Row],[W/S '[lb/ft^2']]]^-0.5</f>
        <v>14.208118138945576</v>
      </c>
      <c r="G71" s="15">
        <f>0.5*(18.97*$B$21*$B$19/$E$37)*Tabella1[[#This Row],[W/S '[lb/ft^2']]]^-0.5</f>
        <v>12.876600396306833</v>
      </c>
      <c r="H71" s="15">
        <f>0.5*(18.97*$B$21*$B$19/$E$38)*Tabella1[[#This Row],[W/S '[lb/ft^2']]]^-0.5</f>
        <v>16.569444066382069</v>
      </c>
      <c r="I71" s="15">
        <f>1.18*(18.97*$B$21*$B$19/$E$39)*Tabella1[[#This Row],[W/S '[lb/ft^2']]]^-0.5</f>
        <v>16.414651974601956</v>
      </c>
      <c r="J71" s="15">
        <f>1.18*0.5*(18.97*$B$21*$B$19/$E$40)*(Tabella1[[#This Row],[W/S '[lb/ft^2']]]^-0.5)</f>
        <v>7.6229715336754387</v>
      </c>
      <c r="K71" s="19">
        <f>($B$27*$B$28*$B$29*Tabella1[[#This Row],[W/S '[lb/ft^2']]])/($B$30^3*$B$26)</f>
        <v>10.230600865851951</v>
      </c>
    </row>
    <row r="72" spans="1:11" x14ac:dyDescent="0.3">
      <c r="A72" s="15">
        <v>48</v>
      </c>
      <c r="B72" s="15">
        <f t="shared" si="2"/>
        <v>11.822222222222221</v>
      </c>
      <c r="C72" s="15">
        <f t="shared" si="3"/>
        <v>12.444444444444445</v>
      </c>
      <c r="D72" s="15">
        <f t="shared" si="4"/>
        <v>13.066666666666666</v>
      </c>
      <c r="E72" s="15">
        <f>0.5*(18.97*$B$21*$B$19/$E$35)*Tabella1[[#This Row],[W/S '[lb/ft^2']]]^-0.5</f>
        <v>12.450072663161222</v>
      </c>
      <c r="F72" s="15">
        <f>0.5*(18.97*$B$21*$B$19/$E$36)*Tabella1[[#This Row],[W/S '[lb/ft^2']]]^-0.5</f>
        <v>14.05933793290736</v>
      </c>
      <c r="G72" s="15">
        <f>0.5*(18.97*$B$21*$B$19/$E$37)*Tabella1[[#This Row],[W/S '[lb/ft^2']]]^-0.5</f>
        <v>12.741763168652946</v>
      </c>
      <c r="H72" s="15">
        <f>0.5*(18.97*$B$21*$B$19/$E$38)*Tabella1[[#This Row],[W/S '[lb/ft^2']]]^-0.5</f>
        <v>16.395937253021774</v>
      </c>
      <c r="I72" s="15">
        <f>1.18*(18.97*$B$21*$B$19/$E$39)*Tabella1[[#This Row],[W/S '[lb/ft^2']]]^-0.5</f>
        <v>16.242766065508008</v>
      </c>
      <c r="J72" s="15">
        <f>1.18*0.5*(18.97*$B$21*$B$19/$E$40)*(Tabella1[[#This Row],[W/S '[lb/ft^2']]]^-0.5)</f>
        <v>7.5431476425511876</v>
      </c>
      <c r="K72" s="19">
        <f>($B$27*$B$28*$B$29*Tabella1[[#This Row],[W/S '[lb/ft^2']]])/($B$30^3*$B$26)</f>
        <v>10.448273224699863</v>
      </c>
    </row>
    <row r="73" spans="1:11" x14ac:dyDescent="0.3">
      <c r="A73" s="15">
        <v>49</v>
      </c>
      <c r="B73" s="15">
        <f t="shared" si="2"/>
        <v>11.580952380952379</v>
      </c>
      <c r="C73" s="15">
        <f t="shared" si="3"/>
        <v>12.19047619047619</v>
      </c>
      <c r="D73" s="15">
        <f t="shared" si="4"/>
        <v>12.8</v>
      </c>
      <c r="E73" s="15">
        <f>0.5*(18.97*$B$21*$B$19/$E$35)*Tabella1[[#This Row],[W/S '[lb/ft^2']]]^-0.5</f>
        <v>12.322376234582626</v>
      </c>
      <c r="F73" s="15">
        <f>0.5*(18.97*$B$21*$B$19/$E$36)*Tabella1[[#This Row],[W/S '[lb/ft^2']]]^-0.5</f>
        <v>13.915135783186249</v>
      </c>
      <c r="G73" s="15">
        <f>0.5*(18.97*$B$21*$B$19/$E$37)*Tabella1[[#This Row],[W/S '[lb/ft^2']]]^-0.5</f>
        <v>12.611074963495263</v>
      </c>
      <c r="H73" s="15">
        <f>0.5*(18.97*$B$21*$B$19/$E$38)*Tabella1[[#This Row],[W/S '[lb/ft^2']]]^-0.5</f>
        <v>16.227769348539997</v>
      </c>
      <c r="I73" s="15">
        <f>1.18*(18.97*$B$21*$B$19/$E$39)*Tabella1[[#This Row],[W/S '[lb/ft^2']]]^-0.5</f>
        <v>16.076169189094568</v>
      </c>
      <c r="J73" s="15">
        <f>1.18*0.5*(18.97*$B$21*$B$19/$E$40)*(Tabella1[[#This Row],[W/S '[lb/ft^2']]]^-0.5)</f>
        <v>7.4657799805097458</v>
      </c>
      <c r="K73" s="19">
        <f>($B$27*$B$28*$B$29*Tabella1[[#This Row],[W/S '[lb/ft^2']]])/($B$30^3*$B$26)</f>
        <v>10.665945583547778</v>
      </c>
    </row>
    <row r="74" spans="1:11" x14ac:dyDescent="0.3">
      <c r="A74" s="15">
        <v>50</v>
      </c>
      <c r="B74" s="15">
        <f t="shared" si="2"/>
        <v>11.349333333333332</v>
      </c>
      <c r="C74" s="15">
        <f t="shared" si="3"/>
        <v>11.946666666666667</v>
      </c>
      <c r="D74" s="15">
        <f t="shared" si="4"/>
        <v>12.544</v>
      </c>
      <c r="E74" s="15">
        <f>0.5*(18.97*$B$21*$B$19/$E$35)*Tabella1[[#This Row],[W/S '[lb/ft^2']]]^-0.5</f>
        <v>12.198530114127463</v>
      </c>
      <c r="F74" s="15">
        <f>0.5*(18.97*$B$21*$B$19/$E$36)*Tabella1[[#This Row],[W/S '[lb/ft^2']]]^-0.5</f>
        <v>13.775281622791608</v>
      </c>
      <c r="G74" s="15">
        <f>0.5*(18.97*$B$21*$B$19/$E$37)*Tabella1[[#This Row],[W/S '[lb/ft^2']]]^-0.5</f>
        <v>12.484327274635151</v>
      </c>
      <c r="H74" s="15">
        <f>0.5*(18.97*$B$21*$B$19/$E$38)*Tabella1[[#This Row],[W/S '[lb/ft^2']]]^-0.5</f>
        <v>16.06467204983737</v>
      </c>
      <c r="I74" s="15">
        <f>1.18*(18.97*$B$21*$B$19/$E$39)*Tabella1[[#This Row],[W/S '[lb/ft^2']]]^-0.5</f>
        <v>15.914595548755415</v>
      </c>
      <c r="J74" s="15">
        <f>1.18*0.5*(18.97*$B$21*$B$19/$E$40)*(Tabella1[[#This Row],[W/S '[lb/ft^2']]]^-0.5)</f>
        <v>7.390745111491297</v>
      </c>
      <c r="K74" s="19">
        <f>($B$27*$B$28*$B$29*Tabella1[[#This Row],[W/S '[lb/ft^2']]])/($B$30^3*$B$26)</f>
        <v>10.88361794239569</v>
      </c>
    </row>
    <row r="75" spans="1:11" x14ac:dyDescent="0.3">
      <c r="A75" s="15">
        <v>51</v>
      </c>
      <c r="B75" s="15">
        <f t="shared" si="2"/>
        <v>11.126797385620913</v>
      </c>
      <c r="C75" s="15">
        <f t="shared" si="3"/>
        <v>11.712418300653594</v>
      </c>
      <c r="D75" s="15">
        <f t="shared" si="4"/>
        <v>12.298039215686275</v>
      </c>
      <c r="E75" s="15">
        <f>0.5*(18.97*$B$21*$B$19/$E$35)*Tabella1[[#This Row],[W/S '[lb/ft^2']]]^-0.5</f>
        <v>12.078344620430277</v>
      </c>
      <c r="F75" s="15">
        <f>0.5*(18.97*$B$21*$B$19/$E$36)*Tabella1[[#This Row],[W/S '[lb/ft^2']]]^-0.5</f>
        <v>13.639561252618845</v>
      </c>
      <c r="G75" s="15">
        <f>0.5*(18.97*$B$21*$B$19/$E$37)*Tabella1[[#This Row],[W/S '[lb/ft^2']]]^-0.5</f>
        <v>12.361325976696675</v>
      </c>
      <c r="H75" s="15">
        <f>0.5*(18.97*$B$21*$B$19/$E$38)*Tabella1[[#This Row],[W/S '[lb/ft^2']]]^-0.5</f>
        <v>15.906395558872525</v>
      </c>
      <c r="I75" s="15">
        <f>1.18*(18.97*$B$21*$B$19/$E$39)*Tabella1[[#This Row],[W/S '[lb/ft^2']]]^-0.5</f>
        <v>15.757797680067691</v>
      </c>
      <c r="J75" s="15">
        <f>1.18*0.5*(18.97*$B$21*$B$19/$E$40)*(Tabella1[[#This Row],[W/S '[lb/ft^2']]]^-0.5)</f>
        <v>7.317928112909974</v>
      </c>
      <c r="K75" s="19">
        <f>($B$27*$B$28*$B$29*Tabella1[[#This Row],[W/S '[lb/ft^2']]])/($B$30^3*$B$26)</f>
        <v>11.101290301243605</v>
      </c>
    </row>
    <row r="76" spans="1:11" x14ac:dyDescent="0.3">
      <c r="A76" s="15">
        <v>52</v>
      </c>
      <c r="B76" s="15">
        <f t="shared" si="2"/>
        <v>10.912820512820511</v>
      </c>
      <c r="C76" s="15">
        <f t="shared" si="3"/>
        <v>11.487179487179487</v>
      </c>
      <c r="D76" s="15">
        <f t="shared" si="4"/>
        <v>12.061538461538461</v>
      </c>
      <c r="E76" s="15">
        <f>0.5*(18.97*$B$21*$B$19/$E$35)*Tabella1[[#This Row],[W/S '[lb/ft^2']]]^-0.5</f>
        <v>11.961642901747146</v>
      </c>
      <c r="F76" s="15">
        <f>0.5*(18.97*$B$21*$B$19/$E$36)*Tabella1[[#This Row],[W/S '[lb/ft^2']]]^-0.5</f>
        <v>13.50777496150971</v>
      </c>
      <c r="G76" s="15">
        <f>0.5*(18.97*$B$21*$B$19/$E$37)*Tabella1[[#This Row],[W/S '[lb/ft^2']]]^-0.5</f>
        <v>12.241890074508321</v>
      </c>
      <c r="H76" s="15">
        <f>0.5*(18.97*$B$21*$B$19/$E$38)*Tabella1[[#This Row],[W/S '[lb/ft^2']]]^-0.5</f>
        <v>15.752706973382569</v>
      </c>
      <c r="I76" s="15">
        <f>1.18*(18.97*$B$21*$B$19/$E$39)*Tabella1[[#This Row],[W/S '[lb/ft^2']]]^-0.5</f>
        <v>15.605544856546295</v>
      </c>
      <c r="J76" s="15">
        <f>1.18*0.5*(18.97*$B$21*$B$19/$E$40)*(Tabella1[[#This Row],[W/S '[lb/ft^2']]]^-0.5)</f>
        <v>7.2472218352855009</v>
      </c>
      <c r="K76" s="19">
        <f>($B$27*$B$28*$B$29*Tabella1[[#This Row],[W/S '[lb/ft^2']]])/($B$30^3*$B$26)</f>
        <v>11.31896266009152</v>
      </c>
    </row>
    <row r="77" spans="1:11" x14ac:dyDescent="0.3">
      <c r="A77" s="15">
        <v>53</v>
      </c>
      <c r="B77" s="15">
        <f t="shared" ref="B77:B108" si="5">(2.8*$B$19*$C$3*$B$15)/(37.5*$A77)</f>
        <v>10.706918238993708</v>
      </c>
      <c r="C77" s="15">
        <f t="shared" ref="C77:C108" si="6">(2.8*$B$19*$C$4*$B$15)/(37.5*$A77)</f>
        <v>11.270440251572326</v>
      </c>
      <c r="D77" s="15">
        <f t="shared" ref="D77:D108" si="7">(2.8*$B$19*$C$5*$B$15)/(37.5*$A77)</f>
        <v>11.833962264150943</v>
      </c>
      <c r="E77" s="15">
        <f>0.5*(18.97*$B$21*$B$19/$E$35)*Tabella1[[#This Row],[W/S '[lb/ft^2']]]^-0.5</f>
        <v>11.84825984139135</v>
      </c>
      <c r="F77" s="15">
        <f>0.5*(18.97*$B$21*$B$19/$E$36)*Tabella1[[#This Row],[W/S '[lb/ft^2']]]^-0.5</f>
        <v>13.379736290207322</v>
      </c>
      <c r="G77" s="15">
        <f>0.5*(18.97*$B$21*$B$19/$E$37)*Tabella1[[#This Row],[W/S '[lb/ft^2']]]^-0.5</f>
        <v>12.125850582894317</v>
      </c>
      <c r="H77" s="15">
        <f>0.5*(18.97*$B$21*$B$19/$E$38)*Tabella1[[#This Row],[W/S '[lb/ft^2']]]^-0.5</f>
        <v>15.603388845412931</v>
      </c>
      <c r="I77" s="15">
        <f>1.18*(18.97*$B$21*$B$19/$E$39)*Tabella1[[#This Row],[W/S '[lb/ft^2']]]^-0.5</f>
        <v>15.457621661639983</v>
      </c>
      <c r="J77" s="15">
        <f>1.18*0.5*(18.97*$B$21*$B$19/$E$40)*(Tabella1[[#This Row],[W/S '[lb/ft^2']]]^-0.5)</f>
        <v>7.1785262390775593</v>
      </c>
      <c r="K77" s="19">
        <f>($B$27*$B$28*$B$29*Tabella1[[#This Row],[W/S '[lb/ft^2']]])/($B$30^3*$B$26)</f>
        <v>11.536635018939432</v>
      </c>
    </row>
    <row r="78" spans="1:11" x14ac:dyDescent="0.3">
      <c r="A78" s="15">
        <v>54</v>
      </c>
      <c r="B78" s="15">
        <f t="shared" si="5"/>
        <v>10.50864197530864</v>
      </c>
      <c r="C78" s="15">
        <f t="shared" si="6"/>
        <v>11.061728395061728</v>
      </c>
      <c r="D78" s="15">
        <f t="shared" si="7"/>
        <v>11.614814814814816</v>
      </c>
      <c r="E78" s="15">
        <f>0.5*(18.97*$B$21*$B$19/$E$35)*Tabella1[[#This Row],[W/S '[lb/ft^2']]]^-0.5</f>
        <v>11.738041075182078</v>
      </c>
      <c r="F78" s="15">
        <f>0.5*(18.97*$B$21*$B$19/$E$36)*Tabella1[[#This Row],[W/S '[lb/ft^2']]]^-0.5</f>
        <v>13.255270921802733</v>
      </c>
      <c r="G78" s="15">
        <f>0.5*(18.97*$B$21*$B$19/$E$37)*Tabella1[[#This Row],[W/S '[lb/ft^2']]]^-0.5</f>
        <v>12.013049521103319</v>
      </c>
      <c r="H78" s="15">
        <f>0.5*(18.97*$B$21*$B$19/$E$38)*Tabella1[[#This Row],[W/S '[lb/ft^2']]]^-0.5</f>
        <v>15.458237887361106</v>
      </c>
      <c r="I78" s="15">
        <f>1.18*(18.97*$B$21*$B$19/$E$39)*Tabella1[[#This Row],[W/S '[lb/ft^2']]]^-0.5</f>
        <v>15.313826706863265</v>
      </c>
      <c r="J78" s="15">
        <f>1.18*0.5*(18.97*$B$21*$B$19/$E$40)*(Tabella1[[#This Row],[W/S '[lb/ft^2']]]^-0.5)</f>
        <v>7.111747799385685</v>
      </c>
      <c r="K78" s="19">
        <f>($B$27*$B$28*$B$29*Tabella1[[#This Row],[W/S '[lb/ft^2']]])/($B$30^3*$B$26)</f>
        <v>11.754307377787347</v>
      </c>
    </row>
    <row r="79" spans="1:11" x14ac:dyDescent="0.3">
      <c r="A79" s="15">
        <v>55</v>
      </c>
      <c r="B79" s="15">
        <f t="shared" si="5"/>
        <v>10.317575757575757</v>
      </c>
      <c r="C79" s="15">
        <f t="shared" si="6"/>
        <v>10.860606060606061</v>
      </c>
      <c r="D79" s="15">
        <f t="shared" si="7"/>
        <v>11.403636363636364</v>
      </c>
      <c r="E79" s="15">
        <f>0.5*(18.97*$B$21*$B$19/$E$35)*Tabella1[[#This Row],[W/S '[lb/ft^2']]]^-0.5</f>
        <v>11.630842107606302</v>
      </c>
      <c r="F79" s="15">
        <f>0.5*(18.97*$B$21*$B$19/$E$36)*Tabella1[[#This Row],[W/S '[lb/ft^2']]]^-0.5</f>
        <v>13.134215683654112</v>
      </c>
      <c r="G79" s="15">
        <f>0.5*(18.97*$B$21*$B$19/$E$37)*Tabella1[[#This Row],[W/S '[lb/ft^2']]]^-0.5</f>
        <v>11.903339008263</v>
      </c>
      <c r="H79" s="15">
        <f>0.5*(18.97*$B$21*$B$19/$E$38)*Tabella1[[#This Row],[W/S '[lb/ft^2']]]^-0.5</f>
        <v>15.317063808019238</v>
      </c>
      <c r="I79" s="15">
        <f>1.18*(18.97*$B$21*$B$19/$E$39)*Tabella1[[#This Row],[W/S '[lb/ft^2']]]^-0.5</f>
        <v>15.173971478712717</v>
      </c>
      <c r="J79" s="15">
        <f>1.18*0.5*(18.97*$B$21*$B$19/$E$40)*(Tabella1[[#This Row],[W/S '[lb/ft^2']]]^-0.5)</f>
        <v>7.0467989704566962</v>
      </c>
      <c r="K79" s="19">
        <f>($B$27*$B$28*$B$29*Tabella1[[#This Row],[W/S '[lb/ft^2']]])/($B$30^3*$B$26)</f>
        <v>11.97197973663526</v>
      </c>
    </row>
    <row r="80" spans="1:11" x14ac:dyDescent="0.3">
      <c r="A80" s="15">
        <v>56</v>
      </c>
      <c r="B80" s="15">
        <f t="shared" si="5"/>
        <v>10.133333333333331</v>
      </c>
      <c r="C80" s="15">
        <f t="shared" si="6"/>
        <v>10.666666666666666</v>
      </c>
      <c r="D80" s="15">
        <f t="shared" si="7"/>
        <v>11.2</v>
      </c>
      <c r="E80" s="15">
        <f>0.5*(18.97*$B$21*$B$19/$E$35)*Tabella1[[#This Row],[W/S '[lb/ft^2']]]^-0.5</f>
        <v>11.526527515183437</v>
      </c>
      <c r="F80" s="15">
        <f>0.5*(18.97*$B$21*$B$19/$E$36)*Tabella1[[#This Row],[W/S '[lb/ft^2']]]^-0.5</f>
        <v>13.016417647780308</v>
      </c>
      <c r="G80" s="15">
        <f>0.5*(18.97*$B$21*$B$19/$E$37)*Tabella1[[#This Row],[W/S '[lb/ft^2']]]^-0.5</f>
        <v>11.796580448080492</v>
      </c>
      <c r="H80" s="15">
        <f>0.5*(18.97*$B$21*$B$19/$E$38)*Tabella1[[#This Row],[W/S '[lb/ft^2']]]^-0.5</f>
        <v>15.179688263457111</v>
      </c>
      <c r="I80" s="15">
        <f>1.18*(18.97*$B$21*$B$19/$E$39)*Tabella1[[#This Row],[W/S '[lb/ft^2']]]^-0.5</f>
        <v>15.037879299350836</v>
      </c>
      <c r="J80" s="15">
        <f>1.18*0.5*(18.97*$B$21*$B$19/$E$40)*(Tabella1[[#This Row],[W/S '[lb/ft^2']]]^-0.5)</f>
        <v>6.9835977030258265</v>
      </c>
      <c r="K80" s="19">
        <f>($B$27*$B$28*$B$29*Tabella1[[#This Row],[W/S '[lb/ft^2']]])/($B$30^3*$B$26)</f>
        <v>12.189652095483174</v>
      </c>
    </row>
    <row r="81" spans="1:11" x14ac:dyDescent="0.3">
      <c r="A81" s="15">
        <v>57</v>
      </c>
      <c r="B81" s="15">
        <f t="shared" si="5"/>
        <v>9.9555555555555539</v>
      </c>
      <c r="C81" s="15">
        <f t="shared" si="6"/>
        <v>10.479532163742689</v>
      </c>
      <c r="D81" s="15">
        <f t="shared" si="7"/>
        <v>11.003508771929825</v>
      </c>
      <c r="E81" s="15">
        <f>0.5*(18.97*$B$21*$B$19/$E$35)*Tabella1[[#This Row],[W/S '[lb/ft^2']]]^-0.5</f>
        <v>11.424970227043804</v>
      </c>
      <c r="F81" s="15">
        <f>0.5*(18.97*$B$21*$B$19/$E$36)*Tabella1[[#This Row],[W/S '[lb/ft^2']]]^-0.5</f>
        <v>12.901733318448674</v>
      </c>
      <c r="G81" s="15">
        <f>0.5*(18.97*$B$21*$B$19/$E$37)*Tabella1[[#This Row],[W/S '[lb/ft^2']]]^-0.5</f>
        <v>11.69264379256564</v>
      </c>
      <c r="H81" s="15">
        <f>0.5*(18.97*$B$21*$B$19/$E$38)*Tabella1[[#This Row],[W/S '[lb/ft^2']]]^-0.5</f>
        <v>15.04594390959069</v>
      </c>
      <c r="I81" s="15">
        <f>1.18*(18.97*$B$21*$B$19/$E$39)*Tabella1[[#This Row],[W/S '[lb/ft^2']]]^-0.5</f>
        <v>14.905384388025505</v>
      </c>
      <c r="J81" s="15">
        <f>1.18*0.5*(18.97*$B$21*$B$19/$E$40)*(Tabella1[[#This Row],[W/S '[lb/ft^2']]]^-0.5)</f>
        <v>6.9220670084395142</v>
      </c>
      <c r="K81" s="19">
        <f>($B$27*$B$28*$B$29*Tabella1[[#This Row],[W/S '[lb/ft^2']]])/($B$30^3*$B$26)</f>
        <v>12.407324454331089</v>
      </c>
    </row>
    <row r="82" spans="1:11" x14ac:dyDescent="0.3">
      <c r="A82" s="15">
        <v>58</v>
      </c>
      <c r="B82" s="15">
        <f t="shared" si="5"/>
        <v>9.7839080459770091</v>
      </c>
      <c r="C82" s="15">
        <f t="shared" si="6"/>
        <v>10.298850574712644</v>
      </c>
      <c r="D82" s="15">
        <f t="shared" si="7"/>
        <v>10.813793103448276</v>
      </c>
      <c r="E82" s="15">
        <f>0.5*(18.97*$B$21*$B$19/$E$35)*Tabella1[[#This Row],[W/S '[lb/ft^2']]]^-0.5</f>
        <v>11.326050874029249</v>
      </c>
      <c r="F82" s="15">
        <f>0.5*(18.97*$B$21*$B$19/$E$36)*Tabella1[[#This Row],[W/S '[lb/ft^2']]]^-0.5</f>
        <v>12.790027897142076</v>
      </c>
      <c r="G82" s="15">
        <f>0.5*(18.97*$B$21*$B$19/$E$37)*Tabella1[[#This Row],[W/S '[lb/ft^2']]]^-0.5</f>
        <v>11.591406875881832</v>
      </c>
      <c r="H82" s="15">
        <f>0.5*(18.97*$B$21*$B$19/$E$38)*Tabella1[[#This Row],[W/S '[lb/ft^2']]]^-0.5</f>
        <v>14.915673544989916</v>
      </c>
      <c r="I82" s="15">
        <f>1.18*(18.97*$B$21*$B$19/$E$39)*Tabella1[[#This Row],[W/S '[lb/ft^2']]]^-0.5</f>
        <v>14.776331011885704</v>
      </c>
      <c r="J82" s="15">
        <f>1.18*0.5*(18.97*$B$21*$B$19/$E$40)*(Tabella1[[#This Row],[W/S '[lb/ft^2']]]^-0.5)</f>
        <v>6.8621345642938456</v>
      </c>
      <c r="K82" s="19">
        <f>($B$27*$B$28*$B$29*Tabella1[[#This Row],[W/S '[lb/ft^2']]])/($B$30^3*$B$26)</f>
        <v>12.624996813179001</v>
      </c>
    </row>
    <row r="83" spans="1:11" x14ac:dyDescent="0.3">
      <c r="A83" s="15">
        <v>59</v>
      </c>
      <c r="B83" s="15">
        <f t="shared" si="5"/>
        <v>9.6180790960451965</v>
      </c>
      <c r="C83" s="15">
        <f t="shared" si="6"/>
        <v>10.124293785310735</v>
      </c>
      <c r="D83" s="15">
        <f t="shared" si="7"/>
        <v>10.630508474576271</v>
      </c>
      <c r="E83" s="15">
        <f>0.5*(18.97*$B$21*$B$19/$E$35)*Tabella1[[#This Row],[W/S '[lb/ft^2']]]^-0.5</f>
        <v>11.229657198734081</v>
      </c>
      <c r="F83" s="15">
        <f>0.5*(18.97*$B$21*$B$19/$E$36)*Tabella1[[#This Row],[W/S '[lb/ft^2']]]^-0.5</f>
        <v>12.681174616343183</v>
      </c>
      <c r="G83" s="15">
        <f>0.5*(18.97*$B$21*$B$19/$E$37)*Tabella1[[#This Row],[W/S '[lb/ft^2']]]^-0.5</f>
        <v>11.492754810564872</v>
      </c>
      <c r="H83" s="15">
        <f>0.5*(18.97*$B$21*$B$19/$E$38)*Tabella1[[#This Row],[W/S '[lb/ft^2']]]^-0.5</f>
        <v>14.788729333940916</v>
      </c>
      <c r="I83" s="15">
        <f>1.18*(18.97*$B$21*$B$19/$E$39)*Tabella1[[#This Row],[W/S '[lb/ft^2']]]^-0.5</f>
        <v>14.650572716301877</v>
      </c>
      <c r="J83" s="15">
        <f>1.18*0.5*(18.97*$B$21*$B$19/$E$40)*(Tabella1[[#This Row],[W/S '[lb/ft^2']]]^-0.5)</f>
        <v>6.8037323569950026</v>
      </c>
      <c r="K83" s="19">
        <f>($B$27*$B$28*$B$29*Tabella1[[#This Row],[W/S '[lb/ft^2']]])/($B$30^3*$B$26)</f>
        <v>12.842669172026916</v>
      </c>
    </row>
    <row r="84" spans="1:11" x14ac:dyDescent="0.3">
      <c r="A84" s="15">
        <v>60</v>
      </c>
      <c r="B84" s="15">
        <f t="shared" si="5"/>
        <v>9.4577777777777765</v>
      </c>
      <c r="C84" s="15">
        <f t="shared" si="6"/>
        <v>9.9555555555555557</v>
      </c>
      <c r="D84" s="15">
        <f t="shared" si="7"/>
        <v>10.453333333333333</v>
      </c>
      <c r="E84" s="15">
        <f>0.5*(18.97*$B$21*$B$19/$E$35)*Tabella1[[#This Row],[W/S '[lb/ft^2']]]^-0.5</f>
        <v>11.135683519856132</v>
      </c>
      <c r="F84" s="15">
        <f>0.5*(18.97*$B$21*$B$19/$E$36)*Tabella1[[#This Row],[W/S '[lb/ft^2']]]^-0.5</f>
        <v>12.575054134648889</v>
      </c>
      <c r="G84" s="15">
        <f>0.5*(18.97*$B$21*$B$19/$E$37)*Tabella1[[#This Row],[W/S '[lb/ft^2']]]^-0.5</f>
        <v>11.396579439324441</v>
      </c>
      <c r="H84" s="15">
        <f>0.5*(18.97*$B$21*$B$19/$E$38)*Tabella1[[#This Row],[W/S '[lb/ft^2']]]^-0.5</f>
        <v>14.66497210103114</v>
      </c>
      <c r="I84" s="15">
        <f>1.18*(18.97*$B$21*$B$19/$E$39)*Tabella1[[#This Row],[W/S '[lb/ft^2']]]^-0.5</f>
        <v>14.527971626041079</v>
      </c>
      <c r="J84" s="15">
        <f>1.18*0.5*(18.97*$B$21*$B$19/$E$40)*(Tabella1[[#This Row],[W/S '[lb/ft^2']]]^-0.5)</f>
        <v>6.746796357224695</v>
      </c>
      <c r="K84" s="19">
        <f>($B$27*$B$28*$B$29*Tabella1[[#This Row],[W/S '[lb/ft^2']]])/($B$30^3*$B$26)</f>
        <v>13.06034153087483</v>
      </c>
    </row>
    <row r="85" spans="1:11" x14ac:dyDescent="0.3">
      <c r="A85" s="15">
        <v>61</v>
      </c>
      <c r="B85" s="15">
        <f t="shared" si="5"/>
        <v>9.3027322404371571</v>
      </c>
      <c r="C85" s="15">
        <f t="shared" si="6"/>
        <v>9.7923497267759565</v>
      </c>
      <c r="D85" s="15">
        <f t="shared" si="7"/>
        <v>10.281967213114754</v>
      </c>
      <c r="E85" s="15">
        <f>0.5*(18.97*$B$21*$B$19/$E$35)*Tabella1[[#This Row],[W/S '[lb/ft^2']]]^-0.5</f>
        <v>11.044030245046585</v>
      </c>
      <c r="F85" s="15">
        <f>0.5*(18.97*$B$21*$B$19/$E$36)*Tabella1[[#This Row],[W/S '[lb/ft^2']]]^-0.5</f>
        <v>12.471553986652337</v>
      </c>
      <c r="G85" s="15">
        <f>0.5*(18.97*$B$21*$B$19/$E$37)*Tabella1[[#This Row],[W/S '[lb/ft^2']]]^-0.5</f>
        <v>11.302778836480554</v>
      </c>
      <c r="H85" s="15">
        <f>0.5*(18.97*$B$21*$B$19/$E$38)*Tabella1[[#This Row],[W/S '[lb/ft^2']]]^-0.5</f>
        <v>14.544270689604218</v>
      </c>
      <c r="I85" s="15">
        <f>1.18*(18.97*$B$21*$B$19/$E$39)*Tabella1[[#This Row],[W/S '[lb/ft^2']]]^-0.5</f>
        <v>14.408397809715161</v>
      </c>
      <c r="J85" s="15">
        <f>1.18*0.5*(18.97*$B$21*$B$19/$E$40)*(Tabella1[[#This Row],[W/S '[lb/ft^2']]]^-0.5)</f>
        <v>6.6912662247896133</v>
      </c>
      <c r="K85" s="19">
        <f>($B$27*$B$28*$B$29*Tabella1[[#This Row],[W/S '[lb/ft^2']]])/($B$30^3*$B$26)</f>
        <v>13.278013889722743</v>
      </c>
    </row>
    <row r="86" spans="1:11" x14ac:dyDescent="0.3">
      <c r="A86" s="15">
        <v>62</v>
      </c>
      <c r="B86" s="15">
        <f t="shared" si="5"/>
        <v>9.1526881720430087</v>
      </c>
      <c r="C86" s="15">
        <f t="shared" si="6"/>
        <v>9.634408602150538</v>
      </c>
      <c r="D86" s="15">
        <f t="shared" si="7"/>
        <v>10.116129032258064</v>
      </c>
      <c r="E86" s="15">
        <f>0.5*(18.97*$B$21*$B$19/$E$35)*Tabella1[[#This Row],[W/S '[lb/ft^2']]]^-0.5</f>
        <v>10.954603427152859</v>
      </c>
      <c r="F86" s="15">
        <f>0.5*(18.97*$B$21*$B$19/$E$36)*Tabella1[[#This Row],[W/S '[lb/ft^2']]]^-0.5</f>
        <v>12.370568081826844</v>
      </c>
      <c r="G86" s="15">
        <f>0.5*(18.97*$B$21*$B$19/$E$37)*Tabella1[[#This Row],[W/S '[lb/ft^2']]]^-0.5</f>
        <v>11.211256853809749</v>
      </c>
      <c r="H86" s="15">
        <f>0.5*(18.97*$B$21*$B$19/$E$38)*Tabella1[[#This Row],[W/S '[lb/ft^2']]]^-0.5</f>
        <v>14.426501377360651</v>
      </c>
      <c r="I86" s="15">
        <f>1.18*(18.97*$B$21*$B$19/$E$39)*Tabella1[[#This Row],[W/S '[lb/ft^2']]]^-0.5</f>
        <v>14.291728700840919</v>
      </c>
      <c r="J86" s="15">
        <f>1.18*0.5*(18.97*$B$21*$B$19/$E$40)*(Tabella1[[#This Row],[W/S '[lb/ft^2']]]^-0.5)</f>
        <v>6.6370850397615229</v>
      </c>
      <c r="K86" s="19">
        <f>($B$27*$B$28*$B$29*Tabella1[[#This Row],[W/S '[lb/ft^2']]])/($B$30^3*$B$26)</f>
        <v>13.495686248570658</v>
      </c>
    </row>
    <row r="87" spans="1:11" x14ac:dyDescent="0.3">
      <c r="A87" s="15">
        <v>63</v>
      </c>
      <c r="B87" s="15">
        <f t="shared" si="5"/>
        <v>9.0074074074074062</v>
      </c>
      <c r="C87" s="15">
        <f t="shared" si="6"/>
        <v>9.481481481481481</v>
      </c>
      <c r="D87" s="15">
        <f t="shared" si="7"/>
        <v>9.9555555555555557</v>
      </c>
      <c r="E87" s="15">
        <f>0.5*(18.97*$B$21*$B$19/$E$35)*Tabella1[[#This Row],[W/S '[lb/ft^2']]]^-0.5</f>
        <v>10.867314359359376</v>
      </c>
      <c r="F87" s="15">
        <f>0.5*(18.97*$B$21*$B$19/$E$36)*Tabella1[[#This Row],[W/S '[lb/ft^2']]]^-0.5</f>
        <v>12.271996247335604</v>
      </c>
      <c r="G87" s="15">
        <f>0.5*(18.97*$B$21*$B$19/$E$37)*Tabella1[[#This Row],[W/S '[lb/ft^2']]]^-0.5</f>
        <v>11.121922706200474</v>
      </c>
      <c r="H87" s="15">
        <f>0.5*(18.97*$B$21*$B$19/$E$38)*Tabella1[[#This Row],[W/S '[lb/ft^2']]]^-0.5</f>
        <v>14.311547343184492</v>
      </c>
      <c r="I87" s="15">
        <f>1.18*(18.97*$B$21*$B$19/$E$39)*Tabella1[[#This Row],[W/S '[lb/ft^2']]]^-0.5</f>
        <v>14.177848569647709</v>
      </c>
      <c r="J87" s="15">
        <f>1.18*0.5*(18.97*$B$21*$B$19/$E$40)*(Tabella1[[#This Row],[W/S '[lb/ft^2']]]^-0.5)</f>
        <v>6.5841990571844766</v>
      </c>
      <c r="K87" s="19">
        <f>($B$27*$B$28*$B$29*Tabella1[[#This Row],[W/S '[lb/ft^2']]])/($B$30^3*$B$26)</f>
        <v>13.71335860741857</v>
      </c>
    </row>
    <row r="88" spans="1:11" x14ac:dyDescent="0.3">
      <c r="A88" s="15">
        <v>64</v>
      </c>
      <c r="B88" s="15">
        <f t="shared" si="5"/>
        <v>8.8666666666666654</v>
      </c>
      <c r="C88" s="15">
        <f t="shared" si="6"/>
        <v>9.3333333333333339</v>
      </c>
      <c r="D88" s="15">
        <f t="shared" si="7"/>
        <v>9.8000000000000007</v>
      </c>
      <c r="E88" s="15">
        <f>0.5*(18.97*$B$21*$B$19/$E$35)*Tabella1[[#This Row],[W/S '[lb/ft^2']]]^-0.5</f>
        <v>10.782079205259798</v>
      </c>
      <c r="F88" s="15">
        <f>0.5*(18.97*$B$21*$B$19/$E$36)*Tabella1[[#This Row],[W/S '[lb/ft^2']]]^-0.5</f>
        <v>12.175743810287969</v>
      </c>
      <c r="G88" s="15">
        <f>0.5*(18.97*$B$21*$B$19/$E$37)*Tabella1[[#This Row],[W/S '[lb/ft^2']]]^-0.5</f>
        <v>11.034690593058356</v>
      </c>
      <c r="H88" s="15">
        <f>0.5*(18.97*$B$21*$B$19/$E$38)*Tabella1[[#This Row],[W/S '[lb/ft^2']]]^-0.5</f>
        <v>14.1992981799725</v>
      </c>
      <c r="I88" s="15">
        <f>1.18*(18.97*$B$21*$B$19/$E$39)*Tabella1[[#This Row],[W/S '[lb/ft^2']]]^-0.5</f>
        <v>14.066648040457748</v>
      </c>
      <c r="J88" s="15">
        <f>1.18*0.5*(18.97*$B$21*$B$19/$E$40)*(Tabella1[[#This Row],[W/S '[lb/ft^2']]]^-0.5)</f>
        <v>6.5325574829460278</v>
      </c>
      <c r="K88" s="19">
        <f>($B$27*$B$28*$B$29*Tabella1[[#This Row],[W/S '[lb/ft^2']]])/($B$30^3*$B$26)</f>
        <v>13.931030966266485</v>
      </c>
    </row>
    <row r="89" spans="1:11" x14ac:dyDescent="0.3">
      <c r="A89" s="15">
        <v>65</v>
      </c>
      <c r="B89" s="15">
        <f t="shared" si="5"/>
        <v>8.7302564102564091</v>
      </c>
      <c r="C89" s="15">
        <f t="shared" si="6"/>
        <v>9.1897435897435891</v>
      </c>
      <c r="D89" s="15">
        <f t="shared" si="7"/>
        <v>9.6492307692307691</v>
      </c>
      <c r="E89" s="15">
        <f>0.5*(18.97*$B$21*$B$19/$E$35)*Tabella1[[#This Row],[W/S '[lb/ft^2']]]^-0.5</f>
        <v>10.698818660353783</v>
      </c>
      <c r="F89" s="15">
        <f>0.5*(18.97*$B$21*$B$19/$E$36)*Tabella1[[#This Row],[W/S '[lb/ft^2']]]^-0.5</f>
        <v>12.081721215482128</v>
      </c>
      <c r="G89" s="15">
        <f>0.5*(18.97*$B$21*$B$19/$E$37)*Tabella1[[#This Row],[W/S '[lb/ft^2']]]^-0.5</f>
        <v>10.949479351872228</v>
      </c>
      <c r="H89" s="15">
        <f>0.5*(18.97*$B$21*$B$19/$E$38)*Tabella1[[#This Row],[W/S '[lb/ft^2']]]^-0.5</f>
        <v>14.089649448847359</v>
      </c>
      <c r="I89" s="15">
        <f>1.18*(18.97*$B$21*$B$19/$E$39)*Tabella1[[#This Row],[W/S '[lb/ft^2']]]^-0.5</f>
        <v>13.95802365006389</v>
      </c>
      <c r="J89" s="15">
        <f>1.18*0.5*(18.97*$B$21*$B$19/$E$40)*(Tabella1[[#This Row],[W/S '[lb/ft^2']]]^-0.5)</f>
        <v>6.4821122686876658</v>
      </c>
      <c r="K89" s="19">
        <f>($B$27*$B$28*$B$29*Tabella1[[#This Row],[W/S '[lb/ft^2']]])/($B$30^3*$B$26)</f>
        <v>14.148703325114399</v>
      </c>
    </row>
    <row r="90" spans="1:11" x14ac:dyDescent="0.3">
      <c r="A90" s="15">
        <v>66</v>
      </c>
      <c r="B90" s="15">
        <f t="shared" si="5"/>
        <v>8.5979797979797965</v>
      </c>
      <c r="C90" s="15">
        <f t="shared" si="6"/>
        <v>9.0505050505050502</v>
      </c>
      <c r="D90" s="15">
        <f t="shared" si="7"/>
        <v>9.5030303030303038</v>
      </c>
      <c r="E90" s="15">
        <f>0.5*(18.97*$B$21*$B$19/$E$35)*Tabella1[[#This Row],[W/S '[lb/ft^2']]]^-0.5</f>
        <v>10.617457641861499</v>
      </c>
      <c r="F90" s="15">
        <f>0.5*(18.97*$B$21*$B$19/$E$36)*Tabella1[[#This Row],[W/S '[lb/ft^2']]]^-0.5</f>
        <v>11.989843675125822</v>
      </c>
      <c r="G90" s="15">
        <f>0.5*(18.97*$B$21*$B$19/$E$37)*Tabella1[[#This Row],[W/S '[lb/ft^2']]]^-0.5</f>
        <v>10.866212140761363</v>
      </c>
      <c r="H90" s="15">
        <f>0.5*(18.97*$B$21*$B$19/$E$38)*Tabella1[[#This Row],[W/S '[lb/ft^2']]]^-0.5</f>
        <v>13.982502270663524</v>
      </c>
      <c r="I90" s="15">
        <f>1.18*(18.97*$B$21*$B$19/$E$39)*Tabella1[[#This Row],[W/S '[lb/ft^2']]]^-0.5</f>
        <v>13.851877443051626</v>
      </c>
      <c r="J90" s="15">
        <f>1.18*0.5*(18.97*$B$21*$B$19/$E$40)*(Tabella1[[#This Row],[W/S '[lb/ft^2']]]^-0.5)</f>
        <v>6.4328179238721876</v>
      </c>
      <c r="K90" s="19">
        <f>($B$27*$B$28*$B$29*Tabella1[[#This Row],[W/S '[lb/ft^2']]])/($B$30^3*$B$26)</f>
        <v>14.366375683962312</v>
      </c>
    </row>
    <row r="91" spans="1:11" x14ac:dyDescent="0.3">
      <c r="A91" s="15">
        <v>67</v>
      </c>
      <c r="B91" s="15">
        <f t="shared" si="5"/>
        <v>8.4696517412935304</v>
      </c>
      <c r="C91" s="15">
        <f t="shared" si="6"/>
        <v>8.9154228855721396</v>
      </c>
      <c r="D91" s="15">
        <f t="shared" si="7"/>
        <v>9.361194029850747</v>
      </c>
      <c r="E91" s="15">
        <f>0.5*(18.97*$B$21*$B$19/$E$35)*Tabella1[[#This Row],[W/S '[lb/ft^2']]]^-0.5</f>
        <v>10.537925004098101</v>
      </c>
      <c r="F91" s="15">
        <f>0.5*(18.97*$B$21*$B$19/$E$36)*Tabella1[[#This Row],[W/S '[lb/ft^2']]]^-0.5</f>
        <v>11.90003084742083</v>
      </c>
      <c r="G91" s="15">
        <f>0.5*(18.97*$B$21*$B$19/$E$37)*Tabella1[[#This Row],[W/S '[lb/ft^2']]]^-0.5</f>
        <v>10.7848161471815</v>
      </c>
      <c r="H91" s="15">
        <f>0.5*(18.97*$B$21*$B$19/$E$38)*Tabella1[[#This Row],[W/S '[lb/ft^2']]]^-0.5</f>
        <v>13.87776295117389</v>
      </c>
      <c r="I91" s="15">
        <f>1.18*(18.97*$B$21*$B$19/$E$39)*Tabella1[[#This Row],[W/S '[lb/ft^2']]]^-0.5</f>
        <v>13.748116600467462</v>
      </c>
      <c r="J91" s="15">
        <f>1.18*0.5*(18.97*$B$21*$B$19/$E$40)*(Tabella1[[#This Row],[W/S '[lb/ft^2']]]^-0.5)</f>
        <v>6.3846313433371202</v>
      </c>
      <c r="K91" s="19">
        <f>($B$27*$B$28*$B$29*Tabella1[[#This Row],[W/S '[lb/ft^2']]])/($B$30^3*$B$26)</f>
        <v>14.584048042810226</v>
      </c>
    </row>
    <row r="92" spans="1:11" x14ac:dyDescent="0.3">
      <c r="A92" s="15">
        <v>68</v>
      </c>
      <c r="B92" s="15">
        <f t="shared" si="5"/>
        <v>8.345098039215685</v>
      </c>
      <c r="C92" s="15">
        <f t="shared" si="6"/>
        <v>8.7843137254901968</v>
      </c>
      <c r="D92" s="15">
        <f t="shared" si="7"/>
        <v>9.2235294117647051</v>
      </c>
      <c r="E92" s="15">
        <f>0.5*(18.97*$B$21*$B$19/$E$35)*Tabella1[[#This Row],[W/S '[lb/ft^2']]]^-0.5</f>
        <v>10.460153276955733</v>
      </c>
      <c r="F92" s="15">
        <f>0.5*(18.97*$B$21*$B$19/$E$36)*Tabella1[[#This Row],[W/S '[lb/ft^2']]]^-0.5</f>
        <v>11.812206541241819</v>
      </c>
      <c r="G92" s="15">
        <f>0.5*(18.97*$B$21*$B$19/$E$37)*Tabella1[[#This Row],[W/S '[lb/ft^2']]]^-0.5</f>
        <v>10.705222320279809</v>
      </c>
      <c r="H92" s="15">
        <f>0.5*(18.97*$B$21*$B$19/$E$38)*Tabella1[[#This Row],[W/S '[lb/ft^2']]]^-0.5</f>
        <v>13.775342636627581</v>
      </c>
      <c r="I92" s="15">
        <f>1.18*(18.97*$B$21*$B$19/$E$39)*Tabella1[[#This Row],[W/S '[lb/ft^2']]]^-0.5</f>
        <v>13.646653098634113</v>
      </c>
      <c r="J92" s="15">
        <f>1.18*0.5*(18.97*$B$21*$B$19/$E$40)*(Tabella1[[#This Row],[W/S '[lb/ft^2']]]^-0.5)</f>
        <v>6.3375116488483556</v>
      </c>
      <c r="K92" s="19">
        <f>($B$27*$B$28*$B$29*Tabella1[[#This Row],[W/S '[lb/ft^2']]])/($B$30^3*$B$26)</f>
        <v>14.801720401658139</v>
      </c>
    </row>
    <row r="93" spans="1:11" x14ac:dyDescent="0.3">
      <c r="A93" s="15">
        <v>69</v>
      </c>
      <c r="B93" s="15">
        <f t="shared" si="5"/>
        <v>8.2241545893719792</v>
      </c>
      <c r="C93" s="15">
        <f t="shared" si="6"/>
        <v>8.6570048309178738</v>
      </c>
      <c r="D93" s="15">
        <f t="shared" si="7"/>
        <v>9.0898550724637683</v>
      </c>
      <c r="E93" s="15">
        <f>0.5*(18.97*$B$21*$B$19/$E$35)*Tabella1[[#This Row],[W/S '[lb/ft^2']]]^-0.5</f>
        <v>10.384078425308266</v>
      </c>
      <c r="F93" s="15">
        <f>0.5*(18.97*$B$21*$B$19/$E$36)*Tabella1[[#This Row],[W/S '[lb/ft^2']]]^-0.5</f>
        <v>11.726298444442328</v>
      </c>
      <c r="G93" s="15">
        <f>0.5*(18.97*$B$21*$B$19/$E$37)*Tabella1[[#This Row],[W/S '[lb/ft^2']]]^-0.5</f>
        <v>10.62736512466274</v>
      </c>
      <c r="H93" s="15">
        <f>0.5*(18.97*$B$21*$B$19/$E$38)*Tabella1[[#This Row],[W/S '[lb/ft^2']]]^-0.5</f>
        <v>13.675156996921595</v>
      </c>
      <c r="I93" s="15">
        <f>1.18*(18.97*$B$21*$B$19/$E$39)*Tabella1[[#This Row],[W/S '[lb/ft^2']]]^-0.5</f>
        <v>13.547403395262156</v>
      </c>
      <c r="J93" s="15">
        <f>1.18*0.5*(18.97*$B$21*$B$19/$E$40)*(Tabella1[[#This Row],[W/S '[lb/ft^2']]]^-0.5)</f>
        <v>6.2914200433302616</v>
      </c>
      <c r="K93" s="19">
        <f>($B$27*$B$28*$B$29*Tabella1[[#This Row],[W/S '[lb/ft^2']]])/($B$30^3*$B$26)</f>
        <v>15.019392760506054</v>
      </c>
    </row>
    <row r="94" spans="1:11" x14ac:dyDescent="0.3">
      <c r="A94" s="15">
        <v>70</v>
      </c>
      <c r="B94" s="15">
        <f t="shared" si="5"/>
        <v>8.1066666666666656</v>
      </c>
      <c r="C94" s="15">
        <f t="shared" si="6"/>
        <v>8.5333333333333332</v>
      </c>
      <c r="D94" s="15">
        <f t="shared" si="7"/>
        <v>8.9600000000000009</v>
      </c>
      <c r="E94" s="15">
        <f>0.5*(18.97*$B$21*$B$19/$E$35)*Tabella1[[#This Row],[W/S '[lb/ft^2']]]^-0.5</f>
        <v>10.309639627388762</v>
      </c>
      <c r="F94" s="15">
        <f>0.5*(18.97*$B$21*$B$19/$E$36)*Tabella1[[#This Row],[W/S '[lb/ft^2']]]^-0.5</f>
        <v>11.642237873585872</v>
      </c>
      <c r="G94" s="15">
        <f>0.5*(18.97*$B$21*$B$19/$E$37)*Tabella1[[#This Row],[W/S '[lb/ft^2']]]^-0.5</f>
        <v>10.551182313581164</v>
      </c>
      <c r="H94" s="15">
        <f>0.5*(18.97*$B$21*$B$19/$E$38)*Tabella1[[#This Row],[W/S '[lb/ft^2']]]^-0.5</f>
        <v>13.577125933738333</v>
      </c>
      <c r="I94" s="15">
        <f>1.18*(18.97*$B$21*$B$19/$E$39)*Tabella1[[#This Row],[W/S '[lb/ft^2']]]^-0.5</f>
        <v>13.45028814031415</v>
      </c>
      <c r="J94" s="15">
        <f>1.18*0.5*(18.97*$B$21*$B$19/$E$40)*(Tabella1[[#This Row],[W/S '[lb/ft^2']]]^-0.5)</f>
        <v>6.2463196765908542</v>
      </c>
      <c r="K94" s="19">
        <f>($B$27*$B$28*$B$29*Tabella1[[#This Row],[W/S '[lb/ft^2']]])/($B$30^3*$B$26)</f>
        <v>15.237065119353968</v>
      </c>
    </row>
    <row r="95" spans="1:11" x14ac:dyDescent="0.3">
      <c r="A95" s="15">
        <v>71</v>
      </c>
      <c r="B95" s="15">
        <f t="shared" si="5"/>
        <v>7.9924882629107969</v>
      </c>
      <c r="C95" s="15">
        <f t="shared" si="6"/>
        <v>8.4131455399061039</v>
      </c>
      <c r="D95" s="15">
        <f t="shared" si="7"/>
        <v>8.8338028169014091</v>
      </c>
      <c r="E95" s="15">
        <f>0.5*(18.97*$B$21*$B$19/$E$35)*Tabella1[[#This Row],[W/S '[lb/ft^2']]]^-0.5</f>
        <v>10.236779070396549</v>
      </c>
      <c r="F95" s="15">
        <f>0.5*(18.97*$B$21*$B$19/$E$36)*Tabella1[[#This Row],[W/S '[lb/ft^2']]]^-0.5</f>
        <v>11.559959543133681</v>
      </c>
      <c r="G95" s="15">
        <f>0.5*(18.97*$B$21*$B$19/$E$37)*Tabella1[[#This Row],[W/S '[lb/ft^2']]]^-0.5</f>
        <v>10.476614719748728</v>
      </c>
      <c r="H95" s="15">
        <f>0.5*(18.97*$B$21*$B$19/$E$38)*Tabella1[[#This Row],[W/S '[lb/ft^2']]]^-0.5</f>
        <v>13.48117331137338</v>
      </c>
      <c r="I95" s="15">
        <f>1.18*(18.97*$B$21*$B$19/$E$39)*Tabella1[[#This Row],[W/S '[lb/ft^2']]]^-0.5</f>
        <v>13.35523190934701</v>
      </c>
      <c r="J95" s="15">
        <f>1.18*0.5*(18.97*$B$21*$B$19/$E$40)*(Tabella1[[#This Row],[W/S '[lb/ft^2']]]^-0.5)</f>
        <v>6.2021755214858807</v>
      </c>
      <c r="K95" s="19">
        <f>($B$27*$B$28*$B$29*Tabella1[[#This Row],[W/S '[lb/ft^2']]])/($B$30^3*$B$26)</f>
        <v>15.454737478201881</v>
      </c>
    </row>
    <row r="96" spans="1:11" x14ac:dyDescent="0.3">
      <c r="A96" s="15">
        <v>72</v>
      </c>
      <c r="B96" s="15">
        <f t="shared" si="5"/>
        <v>7.8814814814814804</v>
      </c>
      <c r="C96" s="15">
        <f t="shared" si="6"/>
        <v>8.2962962962962958</v>
      </c>
      <c r="D96" s="15">
        <f t="shared" si="7"/>
        <v>8.7111111111111104</v>
      </c>
      <c r="E96" s="15">
        <f>0.5*(18.97*$B$21*$B$19/$E$35)*Tabella1[[#This Row],[W/S '[lb/ft^2']]]^-0.5</f>
        <v>10.165441761772886</v>
      </c>
      <c r="F96" s="15">
        <f>0.5*(18.97*$B$21*$B$19/$E$36)*Tabella1[[#This Row],[W/S '[lb/ft^2']]]^-0.5</f>
        <v>11.479401352326342</v>
      </c>
      <c r="G96" s="15">
        <f>0.5*(18.97*$B$21*$B$19/$E$37)*Tabella1[[#This Row],[W/S '[lb/ft^2']]]^-0.5</f>
        <v>10.40360606219596</v>
      </c>
      <c r="H96" s="15">
        <f>0.5*(18.97*$B$21*$B$19/$E$38)*Tabella1[[#This Row],[W/S '[lb/ft^2']]]^-0.5</f>
        <v>13.38722670819781</v>
      </c>
      <c r="I96" s="15">
        <f>1.18*(18.97*$B$21*$B$19/$E$39)*Tabella1[[#This Row],[W/S '[lb/ft^2']]]^-0.5</f>
        <v>13.26216295729618</v>
      </c>
      <c r="J96" s="15">
        <f>1.18*0.5*(18.97*$B$21*$B$19/$E$40)*(Tabella1[[#This Row],[W/S '[lb/ft^2']]]^-0.5)</f>
        <v>6.1589542595760811</v>
      </c>
      <c r="K96" s="19">
        <f>($B$27*$B$28*$B$29*Tabella1[[#This Row],[W/S '[lb/ft^2']]])/($B$30^3*$B$26)</f>
        <v>15.672409837049795</v>
      </c>
    </row>
    <row r="97" spans="1:11" x14ac:dyDescent="0.3">
      <c r="A97" s="15">
        <v>73</v>
      </c>
      <c r="B97" s="15">
        <f t="shared" si="5"/>
        <v>7.7735159817351587</v>
      </c>
      <c r="C97" s="15">
        <f t="shared" si="6"/>
        <v>8.1826484018264836</v>
      </c>
      <c r="D97" s="15">
        <f t="shared" si="7"/>
        <v>8.5917808219178085</v>
      </c>
      <c r="E97" s="15">
        <f>0.5*(18.97*$B$21*$B$19/$E$35)*Tabella1[[#This Row],[W/S '[lb/ft^2']]]^-0.5</f>
        <v>10.095575354745204</v>
      </c>
      <c r="F97" s="15">
        <f>0.5*(18.97*$B$21*$B$19/$E$36)*Tabella1[[#This Row],[W/S '[lb/ft^2']]]^-0.5</f>
        <v>11.400504188178319</v>
      </c>
      <c r="G97" s="15">
        <f>0.5*(18.97*$B$21*$B$19/$E$37)*Tabella1[[#This Row],[W/S '[lb/ft^2']]]^-0.5</f>
        <v>10.332102767727202</v>
      </c>
      <c r="H97" s="15">
        <f>0.5*(18.97*$B$21*$B$19/$E$38)*Tabella1[[#This Row],[W/S '[lb/ft^2']]]^-0.5</f>
        <v>13.295217186911282</v>
      </c>
      <c r="I97" s="15">
        <f>1.18*(18.97*$B$21*$B$19/$E$39)*Tabella1[[#This Row],[W/S '[lb/ft^2']]]^-0.5</f>
        <v>13.171012990875015</v>
      </c>
      <c r="J97" s="15">
        <f>1.18*0.5*(18.97*$B$21*$B$19/$E$40)*(Tabella1[[#This Row],[W/S '[lb/ft^2']]]^-0.5)</f>
        <v>6.1166241754293615</v>
      </c>
      <c r="K97" s="19">
        <f>($B$27*$B$28*$B$29*Tabella1[[#This Row],[W/S '[lb/ft^2']]])/($B$30^3*$B$26)</f>
        <v>15.890082195897708</v>
      </c>
    </row>
    <row r="98" spans="1:11" x14ac:dyDescent="0.3">
      <c r="A98" s="15">
        <v>74</v>
      </c>
      <c r="B98" s="15">
        <f t="shared" si="5"/>
        <v>7.6684684684684674</v>
      </c>
      <c r="C98" s="15">
        <f t="shared" si="6"/>
        <v>8.0720720720720713</v>
      </c>
      <c r="D98" s="15">
        <f t="shared" si="7"/>
        <v>8.4756756756756761</v>
      </c>
      <c r="E98" s="15">
        <f>0.5*(18.97*$B$21*$B$19/$E$35)*Tabella1[[#This Row],[W/S '[lb/ft^2']]]^-0.5</f>
        <v>10.027129986882297</v>
      </c>
      <c r="F98" s="15">
        <f>0.5*(18.97*$B$21*$B$19/$E$36)*Tabella1[[#This Row],[W/S '[lb/ft^2']]]^-0.5</f>
        <v>11.323211743165196</v>
      </c>
      <c r="G98" s="15">
        <f>0.5*(18.97*$B$21*$B$19/$E$37)*Tabella1[[#This Row],[W/S '[lb/ft^2']]]^-0.5</f>
        <v>10.26205380569335</v>
      </c>
      <c r="H98" s="15">
        <f>0.5*(18.97*$B$21*$B$19/$E$38)*Tabella1[[#This Row],[W/S '[lb/ft^2']]]^-0.5</f>
        <v>13.205079081929711</v>
      </c>
      <c r="I98" s="15">
        <f>1.18*(18.97*$B$21*$B$19/$E$39)*Tabella1[[#This Row],[W/S '[lb/ft^2']]]^-0.5</f>
        <v>13.081716957948686</v>
      </c>
      <c r="J98" s="15">
        <f>1.18*0.5*(18.97*$B$21*$B$19/$E$40)*(Tabella1[[#This Row],[W/S '[lb/ft^2']]]^-0.5)</f>
        <v>6.0751550588059455</v>
      </c>
      <c r="K98" s="19">
        <f>($B$27*$B$28*$B$29*Tabella1[[#This Row],[W/S '[lb/ft^2']]])/($B$30^3*$B$26)</f>
        <v>16.107754554745622</v>
      </c>
    </row>
    <row r="99" spans="1:11" x14ac:dyDescent="0.3">
      <c r="A99" s="15">
        <v>75</v>
      </c>
      <c r="B99" s="15">
        <f t="shared" si="5"/>
        <v>7.5662222222222209</v>
      </c>
      <c r="C99" s="15">
        <f t="shared" si="6"/>
        <v>7.9644444444444442</v>
      </c>
      <c r="D99" s="15">
        <f t="shared" si="7"/>
        <v>8.3626666666666658</v>
      </c>
      <c r="E99" s="15">
        <f>0.5*(18.97*$B$21*$B$19/$E$35)*Tabella1[[#This Row],[W/S '[lb/ft^2']]]^-0.5</f>
        <v>9.9600581305289762</v>
      </c>
      <c r="F99" s="15">
        <f>0.5*(18.97*$B$21*$B$19/$E$36)*Tabella1[[#This Row],[W/S '[lb/ft^2']]]^-0.5</f>
        <v>11.247470346325883</v>
      </c>
      <c r="G99" s="15">
        <f>0.5*(18.97*$B$21*$B$19/$E$37)*Tabella1[[#This Row],[W/S '[lb/ft^2']]]^-0.5</f>
        <v>10.193410534922355</v>
      </c>
      <c r="H99" s="15">
        <f>0.5*(18.97*$B$21*$B$19/$E$38)*Tabella1[[#This Row],[W/S '[lb/ft^2']]]^-0.5</f>
        <v>13.116749802417415</v>
      </c>
      <c r="I99" s="15">
        <f>1.18*(18.97*$B$21*$B$19/$E$39)*Tabella1[[#This Row],[W/S '[lb/ft^2']]]^-0.5</f>
        <v>12.994212852406402</v>
      </c>
      <c r="J99" s="15">
        <f>1.18*0.5*(18.97*$B$21*$B$19/$E$40)*(Tabella1[[#This Row],[W/S '[lb/ft^2']]]^-0.5)</f>
        <v>6.0345181140409485</v>
      </c>
      <c r="K99" s="19">
        <f>($B$27*$B$28*$B$29*Tabella1[[#This Row],[W/S '[lb/ft^2']]])/($B$30^3*$B$26)</f>
        <v>16.325426913593539</v>
      </c>
    </row>
    <row r="100" spans="1:11" x14ac:dyDescent="0.3">
      <c r="A100" s="15">
        <v>76</v>
      </c>
      <c r="B100" s="15">
        <f t="shared" si="5"/>
        <v>7.466666666666665</v>
      </c>
      <c r="C100" s="15">
        <f t="shared" si="6"/>
        <v>7.8596491228070171</v>
      </c>
      <c r="D100" s="15">
        <f t="shared" si="7"/>
        <v>8.2526315789473692</v>
      </c>
      <c r="E100" s="15">
        <f>0.5*(18.97*$B$21*$B$19/$E$35)*Tabella1[[#This Row],[W/S '[lb/ft^2']]]^-0.5</f>
        <v>9.8943144541007992</v>
      </c>
      <c r="F100" s="15">
        <f>0.5*(18.97*$B$21*$B$19/$E$36)*Tabella1[[#This Row],[W/S '[lb/ft^2']]]^-0.5</f>
        <v>11.173228806628657</v>
      </c>
      <c r="G100" s="15">
        <f>0.5*(18.97*$B$21*$B$19/$E$37)*Tabella1[[#This Row],[W/S '[lb/ft^2']]]^-0.5</f>
        <v>10.126126561764268</v>
      </c>
      <c r="H100" s="15">
        <f>0.5*(18.97*$B$21*$B$19/$E$38)*Tabella1[[#This Row],[W/S '[lb/ft^2']]]^-0.5</f>
        <v>13.030169649621291</v>
      </c>
      <c r="I100" s="15">
        <f>1.18*(18.97*$B$21*$B$19/$E$39)*Tabella1[[#This Row],[W/S '[lb/ft^2']]]^-0.5</f>
        <v>12.908441533202055</v>
      </c>
      <c r="J100" s="15">
        <f>1.18*0.5*(18.97*$B$21*$B$19/$E$40)*(Tabella1[[#This Row],[W/S '[lb/ft^2']]]^-0.5)</f>
        <v>5.9946858760067707</v>
      </c>
      <c r="K100" s="19">
        <f>($B$27*$B$28*$B$29*Tabella1[[#This Row],[W/S '[lb/ft^2']]])/($B$30^3*$B$26)</f>
        <v>16.543099272441449</v>
      </c>
    </row>
    <row r="101" spans="1:11" x14ac:dyDescent="0.3">
      <c r="A101" s="15">
        <v>77</v>
      </c>
      <c r="B101" s="15">
        <f t="shared" si="5"/>
        <v>7.3696969696969683</v>
      </c>
      <c r="C101" s="15">
        <f t="shared" si="6"/>
        <v>7.7575757575757578</v>
      </c>
      <c r="D101" s="15">
        <f t="shared" si="7"/>
        <v>8.1454545454545446</v>
      </c>
      <c r="E101" s="15">
        <f>0.5*(18.97*$B$21*$B$19/$E$35)*Tabella1[[#This Row],[W/S '[lb/ft^2']]]^-0.5</f>
        <v>9.8298556933190522</v>
      </c>
      <c r="F101" s="15">
        <f>0.5*(18.97*$B$21*$B$19/$E$36)*Tabella1[[#This Row],[W/S '[lb/ft^2']]]^-0.5</f>
        <v>11.100438267562284</v>
      </c>
      <c r="G101" s="15">
        <f>0.5*(18.97*$B$21*$B$19/$E$37)*Tabella1[[#This Row],[W/S '[lb/ft^2']]]^-0.5</f>
        <v>10.060157608309394</v>
      </c>
      <c r="H101" s="15">
        <f>0.5*(18.97*$B$21*$B$19/$E$38)*Tabella1[[#This Row],[W/S '[lb/ft^2']]]^-0.5</f>
        <v>12.945281647295632</v>
      </c>
      <c r="I101" s="15">
        <f>1.18*(18.97*$B$21*$B$19/$E$39)*Tabella1[[#This Row],[W/S '[lb/ft^2']]]^-0.5</f>
        <v>12.824346556363212</v>
      </c>
      <c r="J101" s="15">
        <f>1.18*0.5*(18.97*$B$21*$B$19/$E$40)*(Tabella1[[#This Row],[W/S '[lb/ft^2']]]^-0.5)</f>
        <v>5.9556321320980068</v>
      </c>
      <c r="K101" s="19">
        <f>($B$27*$B$28*$B$29*Tabella1[[#This Row],[W/S '[lb/ft^2']]])/($B$30^3*$B$26)</f>
        <v>16.760771631289366</v>
      </c>
    </row>
    <row r="102" spans="1:11" x14ac:dyDescent="0.3">
      <c r="A102" s="15">
        <v>78</v>
      </c>
      <c r="B102" s="15">
        <f t="shared" si="5"/>
        <v>7.2752136752136742</v>
      </c>
      <c r="C102" s="15">
        <f t="shared" si="6"/>
        <v>7.6581196581196584</v>
      </c>
      <c r="D102" s="15">
        <f t="shared" si="7"/>
        <v>8.0410256410256409</v>
      </c>
      <c r="E102" s="15">
        <f>0.5*(18.97*$B$21*$B$19/$E$35)*Tabella1[[#This Row],[W/S '[lb/ft^2']]]^-0.5</f>
        <v>9.7666405315549465</v>
      </c>
      <c r="F102" s="15">
        <f>0.5*(18.97*$B$21*$B$19/$E$36)*Tabella1[[#This Row],[W/S '[lb/ft^2']]]^-0.5</f>
        <v>11.029052072013824</v>
      </c>
      <c r="G102" s="15">
        <f>0.5*(18.97*$B$21*$B$19/$E$37)*Tabella1[[#This Row],[W/S '[lb/ft^2']]]^-0.5</f>
        <v>9.9954613899291065</v>
      </c>
      <c r="H102" s="15">
        <f>0.5*(18.97*$B$21*$B$19/$E$38)*Tabella1[[#This Row],[W/S '[lb/ft^2']]]^-0.5</f>
        <v>12.862031384123213</v>
      </c>
      <c r="I102" s="15">
        <f>1.18*(18.97*$B$21*$B$19/$E$39)*Tabella1[[#This Row],[W/S '[lb/ft^2']]]^-0.5</f>
        <v>12.74187401888431</v>
      </c>
      <c r="J102" s="15">
        <f>1.18*0.5*(18.97*$B$21*$B$19/$E$40)*(Tabella1[[#This Row],[W/S '[lb/ft^2']]]^-0.5)</f>
        <v>5.9173318497353709</v>
      </c>
      <c r="K102" s="19">
        <f>($B$27*$B$28*$B$29*Tabella1[[#This Row],[W/S '[lb/ft^2']]])/($B$30^3*$B$26)</f>
        <v>16.978443990137279</v>
      </c>
    </row>
    <row r="103" spans="1:11" x14ac:dyDescent="0.3">
      <c r="A103" s="15">
        <v>79</v>
      </c>
      <c r="B103" s="15">
        <f t="shared" si="5"/>
        <v>7.1831223628691969</v>
      </c>
      <c r="C103" s="15">
        <f t="shared" si="6"/>
        <v>7.5611814345991561</v>
      </c>
      <c r="D103" s="15">
        <f t="shared" si="7"/>
        <v>7.9392405063291136</v>
      </c>
      <c r="E103" s="15">
        <f>0.5*(18.97*$B$21*$B$19/$E$35)*Tabella1[[#This Row],[W/S '[lb/ft^2']]]^-0.5</f>
        <v>9.7046294885311024</v>
      </c>
      <c r="F103" s="15">
        <f>0.5*(18.97*$B$21*$B$19/$E$36)*Tabella1[[#This Row],[W/S '[lb/ft^2']]]^-0.5</f>
        <v>10.959025636583936</v>
      </c>
      <c r="G103" s="15">
        <f>0.5*(18.97*$B$21*$B$19/$E$37)*Tabella1[[#This Row],[W/S '[lb/ft^2']]]^-0.5</f>
        <v>9.9319975013697341</v>
      </c>
      <c r="H103" s="15">
        <f>0.5*(18.97*$B$21*$B$19/$E$38)*Tabella1[[#This Row],[W/S '[lb/ft^2']]]^-0.5</f>
        <v>12.780366867142378</v>
      </c>
      <c r="I103" s="15">
        <f>1.18*(18.97*$B$21*$B$19/$E$39)*Tabella1[[#This Row],[W/S '[lb/ft^2']]]^-0.5</f>
        <v>12.660972413523021</v>
      </c>
      <c r="J103" s="15">
        <f>1.18*0.5*(18.97*$B$21*$B$19/$E$40)*(Tabella1[[#This Row],[W/S '[lb/ft^2']]]^-0.5)</f>
        <v>5.8797611089330699</v>
      </c>
      <c r="K103" s="19">
        <f>($B$27*$B$28*$B$29*Tabella1[[#This Row],[W/S '[lb/ft^2']]])/($B$30^3*$B$26)</f>
        <v>17.196116348985193</v>
      </c>
    </row>
    <row r="104" spans="1:11" x14ac:dyDescent="0.3">
      <c r="A104" s="15">
        <v>80</v>
      </c>
      <c r="B104" s="15">
        <f t="shared" si="5"/>
        <v>7.0933333333333319</v>
      </c>
      <c r="C104" s="15">
        <f t="shared" si="6"/>
        <v>7.4666666666666668</v>
      </c>
      <c r="D104" s="15">
        <f t="shared" si="7"/>
        <v>7.84</v>
      </c>
      <c r="E104" s="15">
        <f>0.5*(18.97*$B$21*$B$19/$E$35)*Tabella1[[#This Row],[W/S '[lb/ft^2']]]^-0.5</f>
        <v>9.6437848166991262</v>
      </c>
      <c r="F104" s="15">
        <f>0.5*(18.97*$B$21*$B$19/$E$36)*Tabella1[[#This Row],[W/S '[lb/ft^2']]]^-0.5</f>
        <v>10.89031633457048</v>
      </c>
      <c r="G104" s="15">
        <f>0.5*(18.97*$B$21*$B$19/$E$37)*Tabella1[[#This Row],[W/S '[lb/ft^2']]]^-0.5</f>
        <v>9.8697273107023804</v>
      </c>
      <c r="H104" s="15">
        <f>0.5*(18.97*$B$21*$B$19/$E$38)*Tabella1[[#This Row],[W/S '[lb/ft^2']]]^-0.5</f>
        <v>12.70023838528302</v>
      </c>
      <c r="I104" s="15">
        <f>1.18*(18.97*$B$21*$B$19/$E$39)*Tabella1[[#This Row],[W/S '[lb/ft^2']]]^-0.5</f>
        <v>12.581592493611094</v>
      </c>
      <c r="J104" s="15">
        <f>1.18*0.5*(18.97*$B$21*$B$19/$E$40)*(Tabella1[[#This Row],[W/S '[lb/ft^2']]]^-0.5)</f>
        <v>5.8428970395168962</v>
      </c>
      <c r="K104" s="19">
        <f>($B$27*$B$28*$B$29*Tabella1[[#This Row],[W/S '[lb/ft^2']]])/($B$30^3*$B$26)</f>
        <v>17.413788707833106</v>
      </c>
    </row>
    <row r="105" spans="1:11" x14ac:dyDescent="0.3">
      <c r="A105" s="15">
        <v>81</v>
      </c>
      <c r="B105" s="15">
        <f t="shared" si="5"/>
        <v>7.0057613168724266</v>
      </c>
      <c r="C105" s="15">
        <f t="shared" si="6"/>
        <v>7.3744855967078191</v>
      </c>
      <c r="D105" s="15">
        <f t="shared" si="7"/>
        <v>7.7432098765432098</v>
      </c>
      <c r="E105" s="15">
        <f>0.5*(18.97*$B$21*$B$19/$E$35)*Tabella1[[#This Row],[W/S '[lb/ft^2']]]^-0.5</f>
        <v>9.5840704046753746</v>
      </c>
      <c r="F105" s="15">
        <f>0.5*(18.97*$B$21*$B$19/$E$36)*Tabella1[[#This Row],[W/S '[lb/ft^2']]]^-0.5</f>
        <v>10.822883386922639</v>
      </c>
      <c r="G105" s="15">
        <f>0.5*(18.97*$B$21*$B$19/$E$37)*Tabella1[[#This Row],[W/S '[lb/ft^2']]]^-0.5</f>
        <v>9.8086138604963153</v>
      </c>
      <c r="H105" s="15">
        <f>0.5*(18.97*$B$21*$B$19/$E$38)*Tabella1[[#This Row],[W/S '[lb/ft^2']]]^-0.5</f>
        <v>12.621598382197776</v>
      </c>
      <c r="I105" s="15">
        <f>1.18*(18.97*$B$21*$B$19/$E$39)*Tabella1[[#This Row],[W/S '[lb/ft^2']]]^-0.5</f>
        <v>12.503687147073553</v>
      </c>
      <c r="J105" s="15">
        <f>1.18*0.5*(18.97*$B$21*$B$19/$E$40)*(Tabella1[[#This Row],[W/S '[lb/ft^2']]]^-0.5)</f>
        <v>5.8067177626186908</v>
      </c>
      <c r="K105" s="19">
        <f>($B$27*$B$28*$B$29*Tabella1[[#This Row],[W/S '[lb/ft^2']]])/($B$30^3*$B$26)</f>
        <v>17.63146106668102</v>
      </c>
    </row>
    <row r="106" spans="1:11" x14ac:dyDescent="0.3">
      <c r="A106" s="15">
        <v>82</v>
      </c>
      <c r="B106" s="15">
        <f t="shared" si="5"/>
        <v>6.9203252032520313</v>
      </c>
      <c r="C106" s="15">
        <f t="shared" si="6"/>
        <v>7.2845528455284549</v>
      </c>
      <c r="D106" s="15">
        <f t="shared" si="7"/>
        <v>7.6487804878048777</v>
      </c>
      <c r="E106" s="15">
        <f>0.5*(18.97*$B$21*$B$19/$E$35)*Tabella1[[#This Row],[W/S '[lb/ft^2']]]^-0.5</f>
        <v>9.5254516871736641</v>
      </c>
      <c r="F106" s="15">
        <f>0.5*(18.97*$B$21*$B$19/$E$36)*Tabella1[[#This Row],[W/S '[lb/ft^2']]]^-0.5</f>
        <v>10.756687760531737</v>
      </c>
      <c r="G106" s="15">
        <f>0.5*(18.97*$B$21*$B$19/$E$37)*Tabella1[[#This Row],[W/S '[lb/ft^2']]]^-0.5</f>
        <v>9.7486217756415012</v>
      </c>
      <c r="H106" s="15">
        <f>0.5*(18.97*$B$21*$B$19/$E$38)*Tabella1[[#This Row],[W/S '[lb/ft^2']]]^-0.5</f>
        <v>12.544401337649232</v>
      </c>
      <c r="I106" s="15">
        <f>1.18*(18.97*$B$21*$B$19/$E$39)*Tabella1[[#This Row],[W/S '[lb/ft^2']]]^-0.5</f>
        <v>12.427211278923989</v>
      </c>
      <c r="J106" s="15">
        <f>1.18*0.5*(18.97*$B$21*$B$19/$E$40)*(Tabella1[[#This Row],[W/S '[lb/ft^2']]]^-0.5)</f>
        <v>5.7712023361071045</v>
      </c>
      <c r="K106" s="19">
        <f>($B$27*$B$28*$B$29*Tabella1[[#This Row],[W/S '[lb/ft^2']]])/($B$30^3*$B$26)</f>
        <v>17.849133425528933</v>
      </c>
    </row>
    <row r="107" spans="1:11" x14ac:dyDescent="0.3">
      <c r="A107" s="15">
        <v>83</v>
      </c>
      <c r="B107" s="15">
        <f t="shared" si="5"/>
        <v>6.8369477911646577</v>
      </c>
      <c r="C107" s="15">
        <f t="shared" si="6"/>
        <v>7.1967871485943773</v>
      </c>
      <c r="D107" s="15">
        <f t="shared" si="7"/>
        <v>7.556626506024096</v>
      </c>
      <c r="E107" s="15">
        <f>0.5*(18.97*$B$21*$B$19/$E$35)*Tabella1[[#This Row],[W/S '[lb/ft^2']]]^-0.5</f>
        <v>9.4678955609245623</v>
      </c>
      <c r="F107" s="15">
        <f>0.5*(18.97*$B$21*$B$19/$E$36)*Tabella1[[#This Row],[W/S '[lb/ft^2']]]^-0.5</f>
        <v>10.691692073282493</v>
      </c>
      <c r="G107" s="15">
        <f>0.5*(18.97*$B$21*$B$19/$E$37)*Tabella1[[#This Row],[W/S '[lb/ft^2']]]^-0.5</f>
        <v>9.6897171772979824</v>
      </c>
      <c r="H107" s="15">
        <f>0.5*(18.97*$B$21*$B$19/$E$38)*Tabella1[[#This Row],[W/S '[lb/ft^2']]]^-0.5</f>
        <v>12.468603656781108</v>
      </c>
      <c r="I107" s="15">
        <f>1.18*(18.97*$B$21*$B$19/$E$39)*Tabella1[[#This Row],[W/S '[lb/ft^2']]]^-0.5</f>
        <v>12.35212170157018</v>
      </c>
      <c r="J107" s="15">
        <f>1.18*0.5*(18.97*$B$21*$B$19/$E$40)*(Tabella1[[#This Row],[W/S '[lb/ft^2']]]^-0.5)</f>
        <v>5.7363307036454794</v>
      </c>
      <c r="K107" s="19">
        <f>($B$27*$B$28*$B$29*Tabella1[[#This Row],[W/S '[lb/ft^2']]])/($B$30^3*$B$26)</f>
        <v>18.066805784376847</v>
      </c>
    </row>
    <row r="108" spans="1:11" x14ac:dyDescent="0.3">
      <c r="A108" s="15">
        <v>84</v>
      </c>
      <c r="B108" s="15">
        <f t="shared" si="5"/>
        <v>6.7555555555555546</v>
      </c>
      <c r="C108" s="15">
        <f t="shared" si="6"/>
        <v>7.1111111111111107</v>
      </c>
      <c r="D108" s="15">
        <f t="shared" si="7"/>
        <v>7.4666666666666668</v>
      </c>
      <c r="E108" s="15">
        <f>0.5*(18.97*$B$21*$B$19/$E$35)*Tabella1[[#This Row],[W/S '[lb/ft^2']]]^-0.5</f>
        <v>9.4113703061166341</v>
      </c>
      <c r="F108" s="15">
        <f>0.5*(18.97*$B$21*$B$19/$E$36)*Tabella1[[#This Row],[W/S '[lb/ft^2']]]^-0.5</f>
        <v>10.627860505339935</v>
      </c>
      <c r="G108" s="15">
        <f>0.5*(18.97*$B$21*$B$19/$E$37)*Tabella1[[#This Row],[W/S '[lb/ft^2']]]^-0.5</f>
        <v>9.6318676024965839</v>
      </c>
      <c r="H108" s="15">
        <f>0.5*(18.97*$B$21*$B$19/$E$38)*Tabella1[[#This Row],[W/S '[lb/ft^2']]]^-0.5</f>
        <v>12.394163566661462</v>
      </c>
      <c r="I108" s="15">
        <f>1.18*(18.97*$B$21*$B$19/$E$39)*Tabella1[[#This Row],[W/S '[lb/ft^2']]]^-0.5</f>
        <v>12.278377032323785</v>
      </c>
      <c r="J108" s="15">
        <f>1.18*0.5*(18.97*$B$21*$B$19/$E$40)*(Tabella1[[#This Row],[W/S '[lb/ft^2']]]^-0.5)</f>
        <v>5.702083647095308</v>
      </c>
      <c r="K108" s="19">
        <f>($B$27*$B$28*$B$29*Tabella1[[#This Row],[W/S '[lb/ft^2']]])/($B$30^3*$B$26)</f>
        <v>18.28447814322476</v>
      </c>
    </row>
    <row r="109" spans="1:11" x14ac:dyDescent="0.3">
      <c r="A109" s="15">
        <v>85</v>
      </c>
      <c r="B109" s="15">
        <f t="shared" ref="B109:B124" si="8">(2.8*$B$19*$C$3*$B$15)/(37.5*$A109)</f>
        <v>6.6760784313725479</v>
      </c>
      <c r="C109" s="15">
        <f t="shared" ref="C109:C124" si="9">(2.8*$B$19*$C$4*$B$15)/(37.5*$A109)</f>
        <v>7.0274509803921568</v>
      </c>
      <c r="D109" s="15">
        <f t="shared" ref="D109:D124" si="10">(2.8*$B$19*$C$5*$B$15)/(37.5*$A109)</f>
        <v>7.3788235294117648</v>
      </c>
      <c r="E109" s="15">
        <f>0.5*(18.97*$B$21*$B$19/$E$35)*Tabella1[[#This Row],[W/S '[lb/ft^2']]]^-0.5</f>
        <v>9.3558455129360816</v>
      </c>
      <c r="F109" s="15">
        <f>0.5*(18.97*$B$21*$B$19/$E$36)*Tabella1[[#This Row],[W/S '[lb/ft^2']]]^-0.5</f>
        <v>10.565158716193752</v>
      </c>
      <c r="G109" s="15">
        <f>0.5*(18.97*$B$21*$B$19/$E$37)*Tabella1[[#This Row],[W/S '[lb/ft^2']]]^-0.5</f>
        <v>9.5750419289574698</v>
      </c>
      <c r="H109" s="15">
        <f>0.5*(18.97*$B$21*$B$19/$E$38)*Tabella1[[#This Row],[W/S '[lb/ft^2']]]^-0.5</f>
        <v>12.321041019540182</v>
      </c>
      <c r="I109" s="15">
        <f>1.18*(18.97*$B$21*$B$19/$E$39)*Tabella1[[#This Row],[W/S '[lb/ft^2']]]^-0.5</f>
        <v>12.205937597561608</v>
      </c>
      <c r="J109" s="15">
        <f>1.18*0.5*(18.97*$B$21*$B$19/$E$40)*(Tabella1[[#This Row],[W/S '[lb/ft^2']]]^-0.5)</f>
        <v>5.66844274200868</v>
      </c>
      <c r="K109" s="19">
        <f>($B$27*$B$28*$B$29*Tabella1[[#This Row],[W/S '[lb/ft^2']]])/($B$30^3*$B$26)</f>
        <v>18.502150502072677</v>
      </c>
    </row>
    <row r="110" spans="1:11" x14ac:dyDescent="0.3">
      <c r="A110" s="15">
        <v>86</v>
      </c>
      <c r="B110" s="15">
        <f t="shared" si="8"/>
        <v>6.5984496124030994</v>
      </c>
      <c r="C110" s="15">
        <f t="shared" si="9"/>
        <v>6.945736434108527</v>
      </c>
      <c r="D110" s="15">
        <f t="shared" si="10"/>
        <v>7.2930232558139538</v>
      </c>
      <c r="E110" s="15">
        <f>0.5*(18.97*$B$21*$B$19/$E$35)*Tabella1[[#This Row],[W/S '[lb/ft^2']]]^-0.5</f>
        <v>9.3012920128183136</v>
      </c>
      <c r="F110" s="15">
        <f>0.5*(18.97*$B$21*$B$19/$E$36)*Tabella1[[#This Row],[W/S '[lb/ft^2']]]^-0.5</f>
        <v>10.503553767023613</v>
      </c>
      <c r="G110" s="15">
        <f>0.5*(18.97*$B$21*$B$19/$E$37)*Tabella1[[#This Row],[W/S '[lb/ft^2']]]^-0.5</f>
        <v>9.5192103047310166</v>
      </c>
      <c r="H110" s="15">
        <f>0.5*(18.97*$B$21*$B$19/$E$38)*Tabella1[[#This Row],[W/S '[lb/ft^2']]]^-0.5</f>
        <v>12.249197602311764</v>
      </c>
      <c r="I110" s="15">
        <f>1.18*(18.97*$B$21*$B$19/$E$39)*Tabella1[[#This Row],[W/S '[lb/ft^2']]]^-0.5</f>
        <v>12.134765343034173</v>
      </c>
      <c r="J110" s="15">
        <f>1.18*0.5*(18.97*$B$21*$B$19/$E$40)*(Tabella1[[#This Row],[W/S '[lb/ft^2']]]^-0.5)</f>
        <v>5.6353903159755481</v>
      </c>
      <c r="K110" s="19">
        <f>($B$27*$B$28*$B$29*Tabella1[[#This Row],[W/S '[lb/ft^2']]])/($B$30^3*$B$26)</f>
        <v>18.719822860920587</v>
      </c>
    </row>
    <row r="111" spans="1:11" x14ac:dyDescent="0.3">
      <c r="A111" s="15">
        <v>87</v>
      </c>
      <c r="B111" s="15">
        <f t="shared" si="8"/>
        <v>6.5226053639846731</v>
      </c>
      <c r="C111" s="15">
        <f t="shared" si="9"/>
        <v>6.8659003831417627</v>
      </c>
      <c r="D111" s="15">
        <f t="shared" si="10"/>
        <v>7.2091954022988505</v>
      </c>
      <c r="E111" s="15">
        <f>0.5*(18.97*$B$21*$B$19/$E$35)*Tabella1[[#This Row],[W/S '[lb/ft^2']]]^-0.5</f>
        <v>9.2476818140583674</v>
      </c>
      <c r="F111" s="15">
        <f>0.5*(18.97*$B$21*$B$19/$E$36)*Tabella1[[#This Row],[W/S '[lb/ft^2']]]^-0.5</f>
        <v>10.44301404798674</v>
      </c>
      <c r="G111" s="15">
        <f>0.5*(18.97*$B$21*$B$19/$E$37)*Tabella1[[#This Row],[W/S '[lb/ft^2']]]^-0.5</f>
        <v>9.4643440822996503</v>
      </c>
      <c r="H111" s="15">
        <f>0.5*(18.97*$B$21*$B$19/$E$38)*Tabella1[[#This Row],[W/S '[lb/ft^2']]]^-0.5</f>
        <v>12.178596451718402</v>
      </c>
      <c r="I111" s="15">
        <f>1.18*(18.97*$B$21*$B$19/$E$39)*Tabella1[[#This Row],[W/S '[lb/ft^2']]]^-0.5</f>
        <v>12.064823749861004</v>
      </c>
      <c r="J111" s="15">
        <f>1.18*0.5*(18.97*$B$21*$B$19/$E$40)*(Tabella1[[#This Row],[W/S '[lb/ft^2']]]^-0.5)</f>
        <v>5.6029094096118959</v>
      </c>
      <c r="K111" s="19">
        <f>($B$27*$B$28*$B$29*Tabella1[[#This Row],[W/S '[lb/ft^2']]])/($B$30^3*$B$26)</f>
        <v>18.937495219768504</v>
      </c>
    </row>
    <row r="112" spans="1:11" x14ac:dyDescent="0.3">
      <c r="A112" s="15">
        <v>88</v>
      </c>
      <c r="B112" s="15">
        <f t="shared" si="8"/>
        <v>6.4484848484848474</v>
      </c>
      <c r="C112" s="15">
        <f t="shared" si="9"/>
        <v>6.7878787878787881</v>
      </c>
      <c r="D112" s="15">
        <f t="shared" si="10"/>
        <v>7.127272727272727</v>
      </c>
      <c r="E112" s="15">
        <f>0.5*(18.97*$B$21*$B$19/$E$35)*Tabella1[[#This Row],[W/S '[lb/ft^2']]]^-0.5</f>
        <v>9.1949880414572789</v>
      </c>
      <c r="F112" s="15">
        <f>0.5*(18.97*$B$21*$B$19/$E$36)*Tabella1[[#This Row],[W/S '[lb/ft^2']]]^-0.5</f>
        <v>10.383509210063139</v>
      </c>
      <c r="G112" s="15">
        <f>0.5*(18.97*$B$21*$B$19/$E$37)*Tabella1[[#This Row],[W/S '[lb/ft^2']]]^-0.5</f>
        <v>9.4104157568102274</v>
      </c>
      <c r="H112" s="15">
        <f>0.5*(18.97*$B$21*$B$19/$E$38)*Tabella1[[#This Row],[W/S '[lb/ft^2']]]^-0.5</f>
        <v>12.109202174868209</v>
      </c>
      <c r="I112" s="15">
        <f>1.18*(18.97*$B$21*$B$19/$E$39)*Tabella1[[#This Row],[W/S '[lb/ft^2']]]^-0.5</f>
        <v>11.996077755791342</v>
      </c>
      <c r="J112" s="15">
        <f>1.18*0.5*(18.97*$B$21*$B$19/$E$40)*(Tabella1[[#This Row],[W/S '[lb/ft^2']]]^-0.5)</f>
        <v>5.5709837399931859</v>
      </c>
      <c r="K112" s="19">
        <f>($B$27*$B$28*$B$29*Tabella1[[#This Row],[W/S '[lb/ft^2']]])/($B$30^3*$B$26)</f>
        <v>19.155167578616418</v>
      </c>
    </row>
    <row r="113" spans="1:11" x14ac:dyDescent="0.3">
      <c r="A113" s="15">
        <v>89</v>
      </c>
      <c r="B113" s="15">
        <f t="shared" si="8"/>
        <v>6.3760299625468155</v>
      </c>
      <c r="C113" s="15">
        <f t="shared" si="9"/>
        <v>6.7116104868913862</v>
      </c>
      <c r="D113" s="15">
        <f t="shared" si="10"/>
        <v>7.047191011235955</v>
      </c>
      <c r="E113" s="15">
        <f>0.5*(18.97*$B$21*$B$19/$E$35)*Tabella1[[#This Row],[W/S '[lb/ft^2']]]^-0.5</f>
        <v>9.1431848797088353</v>
      </c>
      <c r="F113" s="15">
        <f>0.5*(18.97*$B$21*$B$19/$E$36)*Tabella1[[#This Row],[W/S '[lb/ft^2']]]^-0.5</f>
        <v>10.325010101124645</v>
      </c>
      <c r="G113" s="15">
        <f>0.5*(18.97*$B$21*$B$19/$E$37)*Tabella1[[#This Row],[W/S '[lb/ft^2']]]^-0.5</f>
        <v>9.3573989081343854</v>
      </c>
      <c r="H113" s="15">
        <f>0.5*(18.97*$B$21*$B$19/$E$38)*Tabella1[[#This Row],[W/S '[lb/ft^2']]]^-0.5</f>
        <v>12.040980774679213</v>
      </c>
      <c r="I113" s="15">
        <f>1.18*(18.97*$B$21*$B$19/$E$39)*Tabella1[[#This Row],[W/S '[lb/ft^2']]]^-0.5</f>
        <v>11.928493681344666</v>
      </c>
      <c r="J113" s="15">
        <f>1.18*0.5*(18.97*$B$21*$B$19/$E$40)*(Tabella1[[#This Row],[W/S '[lb/ft^2']]]^-0.5)</f>
        <v>5.5395976663539779</v>
      </c>
      <c r="K113" s="19">
        <f>($B$27*$B$28*$B$29*Tabella1[[#This Row],[W/S '[lb/ft^2']]])/($B$30^3*$B$26)</f>
        <v>19.372839937464331</v>
      </c>
    </row>
    <row r="114" spans="1:11" x14ac:dyDescent="0.3">
      <c r="A114" s="15">
        <v>90</v>
      </c>
      <c r="B114" s="15">
        <f t="shared" si="8"/>
        <v>6.3051851851851843</v>
      </c>
      <c r="C114" s="15">
        <f t="shared" si="9"/>
        <v>6.6370370370370368</v>
      </c>
      <c r="D114" s="15">
        <f t="shared" si="10"/>
        <v>6.9688888888888885</v>
      </c>
      <c r="E114" s="15">
        <f>0.5*(18.97*$B$21*$B$19/$E$35)*Tabella1[[#This Row],[W/S '[lb/ft^2']]]^-0.5</f>
        <v>9.0922475202557571</v>
      </c>
      <c r="F114" s="15">
        <f>0.5*(18.97*$B$21*$B$19/$E$36)*Tabella1[[#This Row],[W/S '[lb/ft^2']]]^-0.5</f>
        <v>10.267488705921885</v>
      </c>
      <c r="G114" s="15">
        <f>0.5*(18.97*$B$21*$B$19/$E$37)*Tabella1[[#This Row],[W/S '[lb/ft^2']]]^-0.5</f>
        <v>9.3052681464796265</v>
      </c>
      <c r="H114" s="15">
        <f>0.5*(18.97*$B$21*$B$19/$E$38)*Tabella1[[#This Row],[W/S '[lb/ft^2']]]^-0.5</f>
        <v>11.973899579892416</v>
      </c>
      <c r="I114" s="15">
        <f>1.18*(18.97*$B$21*$B$19/$E$39)*Tabella1[[#This Row],[W/S '[lb/ft^2']]]^-0.5</f>
        <v>11.862039160477559</v>
      </c>
      <c r="J114" s="15">
        <f>1.18*0.5*(18.97*$B$21*$B$19/$E$40)*(Tabella1[[#This Row],[W/S '[lb/ft^2']]]^-0.5)</f>
        <v>5.5087361578896008</v>
      </c>
      <c r="K114" s="19">
        <f>($B$27*$B$28*$B$29*Tabella1[[#This Row],[W/S '[lb/ft^2']]])/($B$30^3*$B$26)</f>
        <v>19.590512296312241</v>
      </c>
    </row>
    <row r="115" spans="1:11" x14ac:dyDescent="0.3">
      <c r="A115" s="15">
        <v>91</v>
      </c>
      <c r="B115" s="15">
        <f t="shared" si="8"/>
        <v>6.2358974358974351</v>
      </c>
      <c r="C115" s="15">
        <f t="shared" si="9"/>
        <v>6.5641025641025639</v>
      </c>
      <c r="D115" s="15">
        <f t="shared" si="10"/>
        <v>6.8923076923076927</v>
      </c>
      <c r="E115" s="15">
        <f>0.5*(18.97*$B$21*$B$19/$E$35)*Tabella1[[#This Row],[W/S '[lb/ft^2']]]^-0.5</f>
        <v>9.0421521113668462</v>
      </c>
      <c r="F115" s="15">
        <f>0.5*(18.97*$B$21*$B$19/$E$36)*Tabella1[[#This Row],[W/S '[lb/ft^2']]]^-0.5</f>
        <v>10.210918089708505</v>
      </c>
      <c r="G115" s="15">
        <f>0.5*(18.97*$B$21*$B$19/$E$37)*Tabella1[[#This Row],[W/S '[lb/ft^2']]]^-0.5</f>
        <v>9.2539990612968523</v>
      </c>
      <c r="H115" s="15">
        <f>0.5*(18.97*$B$21*$B$19/$E$38)*Tabella1[[#This Row],[W/S '[lb/ft^2']]]^-0.5</f>
        <v>11.907927179326643</v>
      </c>
      <c r="I115" s="15">
        <f>1.18*(18.97*$B$21*$B$19/$E$39)*Tabella1[[#This Row],[W/S '[lb/ft^2']]]^-0.5</f>
        <v>11.796683075452753</v>
      </c>
      <c r="J115" s="15">
        <f>1.18*0.5*(18.97*$B$21*$B$19/$E$40)*(Tabella1[[#This Row],[W/S '[lb/ft^2']]]^-0.5)</f>
        <v>5.4783847635092977</v>
      </c>
      <c r="K115" s="19">
        <f>($B$27*$B$28*$B$29*Tabella1[[#This Row],[W/S '[lb/ft^2']]])/($B$30^3*$B$26)</f>
        <v>19.808184655160158</v>
      </c>
    </row>
    <row r="116" spans="1:11" x14ac:dyDescent="0.3">
      <c r="A116" s="15">
        <v>92</v>
      </c>
      <c r="B116" s="15">
        <f t="shared" si="8"/>
        <v>6.1681159420289848</v>
      </c>
      <c r="C116" s="15">
        <f t="shared" si="9"/>
        <v>6.4927536231884062</v>
      </c>
      <c r="D116" s="15">
        <f t="shared" si="10"/>
        <v>6.8173913043478258</v>
      </c>
      <c r="E116" s="15">
        <f>0.5*(18.97*$B$21*$B$19/$E$35)*Tabella1[[#This Row],[W/S '[lb/ft^2']]]^-0.5</f>
        <v>8.9928757112068691</v>
      </c>
      <c r="F116" s="15">
        <f>0.5*(18.97*$B$21*$B$19/$E$36)*Tabella1[[#This Row],[W/S '[lb/ft^2']]]^-0.5</f>
        <v>10.155272345245002</v>
      </c>
      <c r="G116" s="15">
        <f>0.5*(18.97*$B$21*$B$19/$E$37)*Tabella1[[#This Row],[W/S '[lb/ft^2']]]^-0.5</f>
        <v>9.2035681732507122</v>
      </c>
      <c r="H116" s="15">
        <f>0.5*(18.97*$B$21*$B$19/$E$38)*Tabella1[[#This Row],[W/S '[lb/ft^2']]]^-0.5</f>
        <v>11.843033360074616</v>
      </c>
      <c r="I116" s="15">
        <f>1.18*(18.97*$B$21*$B$19/$E$39)*Tabella1[[#This Row],[W/S '[lb/ft^2']]]^-0.5</f>
        <v>11.732395495612586</v>
      </c>
      <c r="J116" s="15">
        <f>1.18*0.5*(18.97*$B$21*$B$19/$E$40)*(Tabella1[[#This Row],[W/S '[lb/ft^2']]]^-0.5)</f>
        <v>5.4485295834026006</v>
      </c>
      <c r="K116" s="19">
        <f>($B$27*$B$28*$B$29*Tabella1[[#This Row],[W/S '[lb/ft^2']]])/($B$30^3*$B$26)</f>
        <v>20.025857014008071</v>
      </c>
    </row>
    <row r="117" spans="1:11" x14ac:dyDescent="0.3">
      <c r="A117" s="15">
        <v>93</v>
      </c>
      <c r="B117" s="15">
        <f t="shared" si="8"/>
        <v>6.1017921146953391</v>
      </c>
      <c r="C117" s="15">
        <f t="shared" si="9"/>
        <v>6.4229390681003586</v>
      </c>
      <c r="D117" s="15">
        <f t="shared" si="10"/>
        <v>6.7440860215053764</v>
      </c>
      <c r="E117" s="15">
        <f>0.5*(18.97*$B$21*$B$19/$E$35)*Tabella1[[#This Row],[W/S '[lb/ft^2']]]^-0.5</f>
        <v>8.9443962436894591</v>
      </c>
      <c r="F117" s="15">
        <f>0.5*(18.97*$B$21*$B$19/$E$36)*Tabella1[[#This Row],[W/S '[lb/ft^2']]]^-0.5</f>
        <v>10.100526542945277</v>
      </c>
      <c r="G117" s="15">
        <f>0.5*(18.97*$B$21*$B$19/$E$37)*Tabella1[[#This Row],[W/S '[lb/ft^2']]]^-0.5</f>
        <v>9.1539528890381945</v>
      </c>
      <c r="H117" s="15">
        <f>0.5*(18.97*$B$21*$B$19/$E$38)*Tabella1[[#This Row],[W/S '[lb/ft^2']]]^-0.5</f>
        <v>11.779189049364101</v>
      </c>
      <c r="I117" s="15">
        <f>1.18*(18.97*$B$21*$B$19/$E$39)*Tabella1[[#This Row],[W/S '[lb/ft^2']]]^-0.5</f>
        <v>11.669147619783262</v>
      </c>
      <c r="J117" s="15">
        <f>1.18*0.5*(18.97*$B$21*$B$19/$E$40)*(Tabella1[[#This Row],[W/S '[lb/ft^2']]]^-0.5)</f>
        <v>5.4191572422918437</v>
      </c>
      <c r="K117" s="19">
        <f>($B$27*$B$28*$B$29*Tabella1[[#This Row],[W/S '[lb/ft^2']]])/($B$30^3*$B$26)</f>
        <v>20.243529372855985</v>
      </c>
    </row>
    <row r="118" spans="1:11" x14ac:dyDescent="0.3">
      <c r="A118" s="15">
        <v>94</v>
      </c>
      <c r="B118" s="15">
        <f t="shared" si="8"/>
        <v>6.0368794326241124</v>
      </c>
      <c r="C118" s="15">
        <f t="shared" si="9"/>
        <v>6.3546099290780145</v>
      </c>
      <c r="D118" s="15">
        <f t="shared" si="10"/>
        <v>6.6723404255319148</v>
      </c>
      <c r="E118" s="15">
        <f>0.5*(18.97*$B$21*$B$19/$E$35)*Tabella1[[#This Row],[W/S '[lb/ft^2']]]^-0.5</f>
        <v>8.8966924569200643</v>
      </c>
      <c r="F118" s="15">
        <f>0.5*(18.97*$B$21*$B$19/$E$36)*Tabella1[[#This Row],[W/S '[lb/ft^2']]]^-0.5</f>
        <v>10.046656683948004</v>
      </c>
      <c r="G118" s="15">
        <f>0.5*(18.97*$B$21*$B$19/$E$37)*Tabella1[[#This Row],[W/S '[lb/ft^2']]]^-0.5</f>
        <v>9.1051314588579455</v>
      </c>
      <c r="H118" s="15">
        <f>0.5*(18.97*$B$21*$B$19/$E$38)*Tabella1[[#This Row],[W/S '[lb/ft^2']]]^-0.5</f>
        <v>11.716366259829961</v>
      </c>
      <c r="I118" s="15">
        <f>1.18*(18.97*$B$21*$B$19/$E$39)*Tabella1[[#This Row],[W/S '[lb/ft^2']]]^-0.5</f>
        <v>11.606911722058195</v>
      </c>
      <c r="J118" s="15">
        <f>1.18*0.5*(18.97*$B$21*$B$19/$E$40)*(Tabella1[[#This Row],[W/S '[lb/ft^2']]]^-0.5)</f>
        <v>5.3902548642539188</v>
      </c>
      <c r="K118" s="19">
        <f>($B$27*$B$28*$B$29*Tabella1[[#This Row],[W/S '[lb/ft^2']]])/($B$30^3*$B$26)</f>
        <v>20.461201731703902</v>
      </c>
    </row>
    <row r="119" spans="1:11" x14ac:dyDescent="0.3">
      <c r="A119" s="15">
        <v>95</v>
      </c>
      <c r="B119" s="15">
        <f t="shared" si="8"/>
        <v>5.9733333333333327</v>
      </c>
      <c r="C119" s="15">
        <f t="shared" si="9"/>
        <v>6.287719298245614</v>
      </c>
      <c r="D119" s="15">
        <f t="shared" si="10"/>
        <v>6.6021052631578945</v>
      </c>
      <c r="E119" s="15">
        <f>0.5*(18.97*$B$21*$B$19/$E$35)*Tabella1[[#This Row],[W/S '[lb/ft^2']]]^-0.5</f>
        <v>8.8497438840512448</v>
      </c>
      <c r="F119" s="15">
        <f>0.5*(18.97*$B$21*$B$19/$E$36)*Tabella1[[#This Row],[W/S '[lb/ft^2']]]^-0.5</f>
        <v>9.9936396559122134</v>
      </c>
      <c r="G119" s="15">
        <f>0.5*(18.97*$B$21*$B$19/$E$37)*Tabella1[[#This Row],[W/S '[lb/ft^2']]]^-0.5</f>
        <v>9.0570829363484506</v>
      </c>
      <c r="H119" s="15">
        <f>0.5*(18.97*$B$21*$B$19/$E$38)*Tabella1[[#This Row],[W/S '[lb/ft^2']]]^-0.5</f>
        <v>11.65453803796313</v>
      </c>
      <c r="I119" s="15">
        <f>1.18*(18.97*$B$21*$B$19/$E$39)*Tabella1[[#This Row],[W/S '[lb/ft^2']]]^-0.5</f>
        <v>11.545661100728562</v>
      </c>
      <c r="J119" s="15">
        <f>1.18*0.5*(18.97*$B$21*$B$19/$E$40)*(Tabella1[[#This Row],[W/S '[lb/ft^2']]]^-0.5)</f>
        <v>5.3618100490036067</v>
      </c>
      <c r="K119" s="19">
        <f>($B$27*$B$28*$B$29*Tabella1[[#This Row],[W/S '[lb/ft^2']]])/($B$30^3*$B$26)</f>
        <v>20.678874090551812</v>
      </c>
    </row>
    <row r="120" spans="1:11" x14ac:dyDescent="0.3">
      <c r="A120" s="15">
        <v>96</v>
      </c>
      <c r="B120" s="15">
        <f t="shared" si="8"/>
        <v>5.9111111111111105</v>
      </c>
      <c r="C120" s="15">
        <f t="shared" si="9"/>
        <v>6.2222222222222223</v>
      </c>
      <c r="D120" s="15">
        <f t="shared" si="10"/>
        <v>6.5333333333333332</v>
      </c>
      <c r="E120" s="15">
        <f>0.5*(18.97*$B$21*$B$19/$E$35)*Tabella1[[#This Row],[W/S '[lb/ft^2']]]^-0.5</f>
        <v>8.8035308063865596</v>
      </c>
      <c r="F120" s="15">
        <f>0.5*(18.97*$B$21*$B$19/$E$36)*Tabella1[[#This Row],[W/S '[lb/ft^2']]]^-0.5</f>
        <v>9.9414531913520516</v>
      </c>
      <c r="G120" s="15">
        <f>0.5*(18.97*$B$21*$B$19/$E$37)*Tabella1[[#This Row],[W/S '[lb/ft^2']]]^-0.5</f>
        <v>9.0097871408274894</v>
      </c>
      <c r="H120" s="15">
        <f>0.5*(18.97*$B$21*$B$19/$E$38)*Tabella1[[#This Row],[W/S '[lb/ft^2']]]^-0.5</f>
        <v>11.593678415520831</v>
      </c>
      <c r="I120" s="15">
        <f>1.18*(18.97*$B$21*$B$19/$E$39)*Tabella1[[#This Row],[W/S '[lb/ft^2']]]^-0.5</f>
        <v>11.48537003014745</v>
      </c>
      <c r="J120" s="15">
        <f>1.18*0.5*(18.97*$B$21*$B$19/$E$40)*(Tabella1[[#This Row],[W/S '[lb/ft^2']]]^-0.5)</f>
        <v>5.3338108495392644</v>
      </c>
      <c r="K120" s="19">
        <f>($B$27*$B$28*$B$29*Tabella1[[#This Row],[W/S '[lb/ft^2']]])/($B$30^3*$B$26)</f>
        <v>20.896546449399725</v>
      </c>
    </row>
    <row r="121" spans="1:11" x14ac:dyDescent="0.3">
      <c r="A121" s="15">
        <v>97</v>
      </c>
      <c r="B121" s="15">
        <f t="shared" si="8"/>
        <v>5.8501718213058407</v>
      </c>
      <c r="C121" s="15">
        <f t="shared" si="9"/>
        <v>6.1580756013745708</v>
      </c>
      <c r="D121" s="15">
        <f t="shared" si="10"/>
        <v>6.4659793814432991</v>
      </c>
      <c r="E121" s="15">
        <f>0.5*(18.97*$B$21*$B$19/$E$35)*Tabella1[[#This Row],[W/S '[lb/ft^2']]]^-0.5</f>
        <v>8.7580342185819813</v>
      </c>
      <c r="F121" s="15">
        <f>0.5*(18.97*$B$21*$B$19/$E$36)*Tabella1[[#This Row],[W/S '[lb/ft^2']]]^-0.5</f>
        <v>9.8900758283402315</v>
      </c>
      <c r="G121" s="15">
        <f>0.5*(18.97*$B$21*$B$19/$E$37)*Tabella1[[#This Row],[W/S '[lb/ft^2']]]^-0.5</f>
        <v>8.9632246216782594</v>
      </c>
      <c r="H121" s="15">
        <f>0.5*(18.97*$B$21*$B$19/$E$38)*Tabella1[[#This Row],[W/S '[lb/ft^2']]]^-0.5</f>
        <v>11.533762363699084</v>
      </c>
      <c r="I121" s="15">
        <f>1.18*(18.97*$B$21*$B$19/$E$39)*Tabella1[[#This Row],[W/S '[lb/ft^2']]]^-0.5</f>
        <v>11.426013715330491</v>
      </c>
      <c r="J121" s="15">
        <f>1.18*0.5*(18.97*$B$21*$B$19/$E$40)*(Tabella1[[#This Row],[W/S '[lb/ft^2']]]^-0.5)</f>
        <v>5.3062457510593415</v>
      </c>
      <c r="K121" s="19">
        <f>($B$27*$B$28*$B$29*Tabella1[[#This Row],[W/S '[lb/ft^2']]])/($B$30^3*$B$26)</f>
        <v>21.114218808247642</v>
      </c>
    </row>
    <row r="122" spans="1:11" x14ac:dyDescent="0.3">
      <c r="A122" s="15">
        <v>98</v>
      </c>
      <c r="B122" s="15">
        <f t="shared" si="8"/>
        <v>5.7904761904761894</v>
      </c>
      <c r="C122" s="15">
        <f t="shared" si="9"/>
        <v>6.0952380952380949</v>
      </c>
      <c r="D122" s="15">
        <f t="shared" si="10"/>
        <v>6.4</v>
      </c>
      <c r="E122" s="15">
        <f>0.5*(18.97*$B$21*$B$19/$E$35)*Tabella1[[#This Row],[W/S '[lb/ft^2']]]^-0.5</f>
        <v>8.7132357958053301</v>
      </c>
      <c r="F122" s="15">
        <f>0.5*(18.97*$B$21*$B$19/$E$36)*Tabella1[[#This Row],[W/S '[lb/ft^2']]]^-0.5</f>
        <v>9.839486873422576</v>
      </c>
      <c r="G122" s="15">
        <f>0.5*(18.97*$B$21*$B$19/$E$37)*Tabella1[[#This Row],[W/S '[lb/ft^2']]]^-0.5</f>
        <v>8.9173766247393917</v>
      </c>
      <c r="H122" s="15">
        <f>0.5*(18.97*$B$21*$B$19/$E$38)*Tabella1[[#This Row],[W/S '[lb/ft^2']]]^-0.5</f>
        <v>11.474765749883836</v>
      </c>
      <c r="I122" s="15">
        <f>1.18*(18.97*$B$21*$B$19/$E$39)*Tabella1[[#This Row],[W/S '[lb/ft^2']]]^-0.5</f>
        <v>11.367568249111009</v>
      </c>
      <c r="J122" s="15">
        <f>1.18*0.5*(18.97*$B$21*$B$19/$E$40)*(Tabella1[[#This Row],[W/S '[lb/ft^2']]]^-0.5)</f>
        <v>5.2791036510652116</v>
      </c>
      <c r="K122" s="19">
        <f>($B$27*$B$28*$B$29*Tabella1[[#This Row],[W/S '[lb/ft^2']]])/($B$30^3*$B$26)</f>
        <v>21.331891167095556</v>
      </c>
    </row>
    <row r="123" spans="1:11" x14ac:dyDescent="0.3">
      <c r="A123" s="15">
        <v>99</v>
      </c>
      <c r="B123" s="15">
        <f t="shared" si="8"/>
        <v>5.7319865319865313</v>
      </c>
      <c r="C123" s="15">
        <f t="shared" si="9"/>
        <v>6.0336700336700337</v>
      </c>
      <c r="D123" s="15">
        <f t="shared" si="10"/>
        <v>6.3353535353535353</v>
      </c>
      <c r="E123" s="15">
        <f>0.5*(18.97*$B$21*$B$19/$E$35)*Tabella1[[#This Row],[W/S '[lb/ft^2']]]^-0.5</f>
        <v>8.6691178627248711</v>
      </c>
      <c r="F123" s="15">
        <f>0.5*(18.97*$B$21*$B$19/$E$36)*Tabella1[[#This Row],[W/S '[lb/ft^2']]]^-0.5</f>
        <v>9.7896663665981567</v>
      </c>
      <c r="G123" s="15">
        <f>0.5*(18.97*$B$21*$B$19/$E$37)*Tabella1[[#This Row],[W/S '[lb/ft^2']]]^-0.5</f>
        <v>8.8722250605669988</v>
      </c>
      <c r="H123" s="15">
        <f>0.5*(18.97*$B$21*$B$19/$E$38)*Tabella1[[#This Row],[W/S '[lb/ft^2']]]^-0.5</f>
        <v>11.416665296810935</v>
      </c>
      <c r="I123" s="15">
        <f>1.18*(18.97*$B$21*$B$19/$E$39)*Tabella1[[#This Row],[W/S '[lb/ft^2']]]^-0.5</f>
        <v>11.310010571681545</v>
      </c>
      <c r="J123" s="15">
        <f>1.18*0.5*(18.97*$B$21*$B$19/$E$40)*(Tabella1[[#This Row],[W/S '[lb/ft^2']]]^-0.5)</f>
        <v>5.2523738405722344</v>
      </c>
      <c r="K123" s="19">
        <f>($B$27*$B$28*$B$29*Tabella1[[#This Row],[W/S '[lb/ft^2']]])/($B$30^3*$B$26)</f>
        <v>21.549563525943469</v>
      </c>
    </row>
    <row r="124" spans="1:11" x14ac:dyDescent="0.3">
      <c r="A124" s="15">
        <v>100</v>
      </c>
      <c r="B124" s="15">
        <f t="shared" si="8"/>
        <v>5.6746666666666661</v>
      </c>
      <c r="C124" s="15">
        <f t="shared" si="9"/>
        <v>5.9733333333333336</v>
      </c>
      <c r="D124" s="15">
        <f t="shared" si="10"/>
        <v>6.2720000000000002</v>
      </c>
      <c r="E124" s="15">
        <f>0.5*(18.97*$B$21*$B$19/$E$35)*Tabella1[[#This Row],[W/S '[lb/ft^2']]]^-0.5</f>
        <v>8.6256633642078384</v>
      </c>
      <c r="F124" s="15">
        <f>0.5*(18.97*$B$21*$B$19/$E$36)*Tabella1[[#This Row],[W/S '[lb/ft^2']]]^-0.5</f>
        <v>9.7405950482303751</v>
      </c>
      <c r="G124" s="15">
        <f>0.5*(18.97*$B$21*$B$19/$E$37)*Tabella1[[#This Row],[W/S '[lb/ft^2']]]^-0.5</f>
        <v>8.8277524744466849</v>
      </c>
      <c r="H124" s="15">
        <f>0.5*(18.97*$B$21*$B$19/$E$38)*Tabella1[[#This Row],[W/S '[lb/ft^2']]]^-0.5</f>
        <v>11.359438543978001</v>
      </c>
      <c r="I124" s="15">
        <f>1.18*(18.97*$B$21*$B$19/$E$39)*Tabella1[[#This Row],[W/S '[lb/ft^2']]]^-0.5</f>
        <v>11.2533184323662</v>
      </c>
      <c r="J124" s="15">
        <f>1.18*0.5*(18.97*$B$21*$B$19/$E$40)*(Tabella1[[#This Row],[W/S '[lb/ft^2']]]^-0.5)</f>
        <v>5.2260459863568229</v>
      </c>
      <c r="K124" s="19">
        <f>($B$27*$B$28*$B$29*Tabella1[[#This Row],[W/S '[lb/ft^2']]])/($B$30^3*$B$26)</f>
        <v>21.767235884791379</v>
      </c>
    </row>
  </sheetData>
  <mergeCells count="8">
    <mergeCell ref="B1:C1"/>
    <mergeCell ref="D1:G1"/>
    <mergeCell ref="A10:E10"/>
    <mergeCell ref="B43:D43"/>
    <mergeCell ref="E43:J43"/>
    <mergeCell ref="A6:A8"/>
    <mergeCell ref="A3:A5"/>
    <mergeCell ref="G10:N10"/>
  </mergeCells>
  <phoneticPr fontId="1" type="noConversion"/>
  <pageMargins left="0.7" right="0.7" top="0.75" bottom="0.75" header="0.3" footer="0.3"/>
  <pageSetup paperSize="9" orientation="portrait" r:id="rId1"/>
  <ignoredErrors>
    <ignoredError sqref="C35" calculatedColumn="1"/>
  </ignoredErrors>
  <drawing r:id="rId2"/>
  <legacyDrawing r:id="rId3"/>
  <tableParts count="3"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FBC5B-CA60-459C-A364-CAAA0E333ABF}">
  <dimension ref="A1:F65"/>
  <sheetViews>
    <sheetView topLeftCell="A55" zoomScale="115" zoomScaleNormal="115" workbookViewId="0">
      <selection activeCell="D8" sqref="D8"/>
    </sheetView>
  </sheetViews>
  <sheetFormatPr defaultRowHeight="14.4" x14ac:dyDescent="0.3"/>
  <cols>
    <col min="1" max="1" width="16.33203125" customWidth="1"/>
    <col min="2" max="2" width="15.5546875" customWidth="1"/>
    <col min="3" max="3" width="21.88671875" customWidth="1"/>
    <col min="4" max="4" width="19.6640625" customWidth="1"/>
    <col min="5" max="5" width="22.33203125" customWidth="1"/>
    <col min="6" max="6" width="19.5546875" customWidth="1"/>
  </cols>
  <sheetData>
    <row r="1" spans="1:5" x14ac:dyDescent="0.3">
      <c r="A1" s="15" t="s">
        <v>22</v>
      </c>
      <c r="B1" s="15"/>
      <c r="C1" s="15"/>
      <c r="D1" s="15"/>
      <c r="E1" s="15"/>
    </row>
    <row r="2" spans="1:5" x14ac:dyDescent="0.3">
      <c r="A2" s="15" t="s">
        <v>89</v>
      </c>
      <c r="B2" s="15">
        <v>4.0000000000000001E-3</v>
      </c>
      <c r="C2" s="15"/>
      <c r="D2" s="15"/>
      <c r="E2" s="15"/>
    </row>
    <row r="3" spans="1:5" x14ac:dyDescent="0.3">
      <c r="A3" s="15" t="s">
        <v>90</v>
      </c>
      <c r="B3" s="15">
        <v>-2.3978999999999999</v>
      </c>
      <c r="C3" s="15"/>
      <c r="D3" s="15"/>
      <c r="E3" s="15"/>
    </row>
    <row r="4" spans="1:5" x14ac:dyDescent="0.3">
      <c r="A4" s="15" t="s">
        <v>91</v>
      </c>
      <c r="B4" s="15">
        <v>1</v>
      </c>
      <c r="C4" s="15"/>
      <c r="D4" s="15"/>
      <c r="E4" s="15"/>
    </row>
    <row r="5" spans="1:5" x14ac:dyDescent="0.3">
      <c r="A5" s="15" t="s">
        <v>92</v>
      </c>
      <c r="B5" s="15">
        <v>-8.6599999999999996E-2</v>
      </c>
      <c r="C5" s="15"/>
      <c r="D5" s="15"/>
      <c r="E5" s="15"/>
    </row>
    <row r="6" spans="1:5" x14ac:dyDescent="0.3">
      <c r="A6" s="15" t="s">
        <v>93</v>
      </c>
      <c r="B6" s="15">
        <v>0.80989999999999995</v>
      </c>
      <c r="C6" s="15"/>
      <c r="D6" s="15"/>
      <c r="E6" s="15"/>
    </row>
    <row r="10" spans="1:5" x14ac:dyDescent="0.3">
      <c r="A10" s="15" t="s">
        <v>94</v>
      </c>
      <c r="B10" s="15">
        <f>B5+B6*LOG10(Foglio1!B18)</f>
        <v>3.8682173111104512</v>
      </c>
      <c r="C10" s="15" t="s">
        <v>95</v>
      </c>
      <c r="D10" s="15"/>
      <c r="E10" s="15"/>
    </row>
    <row r="11" spans="1:5" x14ac:dyDescent="0.3">
      <c r="A11" s="15" t="s">
        <v>96</v>
      </c>
      <c r="B11" s="15">
        <f>10^B10</f>
        <v>7382.7355306545405</v>
      </c>
      <c r="C11" s="15" t="s">
        <v>95</v>
      </c>
      <c r="D11" s="15">
        <f>B11*0.092903</f>
        <v>685.87827900439879</v>
      </c>
      <c r="E11" s="15" t="s">
        <v>97</v>
      </c>
    </row>
    <row r="12" spans="1:5" x14ac:dyDescent="0.3">
      <c r="A12" s="15" t="s">
        <v>98</v>
      </c>
      <c r="B12" s="15">
        <f>10^(B3+B4*B10)</f>
        <v>29.533662737893835</v>
      </c>
      <c r="C12" s="15" t="s">
        <v>95</v>
      </c>
      <c r="D12" s="15"/>
      <c r="E12" s="15"/>
    </row>
    <row r="13" spans="1:5" x14ac:dyDescent="0.3">
      <c r="A13" s="15" t="s">
        <v>99</v>
      </c>
      <c r="B13" s="15">
        <f>Foglio1!B18/Foglio1!N16</f>
        <v>1070.1301459261329</v>
      </c>
      <c r="C13" s="15" t="s">
        <v>95</v>
      </c>
      <c r="D13" s="15"/>
      <c r="E13" s="15"/>
    </row>
    <row r="14" spans="1:5" x14ac:dyDescent="0.3">
      <c r="A14" s="15" t="s">
        <v>100</v>
      </c>
      <c r="B14" s="15">
        <f>B12/B13</f>
        <v>2.7598197144828807E-2</v>
      </c>
      <c r="C14" s="15"/>
      <c r="D14" s="15"/>
      <c r="E14" s="15"/>
    </row>
    <row r="16" spans="1:5" x14ac:dyDescent="0.3">
      <c r="A16" s="15" t="s">
        <v>101</v>
      </c>
      <c r="B16" s="5" t="s">
        <v>102</v>
      </c>
      <c r="C16" s="15" t="s">
        <v>103</v>
      </c>
      <c r="D16" s="15" t="s">
        <v>104</v>
      </c>
      <c r="E16" s="15"/>
    </row>
    <row r="17" spans="1:6" x14ac:dyDescent="0.3">
      <c r="A17" s="15" t="s">
        <v>5</v>
      </c>
      <c r="B17" s="15">
        <v>0</v>
      </c>
      <c r="C17" s="15">
        <v>0.85</v>
      </c>
      <c r="D17" s="15">
        <f>Foglio1!C2</f>
        <v>1.7</v>
      </c>
      <c r="E17" s="15"/>
      <c r="F17" s="15"/>
    </row>
    <row r="18" spans="1:6" x14ac:dyDescent="0.3">
      <c r="A18" s="15" t="s">
        <v>9</v>
      </c>
      <c r="B18" s="15">
        <v>1.4999999999999999E-2</v>
      </c>
      <c r="C18" s="15">
        <v>0.78</v>
      </c>
      <c r="D18" s="15">
        <f>Foglio1!C3</f>
        <v>1.9</v>
      </c>
      <c r="E18" s="15"/>
      <c r="F18" s="15"/>
    </row>
    <row r="19" spans="1:6" x14ac:dyDescent="0.3">
      <c r="A19" s="15" t="s">
        <v>16</v>
      </c>
      <c r="B19" s="15">
        <v>6.9000000000000006E-2</v>
      </c>
      <c r="C19" s="15">
        <v>0.73</v>
      </c>
      <c r="D19" s="15">
        <f>Foglio1!C6</f>
        <v>2.5</v>
      </c>
      <c r="E19" s="15"/>
      <c r="F19" s="15"/>
    </row>
    <row r="20" spans="1:6" x14ac:dyDescent="0.3">
      <c r="A20" s="15" t="s">
        <v>105</v>
      </c>
      <c r="B20" s="15">
        <v>1.9E-2</v>
      </c>
      <c r="C20" s="15"/>
      <c r="D20" s="15"/>
      <c r="E20" s="15" t="s">
        <v>106</v>
      </c>
      <c r="F20" s="15"/>
    </row>
    <row r="21" spans="1:6" x14ac:dyDescent="0.3">
      <c r="A21" s="1" t="s">
        <v>107</v>
      </c>
      <c r="B21" s="1">
        <v>5.0000000000000001E-3</v>
      </c>
      <c r="C21" s="15"/>
      <c r="D21" s="15"/>
      <c r="E21" s="15"/>
      <c r="F21" s="15"/>
    </row>
    <row r="25" spans="1:6" x14ac:dyDescent="0.3">
      <c r="A25" s="15" t="s">
        <v>66</v>
      </c>
      <c r="B25" s="15" t="s">
        <v>108</v>
      </c>
      <c r="C25" s="15" t="s">
        <v>109</v>
      </c>
      <c r="D25" s="15" t="s">
        <v>110</v>
      </c>
      <c r="E25" s="15" t="s">
        <v>111</v>
      </c>
      <c r="F25" s="15" t="s">
        <v>112</v>
      </c>
    </row>
    <row r="26" spans="1:6" x14ac:dyDescent="0.3">
      <c r="A26" s="15">
        <v>-1</v>
      </c>
      <c r="B26" s="15">
        <f>$B$14+A26^2/(PI()*Foglio1!$N$18*$C$17)</f>
        <v>5.9696673062521986E-2</v>
      </c>
      <c r="C26" s="15">
        <f>$B$18+$B$14+$A26^2/(PI()*Foglio1!$N$18*$C$18)</f>
        <v>7.7577305516673939E-2</v>
      </c>
      <c r="D26" s="15">
        <f>C26+$B$20</f>
        <v>9.6577305516673942E-2</v>
      </c>
      <c r="E26" s="15">
        <f>$B$19+$B$14+$A26^2/(PI()*Foglio1!$N$18*$C$19)</f>
        <v>0.1339731348572113</v>
      </c>
      <c r="F26" s="15">
        <f>$E26+$B$20</f>
        <v>0.15297313485721128</v>
      </c>
    </row>
    <row r="27" spans="1:6" x14ac:dyDescent="0.3">
      <c r="A27" s="15">
        <v>-0.9</v>
      </c>
      <c r="B27" s="15">
        <f>$B$14+A27^2/(PI()*Foglio1!$N$18*$C$17)</f>
        <v>5.3597962638160287E-2</v>
      </c>
      <c r="C27" s="15">
        <f>$B$18+$B$14+$A27^2/(PI()*Foglio1!$N$18*$C$18)</f>
        <v>7.0931274926023358E-2</v>
      </c>
      <c r="D27" s="15">
        <f t="shared" ref="D27:D65" si="0">C27+$B$20</f>
        <v>8.9931274926023361E-2</v>
      </c>
      <c r="E27" s="15">
        <f>$B$19+$B$14+$A27^2/(PI()*Foglio1!$N$18*$C$19)</f>
        <v>0.12687189669185861</v>
      </c>
      <c r="F27" s="15">
        <f t="shared" ref="F27:F65" si="1">$E27+$B$20</f>
        <v>0.1458718966918586</v>
      </c>
    </row>
    <row r="28" spans="1:6" x14ac:dyDescent="0.3">
      <c r="A28" s="15">
        <v>-0.8</v>
      </c>
      <c r="B28" s="15">
        <f>$B$14+A28^2/(PI()*Foglio1!$N$18*$C$17)</f>
        <v>4.8141221732152448E-2</v>
      </c>
      <c r="C28" s="15">
        <f>$B$18+$B$14+$A28^2/(PI()*Foglio1!$N$18*$C$18)</f>
        <v>6.4984826502809692E-2</v>
      </c>
      <c r="D28" s="15">
        <f t="shared" si="0"/>
        <v>8.3984826502809695E-2</v>
      </c>
      <c r="E28" s="15">
        <f>$B$19+$B$14+$A28^2/(PI()*Foglio1!$N$18*$C$19)</f>
        <v>0.1205181572807536</v>
      </c>
      <c r="F28" s="15">
        <f t="shared" si="1"/>
        <v>0.13951815728075359</v>
      </c>
    </row>
    <row r="29" spans="1:6" x14ac:dyDescent="0.3">
      <c r="A29" s="15">
        <v>-0.7</v>
      </c>
      <c r="B29" s="15">
        <f>$B$14+A29^2/(PI()*Foglio1!$N$18*$C$17)</f>
        <v>4.332645034449846E-2</v>
      </c>
      <c r="C29" s="15">
        <f>$B$18+$B$14+$A29^2/(PI()*Foglio1!$N$18*$C$18)</f>
        <v>5.9737960247032915E-2</v>
      </c>
      <c r="D29" s="15">
        <f t="shared" si="0"/>
        <v>7.8737960247032918E-2</v>
      </c>
      <c r="E29" s="15">
        <f>$B$19+$B$14+$A29^2/(PI()*Foglio1!$N$18*$C$19)</f>
        <v>0.11491191662389622</v>
      </c>
      <c r="F29" s="15">
        <f t="shared" si="1"/>
        <v>0.1339119166238962</v>
      </c>
    </row>
    <row r="30" spans="1:6" x14ac:dyDescent="0.3">
      <c r="A30" s="15">
        <v>-0.6</v>
      </c>
      <c r="B30" s="15">
        <f>$B$14+A30^2/(PI()*Foglio1!$N$18*$C$17)</f>
        <v>3.9153648475198352E-2</v>
      </c>
      <c r="C30" s="15">
        <f>$B$18+$B$14+$A30^2/(PI()*Foglio1!$N$18*$C$18)</f>
        <v>5.5190676158693053E-2</v>
      </c>
      <c r="D30" s="15">
        <f t="shared" si="0"/>
        <v>7.4190676158693056E-2</v>
      </c>
      <c r="E30" s="15">
        <f>$B$19+$B$14+$A30^2/(PI()*Foglio1!$N$18*$C$19)</f>
        <v>0.11005317472128651</v>
      </c>
      <c r="F30" s="15">
        <f t="shared" si="1"/>
        <v>0.1290531747212865</v>
      </c>
    </row>
    <row r="31" spans="1:6" x14ac:dyDescent="0.3">
      <c r="A31" s="15">
        <v>-0.5</v>
      </c>
      <c r="B31" s="15">
        <f>$B$14+A31^2/(PI()*Foglio1!$N$18*$C$17)</f>
        <v>3.5622816124252103E-2</v>
      </c>
      <c r="C31" s="15">
        <f>$B$18+$B$14+$A31^2/(PI()*Foglio1!$N$18*$C$18)</f>
        <v>5.1342974237790086E-2</v>
      </c>
      <c r="D31" s="15">
        <f t="shared" si="0"/>
        <v>7.0342974237790082E-2</v>
      </c>
      <c r="E31" s="15">
        <f>$B$19+$B$14+$A31^2/(PI()*Foglio1!$N$18*$C$19)</f>
        <v>0.10594193157292443</v>
      </c>
      <c r="F31" s="15">
        <f t="shared" si="1"/>
        <v>0.12494193157292444</v>
      </c>
    </row>
    <row r="32" spans="1:6" x14ac:dyDescent="0.3">
      <c r="A32" s="15">
        <v>-0.4</v>
      </c>
      <c r="B32" s="15">
        <f>$B$14+A32^2/(PI()*Foglio1!$N$18*$C$17)</f>
        <v>3.2733953291659713E-2</v>
      </c>
      <c r="C32" s="15">
        <f>$B$18+$B$14+$A32^2/(PI()*Foglio1!$N$18*$C$18)</f>
        <v>4.8194854484324028E-2</v>
      </c>
      <c r="D32" s="15">
        <f t="shared" si="0"/>
        <v>6.7194854484324024E-2</v>
      </c>
      <c r="E32" s="15">
        <f>$B$19+$B$14+$A32^2/(PI()*Foglio1!$N$18*$C$19)</f>
        <v>0.10257818717881001</v>
      </c>
      <c r="F32" s="15">
        <f t="shared" si="1"/>
        <v>0.12157818717881001</v>
      </c>
    </row>
    <row r="33" spans="1:6" x14ac:dyDescent="0.3">
      <c r="A33" s="15">
        <v>-0.3</v>
      </c>
      <c r="B33" s="15">
        <f>$B$14+A33^2/(PI()*Foglio1!$N$18*$C$17)</f>
        <v>3.0487059977421193E-2</v>
      </c>
      <c r="C33" s="15">
        <f>$B$18+$B$14+$A33^2/(PI()*Foglio1!$N$18*$C$18)</f>
        <v>4.5746316898294864E-2</v>
      </c>
      <c r="D33" s="15">
        <f t="shared" si="0"/>
        <v>6.4746316898294867E-2</v>
      </c>
      <c r="E33" s="15">
        <f>$B$19+$B$14+$A33^2/(PI()*Foglio1!$N$18*$C$19)</f>
        <v>9.9961941538943236E-2</v>
      </c>
      <c r="F33" s="15">
        <f t="shared" si="1"/>
        <v>0.11896194153894324</v>
      </c>
    </row>
    <row r="34" spans="1:6" x14ac:dyDescent="0.3">
      <c r="A34" s="15">
        <v>-0.2</v>
      </c>
      <c r="B34" s="15">
        <f>$B$14+A34^2/(PI()*Foglio1!$N$18*$C$17)</f>
        <v>2.8882136181536535E-2</v>
      </c>
      <c r="C34" s="15">
        <f>$B$18+$B$14+$A34^2/(PI()*Foglio1!$N$18*$C$18)</f>
        <v>4.399736147970261E-2</v>
      </c>
      <c r="D34" s="15">
        <f t="shared" si="0"/>
        <v>6.2997361479702613E-2</v>
      </c>
      <c r="E34" s="15">
        <f>$B$19+$B$14+$A34^2/(PI()*Foglio1!$N$18*$C$19)</f>
        <v>9.8093194653324112E-2</v>
      </c>
      <c r="F34" s="15">
        <f t="shared" si="1"/>
        <v>0.11709319465332411</v>
      </c>
    </row>
    <row r="35" spans="1:6" x14ac:dyDescent="0.3">
      <c r="A35" s="15">
        <v>-0.1</v>
      </c>
      <c r="B35" s="15">
        <f>$B$14+A35^2/(PI()*Foglio1!$N$18*$C$17)</f>
        <v>2.791918190400574E-2</v>
      </c>
      <c r="C35" s="15">
        <f>$B$18+$B$14+$A35^2/(PI()*Foglio1!$N$18*$C$18)</f>
        <v>4.2947988228547257E-2</v>
      </c>
      <c r="D35" s="15">
        <f t="shared" si="0"/>
        <v>6.194798822854726E-2</v>
      </c>
      <c r="E35" s="15">
        <f>$B$19+$B$14+$A35^2/(PI()*Foglio1!$N$18*$C$19)</f>
        <v>9.6971946521952637E-2</v>
      </c>
      <c r="F35" s="15">
        <f t="shared" si="1"/>
        <v>0.11597194652195264</v>
      </c>
    </row>
    <row r="36" spans="1:6" x14ac:dyDescent="0.3">
      <c r="A36" s="15">
        <v>0</v>
      </c>
      <c r="B36" s="15">
        <f>$B$14+A36^2/(PI()*Foglio1!$N$18*$C$17)</f>
        <v>2.7598197144828807E-2</v>
      </c>
      <c r="C36" s="15">
        <f>$B$18+$B$14+$A36^2/(PI()*Foglio1!$N$18*$C$18)</f>
        <v>4.2598197144828806E-2</v>
      </c>
      <c r="D36" s="15">
        <f t="shared" si="0"/>
        <v>6.1598197144828809E-2</v>
      </c>
      <c r="E36" s="15">
        <f>$B$19+$B$14+$A36^2/(PI()*Foglio1!$N$18*$C$19)</f>
        <v>9.6598197144828812E-2</v>
      </c>
      <c r="F36" s="15">
        <f t="shared" si="1"/>
        <v>0.11559819714482882</v>
      </c>
    </row>
    <row r="37" spans="1:6" x14ac:dyDescent="0.3">
      <c r="A37" s="15">
        <v>0.1</v>
      </c>
      <c r="B37" s="15">
        <f>$B$14+A37^2/(PI()*Foglio1!$N$18*$C$17)</f>
        <v>2.791918190400574E-2</v>
      </c>
      <c r="C37" s="15">
        <f>$B$18+$B$14+$A37^2/(PI()*Foglio1!$N$18*$C$18)</f>
        <v>4.2947988228547257E-2</v>
      </c>
      <c r="D37" s="15">
        <f t="shared" si="0"/>
        <v>6.194798822854726E-2</v>
      </c>
      <c r="E37" s="15">
        <f>$B$19+$B$14+$A37^2/(PI()*Foglio1!$N$18*$C$19)</f>
        <v>9.6971946521952637E-2</v>
      </c>
      <c r="F37" s="15">
        <f t="shared" si="1"/>
        <v>0.11597194652195264</v>
      </c>
    </row>
    <row r="38" spans="1:6" x14ac:dyDescent="0.3">
      <c r="A38" s="15">
        <v>0.2</v>
      </c>
      <c r="B38" s="15">
        <f>$B$14+A38^2/(PI()*Foglio1!$N$18*$C$17)</f>
        <v>2.8882136181536535E-2</v>
      </c>
      <c r="C38" s="15">
        <f>$B$18+$B$14+$A38^2/(PI()*Foglio1!$N$18*$C$18)</f>
        <v>4.399736147970261E-2</v>
      </c>
      <c r="D38" s="15">
        <f t="shared" si="0"/>
        <v>6.2997361479702613E-2</v>
      </c>
      <c r="E38" s="15">
        <f>$B$19+$B$14+$A38^2/(PI()*Foglio1!$N$18*$C$19)</f>
        <v>9.8093194653324112E-2</v>
      </c>
      <c r="F38" s="15">
        <f t="shared" si="1"/>
        <v>0.11709319465332411</v>
      </c>
    </row>
    <row r="39" spans="1:6" x14ac:dyDescent="0.3">
      <c r="A39" s="15">
        <v>0.3</v>
      </c>
      <c r="B39" s="15">
        <f>$B$14+A39^2/(PI()*Foglio1!$N$18*$C$17)</f>
        <v>3.0487059977421193E-2</v>
      </c>
      <c r="C39" s="15">
        <f>$B$18+$B$14+$A39^2/(PI()*Foglio1!$N$18*$C$18)</f>
        <v>4.5746316898294864E-2</v>
      </c>
      <c r="D39" s="15">
        <f t="shared" si="0"/>
        <v>6.4746316898294867E-2</v>
      </c>
      <c r="E39" s="15">
        <f>$B$19+$B$14+$A39^2/(PI()*Foglio1!$N$18*$C$19)</f>
        <v>9.9961941538943236E-2</v>
      </c>
      <c r="F39" s="15">
        <f t="shared" si="1"/>
        <v>0.11896194153894324</v>
      </c>
    </row>
    <row r="40" spans="1:6" x14ac:dyDescent="0.3">
      <c r="A40" s="15">
        <v>0.4</v>
      </c>
      <c r="B40" s="15">
        <f>$B$14+A40^2/(PI()*Foglio1!$N$18*$C$17)</f>
        <v>3.2733953291659713E-2</v>
      </c>
      <c r="C40" s="15">
        <f>$B$18+$B$14+$A40^2/(PI()*Foglio1!$N$18*$C$18)</f>
        <v>4.8194854484324028E-2</v>
      </c>
      <c r="D40" s="15">
        <f t="shared" si="0"/>
        <v>6.7194854484324024E-2</v>
      </c>
      <c r="E40" s="15">
        <f>$B$19+$B$14+$A40^2/(PI()*Foglio1!$N$18*$C$19)</f>
        <v>0.10257818717881001</v>
      </c>
      <c r="F40" s="15">
        <f t="shared" si="1"/>
        <v>0.12157818717881001</v>
      </c>
    </row>
    <row r="41" spans="1:6" x14ac:dyDescent="0.3">
      <c r="A41" s="15">
        <v>0.5</v>
      </c>
      <c r="B41" s="15">
        <f>$B$14+A41^2/(PI()*Foglio1!$N$18*$C$17)</f>
        <v>3.5622816124252103E-2</v>
      </c>
      <c r="C41" s="15">
        <f>$B$18+$B$14+$A41^2/(PI()*Foglio1!$N$18*$C$18)</f>
        <v>5.1342974237790086E-2</v>
      </c>
      <c r="D41" s="15">
        <f t="shared" si="0"/>
        <v>7.0342974237790082E-2</v>
      </c>
      <c r="E41" s="15">
        <f>$B$19+$B$14+$A41^2/(PI()*Foglio1!$N$18*$C$19)</f>
        <v>0.10594193157292443</v>
      </c>
      <c r="F41" s="15">
        <f t="shared" si="1"/>
        <v>0.12494193157292444</v>
      </c>
    </row>
    <row r="42" spans="1:6" x14ac:dyDescent="0.3">
      <c r="A42" s="15">
        <v>0.6</v>
      </c>
      <c r="B42" s="15">
        <f>$B$14+A42^2/(PI()*Foglio1!$N$18*$C$17)</f>
        <v>3.9153648475198352E-2</v>
      </c>
      <c r="C42" s="15">
        <f>$B$18+$B$14+$A42^2/(PI()*Foglio1!$N$18*$C$18)</f>
        <v>5.5190676158693053E-2</v>
      </c>
      <c r="D42" s="15">
        <f t="shared" si="0"/>
        <v>7.4190676158693056E-2</v>
      </c>
      <c r="E42" s="15">
        <f>$B$19+$B$14+$A42^2/(PI()*Foglio1!$N$18*$C$19)</f>
        <v>0.11005317472128651</v>
      </c>
      <c r="F42" s="15">
        <f t="shared" si="1"/>
        <v>0.1290531747212865</v>
      </c>
    </row>
    <row r="43" spans="1:6" x14ac:dyDescent="0.3">
      <c r="A43" s="15">
        <v>0.7</v>
      </c>
      <c r="B43" s="15">
        <f>$B$14+A43^2/(PI()*Foglio1!$N$18*$C$17)</f>
        <v>4.332645034449846E-2</v>
      </c>
      <c r="C43" s="15">
        <f>$B$18+$B$14+$A43^2/(PI()*Foglio1!$N$18*$C$18)</f>
        <v>5.9737960247032915E-2</v>
      </c>
      <c r="D43" s="15">
        <f t="shared" si="0"/>
        <v>7.8737960247032918E-2</v>
      </c>
      <c r="E43" s="15">
        <f>$B$19+$B$14+$A43^2/(PI()*Foglio1!$N$18*$C$19)</f>
        <v>0.11491191662389622</v>
      </c>
      <c r="F43" s="15">
        <f t="shared" si="1"/>
        <v>0.1339119166238962</v>
      </c>
    </row>
    <row r="44" spans="1:6" x14ac:dyDescent="0.3">
      <c r="A44" s="15">
        <v>0.8</v>
      </c>
      <c r="B44" s="15">
        <f>$B$14+A44^2/(PI()*Foglio1!$N$18*$C$17)</f>
        <v>4.8141221732152448E-2</v>
      </c>
      <c r="C44" s="15">
        <f>$B$18+$B$14+$A44^2/(PI()*Foglio1!$N$18*$C$18)</f>
        <v>6.4984826502809692E-2</v>
      </c>
      <c r="D44" s="15">
        <f t="shared" si="0"/>
        <v>8.3984826502809695E-2</v>
      </c>
      <c r="E44" s="15">
        <f>$B$19+$B$14+$A44^2/(PI()*Foglio1!$N$18*$C$19)</f>
        <v>0.1205181572807536</v>
      </c>
      <c r="F44" s="15">
        <f t="shared" si="1"/>
        <v>0.13951815728075359</v>
      </c>
    </row>
    <row r="45" spans="1:6" x14ac:dyDescent="0.3">
      <c r="A45" s="15">
        <v>0.9</v>
      </c>
      <c r="B45" s="15">
        <f>$B$14+A45^2/(PI()*Foglio1!$N$18*$C$17)</f>
        <v>5.3597962638160287E-2</v>
      </c>
      <c r="C45" s="15">
        <f>$B$18+$B$14+$A45^2/(PI()*Foglio1!$N$18*$C$18)</f>
        <v>7.0931274926023358E-2</v>
      </c>
      <c r="D45" s="15">
        <f t="shared" si="0"/>
        <v>8.9931274926023361E-2</v>
      </c>
      <c r="E45" s="15">
        <f>$B$19+$B$14+$A45^2/(PI()*Foglio1!$N$18*$C$19)</f>
        <v>0.12687189669185861</v>
      </c>
      <c r="F45" s="15">
        <f t="shared" si="1"/>
        <v>0.1458718966918586</v>
      </c>
    </row>
    <row r="46" spans="1:6" x14ac:dyDescent="0.3">
      <c r="A46" s="15">
        <v>1</v>
      </c>
      <c r="B46" s="15">
        <f>$B$14+A46^2/(PI()*Foglio1!$N$18*$C$17)</f>
        <v>5.9696673062521986E-2</v>
      </c>
      <c r="C46" s="15">
        <f>$B$18+$B$14+$A46^2/(PI()*Foglio1!$N$18*$C$18)</f>
        <v>7.7577305516673939E-2</v>
      </c>
      <c r="D46" s="15">
        <f t="shared" si="0"/>
        <v>9.6577305516673942E-2</v>
      </c>
      <c r="E46" s="15">
        <f>$B$19+$B$14+$A46^2/(PI()*Foglio1!$N$18*$C$19)</f>
        <v>0.1339731348572113</v>
      </c>
      <c r="F46" s="15">
        <f t="shared" si="1"/>
        <v>0.15297313485721128</v>
      </c>
    </row>
    <row r="47" spans="1:6" x14ac:dyDescent="0.3">
      <c r="A47" s="15">
        <v>1.1000000000000001</v>
      </c>
      <c r="B47" s="15">
        <f>$B$14+A47^2/(PI()*Foglio1!$N$18*$C$17)</f>
        <v>6.6437353005237565E-2</v>
      </c>
      <c r="C47" s="15">
        <f>$B$18+$B$14+$A47^2/(PI()*Foglio1!$N$18*$C$18)</f>
        <v>8.4922918274761422E-2</v>
      </c>
      <c r="D47" s="15">
        <f t="shared" si="0"/>
        <v>0.10392291827476142</v>
      </c>
      <c r="E47" s="15">
        <f>$B$19+$B$14+$A47^2/(PI()*Foglio1!$N$18*$C$19)</f>
        <v>0.1418218717768116</v>
      </c>
      <c r="F47" s="15">
        <f t="shared" si="1"/>
        <v>0.16082187177681159</v>
      </c>
    </row>
    <row r="48" spans="1:6" x14ac:dyDescent="0.3">
      <c r="A48" s="15">
        <v>1.2</v>
      </c>
      <c r="B48" s="15">
        <f>$B$14+A48^2/(PI()*Foglio1!$N$18*$C$17)</f>
        <v>7.3820002466306989E-2</v>
      </c>
      <c r="C48" s="15">
        <f>$B$18+$B$14+$A48^2/(PI()*Foglio1!$N$18*$C$18)</f>
        <v>9.2968113200285779E-2</v>
      </c>
      <c r="D48" s="15">
        <f t="shared" si="0"/>
        <v>0.11196811320028578</v>
      </c>
      <c r="E48" s="15">
        <f>$B$19+$B$14+$A48^2/(PI()*Foglio1!$N$18*$C$19)</f>
        <v>0.15041810745065956</v>
      </c>
      <c r="F48" s="15">
        <f t="shared" si="1"/>
        <v>0.16941810745065955</v>
      </c>
    </row>
    <row r="49" spans="1:6" x14ac:dyDescent="0.3">
      <c r="A49" s="15">
        <v>1.3</v>
      </c>
      <c r="B49" s="15">
        <f>$B$14+A49^2/(PI()*Foglio1!$N$18*$C$17)</f>
        <v>8.1844621445730292E-2</v>
      </c>
      <c r="C49" s="15">
        <f>$B$18+$B$14+$A49^2/(PI()*Foglio1!$N$18*$C$18)</f>
        <v>0.10171289029324708</v>
      </c>
      <c r="D49" s="15">
        <f>C49+$B$20</f>
        <v>0.12071289029324708</v>
      </c>
      <c r="E49" s="15">
        <f>$B$19+$B$14+$A49^2/(PI()*Foglio1!$N$18*$C$19)</f>
        <v>0.1597618418787552</v>
      </c>
      <c r="F49" s="15">
        <f t="shared" si="1"/>
        <v>0.17876184187875518</v>
      </c>
    </row>
    <row r="50" spans="1:6" x14ac:dyDescent="0.3">
      <c r="A50" s="15">
        <v>1.4</v>
      </c>
      <c r="B50" s="15">
        <f>$B$14+A50^2/(PI()*Foglio1!$N$18*$C$17)</f>
        <v>9.0511209943507434E-2</v>
      </c>
      <c r="C50" s="15">
        <f>$B$18+$B$14+$A50^2/(PI()*Foglio1!$N$18*$C$18)</f>
        <v>0.11115724955364525</v>
      </c>
      <c r="D50" s="15">
        <f t="shared" si="0"/>
        <v>0.13015724955364524</v>
      </c>
      <c r="E50" s="15">
        <f>$B$19+$B$14+$A50^2/(PI()*Foglio1!$N$18*$C$19)</f>
        <v>0.16985307506109842</v>
      </c>
      <c r="F50" s="15">
        <f t="shared" si="1"/>
        <v>0.18885307506109841</v>
      </c>
    </row>
    <row r="51" spans="1:6" x14ac:dyDescent="0.3">
      <c r="A51" s="15">
        <v>1.5</v>
      </c>
      <c r="B51" s="15">
        <f>$B$14+A51^2/(PI()*Foglio1!$N$18*$C$17)</f>
        <v>9.9819767959638456E-2</v>
      </c>
      <c r="C51" s="15">
        <f>$B$18+$B$14+$A51^2/(PI()*Foglio1!$N$18*$C$18)</f>
        <v>0.12130119098148034</v>
      </c>
      <c r="D51" s="15">
        <f t="shared" si="0"/>
        <v>0.14030119098148033</v>
      </c>
      <c r="E51" s="15">
        <f>$B$19+$B$14+$A51^2/(PI()*Foglio1!$N$18*$C$19)</f>
        <v>0.18069180699768939</v>
      </c>
      <c r="F51" s="15">
        <f t="shared" si="1"/>
        <v>0.19969180699768938</v>
      </c>
    </row>
    <row r="52" spans="1:6" x14ac:dyDescent="0.3">
      <c r="A52" s="15">
        <v>1.6</v>
      </c>
      <c r="B52" s="15">
        <f>$B$14+A52^2/(PI()*Foglio1!$N$18*$C$17)</f>
        <v>0.10977029549412336</v>
      </c>
      <c r="C52" s="15">
        <f>$B$18+$B$14+$A52^2/(PI()*Foglio1!$N$18*$C$18)</f>
        <v>0.13214471457675236</v>
      </c>
      <c r="D52" s="15">
        <f t="shared" si="0"/>
        <v>0.15114471457675235</v>
      </c>
      <c r="E52" s="15">
        <f>$B$19+$B$14+$A52^2/(PI()*Foglio1!$N$18*$C$19)</f>
        <v>0.19227803768852797</v>
      </c>
      <c r="F52" s="15">
        <f t="shared" si="1"/>
        <v>0.21127803768852796</v>
      </c>
    </row>
    <row r="53" spans="1:6" x14ac:dyDescent="0.3">
      <c r="A53" s="15">
        <v>1.7</v>
      </c>
      <c r="B53" s="15">
        <f>$B$14+A53^2/(PI()*Foglio1!$N$18*$C$17)</f>
        <v>0.12036279254696208</v>
      </c>
      <c r="C53" s="15">
        <f>$B$18+$B$14+$A53^2/(PI()*Foglio1!$N$18*$C$18)</f>
        <v>0.1436878203394612</v>
      </c>
      <c r="D53" s="15">
        <f t="shared" si="0"/>
        <v>0.16268782033946119</v>
      </c>
      <c r="E53" s="15">
        <f>$B$19+$B$14+$A53^2/(PI()*Foglio1!$N$18*$C$19)</f>
        <v>0.20461176713361412</v>
      </c>
      <c r="F53" s="15">
        <f t="shared" si="1"/>
        <v>0.22361176713361411</v>
      </c>
    </row>
    <row r="54" spans="1:6" x14ac:dyDescent="0.3">
      <c r="A54" s="15">
        <v>1.8</v>
      </c>
      <c r="B54" s="15">
        <f>$B$14+A54^2/(PI()*Foglio1!$N$18*$C$17)</f>
        <v>0.13159725911815473</v>
      </c>
      <c r="C54" s="15">
        <f>$B$18+$B$14+$A54^2/(PI()*Foglio1!$N$18*$C$18)</f>
        <v>0.15593050826960703</v>
      </c>
      <c r="D54" s="15">
        <f t="shared" si="0"/>
        <v>0.17493050826960702</v>
      </c>
      <c r="E54" s="15">
        <f>$B$19+$B$14+$A54^2/(PI()*Foglio1!$N$18*$C$19)</f>
        <v>0.217692995332948</v>
      </c>
      <c r="F54" s="15">
        <f t="shared" si="1"/>
        <v>0.23669299533294799</v>
      </c>
    </row>
    <row r="55" spans="1:6" x14ac:dyDescent="0.3">
      <c r="A55" s="15">
        <v>1.9</v>
      </c>
      <c r="B55" s="15">
        <f>$B$14+A55^2/(PI()*Foglio1!$N$18*$C$17)</f>
        <v>0.1434736952077012</v>
      </c>
      <c r="C55" s="15">
        <f>$B$18+$B$14+$A55^2/(PI()*Foglio1!$N$18*$C$18)</f>
        <v>0.16887277836718972</v>
      </c>
      <c r="D55" s="15">
        <f t="shared" si="0"/>
        <v>0.18787277836718971</v>
      </c>
      <c r="E55" s="15">
        <f>$B$19+$B$14+$A55^2/(PI()*Foglio1!$N$18*$C$19)</f>
        <v>0.23152172228652954</v>
      </c>
      <c r="F55" s="15">
        <f t="shared" si="1"/>
        <v>0.25052172228652952</v>
      </c>
    </row>
    <row r="56" spans="1:6" x14ac:dyDescent="0.3">
      <c r="A56" s="15">
        <v>2</v>
      </c>
      <c r="B56" s="15">
        <f>$B$14+A56^2/(PI()*Foglio1!$N$18*$C$17)</f>
        <v>0.15599210081560153</v>
      </c>
      <c r="C56" s="15">
        <f>$B$18+$B$14+$A56^2/(PI()*Foglio1!$N$18*$C$18)</f>
        <v>0.1825146306322093</v>
      </c>
      <c r="D56" s="15">
        <f t="shared" si="0"/>
        <v>0.20151463063220929</v>
      </c>
      <c r="E56" s="15">
        <f>$B$19+$B$14+$A56^2/(PI()*Foglio1!$N$18*$C$19)</f>
        <v>0.24609794799435869</v>
      </c>
      <c r="F56" s="15">
        <f t="shared" si="1"/>
        <v>0.26509794799435871</v>
      </c>
    </row>
    <row r="57" spans="1:6" x14ac:dyDescent="0.3">
      <c r="A57" s="15">
        <v>2.1</v>
      </c>
      <c r="B57" s="15">
        <f>$B$14+A57^2/(PI()*Foglio1!$N$18*$C$17)</f>
        <v>0.16915247594185573</v>
      </c>
      <c r="C57" s="15">
        <f>$B$18+$B$14+$A57^2/(PI()*Foglio1!$N$18*$C$18)</f>
        <v>0.19685606506466585</v>
      </c>
      <c r="D57" s="15">
        <f t="shared" si="0"/>
        <v>0.21585606506466584</v>
      </c>
      <c r="E57" s="15">
        <f>$B$19+$B$14+$A57^2/(PI()*Foglio1!$N$18*$C$19)</f>
        <v>0.26142167245643555</v>
      </c>
      <c r="F57" s="15">
        <f t="shared" si="1"/>
        <v>0.28042167245643557</v>
      </c>
    </row>
    <row r="58" spans="1:6" x14ac:dyDescent="0.3">
      <c r="A58" s="15">
        <v>2.2000000000000002</v>
      </c>
      <c r="B58" s="15">
        <f>$B$14+A58^2/(PI()*Foglio1!$N$18*$C$17)</f>
        <v>0.18295482058646381</v>
      </c>
      <c r="C58" s="15">
        <f>$B$18+$B$14+$A58^2/(PI()*Foglio1!$N$18*$C$18)</f>
        <v>0.21189708166455923</v>
      </c>
      <c r="D58" s="15">
        <f t="shared" si="0"/>
        <v>0.23089708166455922</v>
      </c>
      <c r="E58" s="15">
        <f>$B$19+$B$14+$A58^2/(PI()*Foglio1!$N$18*$C$19)</f>
        <v>0.27749289567276003</v>
      </c>
      <c r="F58" s="15">
        <f t="shared" si="1"/>
        <v>0.29649289567276005</v>
      </c>
    </row>
    <row r="59" spans="1:6" x14ac:dyDescent="0.3">
      <c r="A59" s="15">
        <v>2.2999999999999998</v>
      </c>
      <c r="B59" s="15">
        <f>$B$14+A59^2/(PI()*Foglio1!$N$18*$C$17)</f>
        <v>0.19739913474942569</v>
      </c>
      <c r="C59" s="15">
        <f>$B$18+$B$14+$A59^2/(PI()*Foglio1!$N$18*$C$18)</f>
        <v>0.22763768043188948</v>
      </c>
      <c r="D59" s="15">
        <f t="shared" si="0"/>
        <v>0.24663768043188947</v>
      </c>
      <c r="E59" s="15">
        <f>$B$19+$B$14+$A59^2/(PI()*Foglio1!$N$18*$C$19)</f>
        <v>0.29431161764333202</v>
      </c>
      <c r="F59" s="15">
        <f t="shared" si="1"/>
        <v>0.31331161764333204</v>
      </c>
    </row>
    <row r="60" spans="1:6" x14ac:dyDescent="0.3">
      <c r="A60" s="15">
        <v>2.4</v>
      </c>
      <c r="B60" s="15">
        <f>$B$14+A60^2/(PI()*Foglio1!$N$18*$C$17)</f>
        <v>0.21248541843074151</v>
      </c>
      <c r="C60" s="15">
        <f>$B$18+$B$14+$A60^2/(PI()*Foglio1!$N$18*$C$18)</f>
        <v>0.24407786136665671</v>
      </c>
      <c r="D60" s="15">
        <f t="shared" si="0"/>
        <v>0.26307786136665673</v>
      </c>
      <c r="E60" s="15">
        <f>$B$19+$B$14+$A60^2/(PI()*Foglio1!$N$18*$C$19)</f>
        <v>0.31187783836815186</v>
      </c>
      <c r="F60" s="15">
        <f t="shared" si="1"/>
        <v>0.33087783836815188</v>
      </c>
    </row>
    <row r="61" spans="1:6" x14ac:dyDescent="0.3">
      <c r="A61" s="15">
        <v>2.5</v>
      </c>
      <c r="B61" s="15">
        <f>$B$14+A61^2/(PI()*Foglio1!$N$18*$C$17)</f>
        <v>0.22821367163041117</v>
      </c>
      <c r="C61" s="15">
        <f>$B$18+$B$14+$A61^2/(PI()*Foglio1!$N$18*$C$18)</f>
        <v>0.26121762446886088</v>
      </c>
      <c r="D61" s="15">
        <f t="shared" si="0"/>
        <v>0.28021762446886089</v>
      </c>
      <c r="E61" s="15">
        <f>$B$19+$B$14+$A61^2/(PI()*Foglio1!$N$18*$C$19)</f>
        <v>0.33019155784721921</v>
      </c>
      <c r="F61" s="15">
        <f t="shared" si="1"/>
        <v>0.34919155784721922</v>
      </c>
    </row>
    <row r="62" spans="1:6" x14ac:dyDescent="0.3">
      <c r="A62" s="15">
        <v>2.6</v>
      </c>
      <c r="B62" s="15">
        <f>$B$14+A62^2/(PI()*Foglio1!$N$18*$C$17)</f>
        <v>0.24458389434843472</v>
      </c>
      <c r="C62" s="15">
        <f>$B$18+$B$14+$A62^2/(PI()*Foglio1!$N$18*$C$18)</f>
        <v>0.27905696973850191</v>
      </c>
      <c r="D62" s="15">
        <f t="shared" si="0"/>
        <v>0.29805696973850193</v>
      </c>
      <c r="E62" s="15">
        <f>$B$19+$B$14+$A62^2/(PI()*Foglio1!$N$18*$C$19)</f>
        <v>0.34925277608053434</v>
      </c>
      <c r="F62" s="15">
        <f t="shared" si="1"/>
        <v>0.36825277608053436</v>
      </c>
    </row>
    <row r="63" spans="1:6" x14ac:dyDescent="0.3">
      <c r="A63" s="15">
        <v>2.7</v>
      </c>
      <c r="B63" s="15">
        <f>$B$14+A63^2/(PI()*Foglio1!$N$18*$C$17)</f>
        <v>0.26159608658481215</v>
      </c>
      <c r="C63" s="15">
        <f>$B$18+$B$14+$A63^2/(PI()*Foglio1!$N$18*$C$18)</f>
        <v>0.29759589717557983</v>
      </c>
      <c r="D63" s="15">
        <f t="shared" si="0"/>
        <v>0.31659589717557984</v>
      </c>
      <c r="E63" s="15">
        <f>$B$19+$B$14+$A63^2/(PI()*Foglio1!$N$18*$C$19)</f>
        <v>0.36906149306809705</v>
      </c>
      <c r="F63" s="15">
        <f t="shared" si="1"/>
        <v>0.38806149306809706</v>
      </c>
    </row>
    <row r="64" spans="1:6" x14ac:dyDescent="0.3">
      <c r="A64" s="15">
        <v>2.8</v>
      </c>
      <c r="B64" s="15">
        <f>$B$14+A64^2/(PI()*Foglio1!$N$18*$C$17)</f>
        <v>0.27925024833954332</v>
      </c>
      <c r="C64" s="15">
        <f>$B$18+$B$14+$A64^2/(PI()*Foglio1!$N$18*$C$18)</f>
        <v>0.31683440678009461</v>
      </c>
      <c r="D64" s="15">
        <f t="shared" si="0"/>
        <v>0.33583440678009463</v>
      </c>
      <c r="E64" s="15">
        <f>$B$19+$B$14+$A64^2/(PI()*Foglio1!$N$18*$C$19)</f>
        <v>0.38961770880990731</v>
      </c>
      <c r="F64" s="15">
        <f t="shared" si="1"/>
        <v>0.40861770880990733</v>
      </c>
    </row>
    <row r="65" spans="1:6" x14ac:dyDescent="0.3">
      <c r="A65" s="15">
        <v>2.9</v>
      </c>
      <c r="B65" s="15">
        <f>$B$14+A65^2/(PI()*Foglio1!$N$18*$C$17)</f>
        <v>0.29754637961262848</v>
      </c>
      <c r="C65" s="15">
        <f>$B$18+$B$14+$A65^2/(PI()*Foglio1!$N$18*$C$18)</f>
        <v>0.33677249855204633</v>
      </c>
      <c r="D65" s="15">
        <f t="shared" si="0"/>
        <v>0.35577249855204635</v>
      </c>
      <c r="E65" s="15">
        <f>$B$19+$B$14+$A65^2/(PI()*Foglio1!$N$18*$C$19)</f>
        <v>0.41092142330596537</v>
      </c>
      <c r="F65" s="15">
        <f t="shared" si="1"/>
        <v>0.42992142330596539</v>
      </c>
    </row>
  </sheetData>
  <pageMargins left="0.7" right="0.7" top="0.75" bottom="0.75" header="0.3" footer="0.3"/>
  <drawing r:id="rId1"/>
  <legacy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08E84846488D4458BE2D8F4B0746951" ma:contentTypeVersion="6" ma:contentTypeDescription="Create a new document." ma:contentTypeScope="" ma:versionID="cf6a8a79070229313c8c3f20ef09418a">
  <xsd:schema xmlns:xsd="http://www.w3.org/2001/XMLSchema" xmlns:xs="http://www.w3.org/2001/XMLSchema" xmlns:p="http://schemas.microsoft.com/office/2006/metadata/properties" xmlns:ns2="664daa00-f9ee-454a-b410-a223a7f4a08d" targetNamespace="http://schemas.microsoft.com/office/2006/metadata/properties" ma:root="true" ma:fieldsID="cad3763f404500d9c6913c5ddd1cff95" ns2:_="">
    <xsd:import namespace="664daa00-f9ee-454a-b410-a223a7f4a0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4daa00-f9ee-454a-b410-a223a7f4a0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D94394-E0F4-4329-B789-27DE905A36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6DBAAE-2EE0-48D6-8395-7A5B7EC622D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C5E1F6C-F626-4E6C-BCA0-6A1589628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4daa00-f9ee-454a-b410-a223a7f4a0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Polare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SPOTI</dc:creator>
  <cp:keywords/>
  <dc:description/>
  <cp:lastModifiedBy>miche</cp:lastModifiedBy>
  <cp:revision/>
  <dcterms:created xsi:type="dcterms:W3CDTF">2021-04-19T15:17:04Z</dcterms:created>
  <dcterms:modified xsi:type="dcterms:W3CDTF">2021-06-18T13:46:07Z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0x010100708E84846488D4458BE2D8F4B0746951</vt:lpwstr>
  </property>
</Properties>
</file>