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RCRAFT DESIGN\From github\Aircraft-Design\vertical fin\"/>
    </mc:Choice>
  </mc:AlternateContent>
  <xr:revisionPtr revIDLastSave="0" documentId="8_{043A8E6E-EE8B-4042-A1F3-95C566AD6F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320" sheetId="1" r:id="rId1"/>
    <sheet name="p2012" sheetId="2" r:id="rId2"/>
    <sheet name="Foglio1" sheetId="4" r:id="rId3"/>
    <sheet name="tauv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2" l="1"/>
  <c r="P59" i="2" s="1"/>
  <c r="H59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" i="4"/>
  <c r="A2" i="4"/>
  <c r="T16" i="2"/>
  <c r="B9" i="3"/>
  <c r="B15" i="3"/>
  <c r="B16" i="3"/>
  <c r="B17" i="3"/>
  <c r="B18" i="3"/>
  <c r="B19" i="3"/>
  <c r="B20" i="3"/>
  <c r="B21" i="3"/>
  <c r="B22" i="3"/>
  <c r="B23" i="3"/>
  <c r="B24" i="3"/>
  <c r="B14" i="3"/>
  <c r="B2" i="3"/>
  <c r="B3" i="3"/>
  <c r="B4" i="3"/>
  <c r="B5" i="3"/>
  <c r="B6" i="3"/>
  <c r="B7" i="3"/>
  <c r="B8" i="3"/>
  <c r="B10" i="3"/>
  <c r="B11" i="3"/>
  <c r="B12" i="3"/>
  <c r="B13" i="3"/>
  <c r="B1" i="3"/>
  <c r="F16" i="2"/>
  <c r="B6" i="2"/>
  <c r="D4" i="2"/>
  <c r="D22" i="2" s="1"/>
  <c r="A2" i="3"/>
  <c r="A3" i="3" s="1"/>
  <c r="A4" i="3" s="1"/>
  <c r="A5" i="3" s="1"/>
  <c r="A6" i="3" s="1"/>
  <c r="A7" i="3" s="1"/>
  <c r="A8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F76" i="2"/>
  <c r="F75" i="2"/>
  <c r="H17" i="2"/>
  <c r="R59" i="2"/>
  <c r="B16" i="2"/>
  <c r="A3" i="4" l="1"/>
  <c r="A4" i="4" s="1"/>
  <c r="A5" i="4" s="1"/>
  <c r="A6" i="4" s="1"/>
  <c r="A7" i="4" s="1"/>
  <c r="A8" i="4" s="1"/>
  <c r="A10" i="4" s="1"/>
  <c r="A11" i="4" s="1"/>
  <c r="A12" i="4" s="1"/>
  <c r="D16" i="2"/>
  <c r="D21" i="2"/>
  <c r="D20" i="2"/>
  <c r="D19" i="2"/>
  <c r="D18" i="2"/>
  <c r="B17" i="2"/>
  <c r="D17" i="2"/>
  <c r="D26" i="2"/>
  <c r="D24" i="2"/>
  <c r="D23" i="2"/>
  <c r="D27" i="2"/>
  <c r="D25" i="2"/>
  <c r="G17" i="2"/>
  <c r="U7" i="1"/>
  <c r="A13" i="4" l="1"/>
  <c r="B5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A14" i="4" l="1"/>
  <c r="D54" i="1"/>
  <c r="U8" i="2"/>
  <c r="C59" i="2"/>
  <c r="D59" i="2" s="1"/>
  <c r="E59" i="2" s="1"/>
  <c r="U5" i="2"/>
  <c r="K17" i="2" s="1"/>
  <c r="H6" i="2"/>
  <c r="I17" i="2"/>
  <c r="E8" i="2"/>
  <c r="V7" i="2"/>
  <c r="D7" i="2"/>
  <c r="G56" i="1"/>
  <c r="B56" i="1"/>
  <c r="F14" i="1"/>
  <c r="G14" i="1" s="1"/>
  <c r="H14" i="1" s="1"/>
  <c r="D8" i="1"/>
  <c r="I56" i="1"/>
  <c r="S56" i="1"/>
  <c r="S25" i="1"/>
  <c r="S14" i="1"/>
  <c r="S15" i="1"/>
  <c r="S16" i="1"/>
  <c r="S17" i="1"/>
  <c r="S18" i="1"/>
  <c r="S19" i="1"/>
  <c r="S20" i="1"/>
  <c r="S21" i="1"/>
  <c r="S22" i="1"/>
  <c r="S23" i="1"/>
  <c r="S24" i="1"/>
  <c r="S13" i="1"/>
  <c r="O14" i="1"/>
  <c r="M56" i="1" s="1"/>
  <c r="G6" i="1"/>
  <c r="I19" i="1"/>
  <c r="T8" i="1"/>
  <c r="T5" i="1"/>
  <c r="D11" i="1"/>
  <c r="C20" i="1" s="1"/>
  <c r="E20" i="1" s="1"/>
  <c r="C7" i="1"/>
  <c r="Q56" i="1"/>
  <c r="A15" i="4" l="1"/>
  <c r="L17" i="2"/>
  <c r="D56" i="2"/>
  <c r="O59" i="2" s="1"/>
  <c r="F26" i="2"/>
  <c r="M14" i="1"/>
  <c r="J14" i="1"/>
  <c r="J56" i="1" s="1"/>
  <c r="C53" i="1"/>
  <c r="C28" i="2"/>
  <c r="W15" i="2"/>
  <c r="W16" i="2" s="1"/>
  <c r="F19" i="2"/>
  <c r="F18" i="2"/>
  <c r="N17" i="2"/>
  <c r="K59" i="2"/>
  <c r="F59" i="2"/>
  <c r="G59" i="2"/>
  <c r="C56" i="1"/>
  <c r="F56" i="1" s="1"/>
  <c r="L56" i="1" s="1"/>
  <c r="C13" i="1"/>
  <c r="E13" i="1" s="1"/>
  <c r="C23" i="1"/>
  <c r="E23" i="1" s="1"/>
  <c r="C15" i="1"/>
  <c r="E15" i="1" s="1"/>
  <c r="C21" i="1"/>
  <c r="E21" i="1" s="1"/>
  <c r="C22" i="1"/>
  <c r="E22" i="1" s="1"/>
  <c r="C16" i="1"/>
  <c r="E16" i="1" s="1"/>
  <c r="C25" i="1"/>
  <c r="E25" i="1" s="1"/>
  <c r="C18" i="1"/>
  <c r="E18" i="1" s="1"/>
  <c r="C19" i="1"/>
  <c r="E19" i="1" s="1"/>
  <c r="C14" i="1"/>
  <c r="E14" i="1" s="1"/>
  <c r="C24" i="1"/>
  <c r="E24" i="1" s="1"/>
  <c r="C17" i="1"/>
  <c r="E17" i="1" s="1"/>
  <c r="A16" i="4" l="1"/>
  <c r="C5" i="3"/>
  <c r="C17" i="3"/>
  <c r="C6" i="3"/>
  <c r="C18" i="3"/>
  <c r="Q20" i="2"/>
  <c r="C7" i="3"/>
  <c r="C19" i="3"/>
  <c r="C10" i="3"/>
  <c r="C16" i="3"/>
  <c r="C8" i="3"/>
  <c r="C20" i="3"/>
  <c r="C9" i="3"/>
  <c r="C21" i="3"/>
  <c r="C22" i="3"/>
  <c r="C4" i="3"/>
  <c r="C11" i="3"/>
  <c r="C23" i="3"/>
  <c r="C12" i="3"/>
  <c r="C24" i="3"/>
  <c r="C3" i="3"/>
  <c r="C15" i="3"/>
  <c r="C13" i="3"/>
  <c r="C1" i="3"/>
  <c r="C2" i="3"/>
  <c r="C14" i="3"/>
  <c r="Q19" i="2"/>
  <c r="Q18" i="2"/>
  <c r="Q17" i="2"/>
  <c r="M59" i="2"/>
  <c r="V59" i="2" s="1"/>
  <c r="M17" i="2"/>
  <c r="P20" i="2"/>
  <c r="T19" i="2" s="1"/>
  <c r="D28" i="2"/>
  <c r="F28" i="2" s="1"/>
  <c r="F20" i="2"/>
  <c r="F24" i="2"/>
  <c r="F27" i="2"/>
  <c r="F23" i="2"/>
  <c r="E14" i="2"/>
  <c r="F22" i="2"/>
  <c r="F17" i="2"/>
  <c r="F21" i="2"/>
  <c r="F25" i="2"/>
  <c r="K14" i="1"/>
  <c r="P17" i="1" s="1"/>
  <c r="L58" i="1"/>
  <c r="O56" i="1" s="1"/>
  <c r="N56" i="1"/>
  <c r="U56" i="1" s="1"/>
  <c r="D56" i="1"/>
  <c r="E56" i="1" s="1"/>
  <c r="O17" i="2"/>
  <c r="Q23" i="2"/>
  <c r="Q26" i="2"/>
  <c r="Q28" i="2"/>
  <c r="Q25" i="2"/>
  <c r="L19" i="2"/>
  <c r="Q22" i="2"/>
  <c r="Q24" i="2"/>
  <c r="Q21" i="2"/>
  <c r="Q27" i="2"/>
  <c r="R17" i="2" l="1"/>
  <c r="T26" i="2"/>
  <c r="T17" i="2"/>
  <c r="R18" i="2"/>
  <c r="T20" i="2"/>
  <c r="M61" i="2"/>
  <c r="T24" i="2"/>
  <c r="T25" i="2"/>
  <c r="P21" i="1"/>
  <c r="P24" i="1"/>
  <c r="P19" i="1"/>
  <c r="P22" i="1"/>
  <c r="T28" i="2"/>
  <c r="L14" i="1"/>
  <c r="N14" i="1"/>
  <c r="P14" i="1"/>
  <c r="P23" i="1"/>
  <c r="T21" i="2"/>
  <c r="P15" i="1"/>
  <c r="P20" i="1"/>
  <c r="P18" i="1"/>
  <c r="P16" i="1"/>
  <c r="T18" i="2"/>
  <c r="T23" i="2"/>
  <c r="T27" i="2"/>
  <c r="P25" i="1"/>
  <c r="K16" i="1"/>
  <c r="T22" i="2"/>
  <c r="B65" i="1"/>
  <c r="W56" i="1"/>
  <c r="R24" i="2"/>
  <c r="R21" i="2"/>
  <c r="R25" i="2"/>
  <c r="R26" i="2"/>
  <c r="R19" i="2"/>
  <c r="R28" i="2"/>
  <c r="R27" i="2"/>
  <c r="R23" i="2"/>
  <c r="R20" i="2"/>
  <c r="R22" i="2"/>
  <c r="Q22" i="1"/>
  <c r="Q16" i="1"/>
  <c r="Q20" i="1"/>
  <c r="Q23" i="1"/>
  <c r="Q15" i="1"/>
  <c r="Q24" i="1"/>
  <c r="Q21" i="1"/>
  <c r="B68" i="2" l="1"/>
  <c r="G68" i="2" s="1"/>
  <c r="H68" i="2" s="1"/>
  <c r="Q14" i="1"/>
  <c r="Q17" i="1"/>
  <c r="Q25" i="1"/>
  <c r="Q19" i="1"/>
  <c r="Q18" i="1"/>
  <c r="X5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Pierluigi</author>
  </authors>
  <commentList>
    <comment ref="L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Pierluigi:</t>
        </r>
        <r>
          <rPr>
            <sz val="9"/>
            <color indexed="81"/>
            <rFont val="Tahoma"/>
            <family val="2"/>
          </rPr>
          <t xml:space="preserve">
riferito alla superficie alare. Non ci sono gli effetti di sideslip…beta è 0
</t>
        </r>
      </text>
    </comment>
    <comment ref="N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Pierluigi:</t>
        </r>
        <r>
          <rPr>
            <sz val="9"/>
            <color indexed="81"/>
            <rFont val="Tahoma"/>
            <family val="2"/>
          </rPr>
          <t xml:space="preserve">
derivata con gli effetti di sidewash. 1+ds/db e kv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Pierluigi</author>
  </authors>
  <commentList>
    <comment ref="A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Pierluigi:</t>
        </r>
        <r>
          <rPr>
            <sz val="9"/>
            <color indexed="81"/>
            <rFont val="Tahoma"/>
            <family val="2"/>
          </rPr>
          <t xml:space="preserve">
vedi grafico eta_P infondo a destra
</t>
        </r>
      </text>
    </comment>
    <comment ref="M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Pierluigi:</t>
        </r>
        <r>
          <rPr>
            <sz val="9"/>
            <color indexed="81"/>
            <rFont val="Tahoma"/>
            <family val="2"/>
          </rPr>
          <t xml:space="preserve">
riferito alla superficie alare. Non ci sono gli effetti di sideslip…beta è 0
</t>
        </r>
      </text>
    </comment>
    <comment ref="O1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Pierluigi:</t>
        </r>
        <r>
          <rPr>
            <sz val="9"/>
            <color indexed="81"/>
            <rFont val="Tahoma"/>
            <family val="2"/>
          </rPr>
          <t xml:space="preserve">
derivata con gli effetti di sidewash. 1+ds/db e kv
 </t>
        </r>
      </text>
    </comment>
  </commentList>
</comments>
</file>

<file path=xl/sharedStrings.xml><?xml version="1.0" encoding="utf-8"?>
<sst xmlns="http://schemas.openxmlformats.org/spreadsheetml/2006/main" count="239" uniqueCount="108">
  <si>
    <t>MOTORE</t>
  </si>
  <si>
    <t>V (m/s)</t>
  </si>
  <si>
    <t>TO</t>
  </si>
  <si>
    <t>ye</t>
  </si>
  <si>
    <t>N</t>
  </si>
  <si>
    <t>Sv</t>
  </si>
  <si>
    <t>VMC</t>
  </si>
  <si>
    <t>m/s</t>
  </si>
  <si>
    <t>beta</t>
  </si>
  <si>
    <t>(deg)</t>
  </si>
  <si>
    <t>Sidewash</t>
  </si>
  <si>
    <t>DATCOM</t>
  </si>
  <si>
    <t>Vsland</t>
  </si>
  <si>
    <t>M</t>
  </si>
  <si>
    <t>LAMBDA</t>
  </si>
  <si>
    <t>etav</t>
  </si>
  <si>
    <t>Vv</t>
  </si>
  <si>
    <t>Av eff</t>
  </si>
  <si>
    <t>CLALFA_V</t>
  </si>
  <si>
    <t>cl_alfa_2d</t>
  </si>
  <si>
    <t>CN_beta_V</t>
  </si>
  <si>
    <t>CN_beta_F</t>
  </si>
  <si>
    <t>CN_beta_w</t>
  </si>
  <si>
    <t>WTO</t>
  </si>
  <si>
    <t>kg</t>
  </si>
  <si>
    <t>T0</t>
  </si>
  <si>
    <t>S</t>
  </si>
  <si>
    <t>m2</t>
  </si>
  <si>
    <t>b</t>
  </si>
  <si>
    <t>m</t>
  </si>
  <si>
    <t>AR</t>
  </si>
  <si>
    <t>lv</t>
  </si>
  <si>
    <t>CLmaxTO</t>
  </si>
  <si>
    <t>CLmaxLNG</t>
  </si>
  <si>
    <t>a0v</t>
  </si>
  <si>
    <t>1/deg</t>
  </si>
  <si>
    <t>delta_r_max</t>
  </si>
  <si>
    <t>deg</t>
  </si>
  <si>
    <t>dati:</t>
  </si>
  <si>
    <t>(N)</t>
  </si>
  <si>
    <t>Mt</t>
  </si>
  <si>
    <t>AERODINAMICA</t>
  </si>
  <si>
    <t>VS_TO</t>
  </si>
  <si>
    <t>(m/s)</t>
  </si>
  <si>
    <t>bv</t>
  </si>
  <si>
    <t>Arv</t>
  </si>
  <si>
    <t>2r</t>
  </si>
  <si>
    <t>(Nm)</t>
  </si>
  <si>
    <t xml:space="preserve">fattori </t>
  </si>
  <si>
    <t>ROSKAM</t>
  </si>
  <si>
    <t>Kv</t>
  </si>
  <si>
    <t>avf/av</t>
  </si>
  <si>
    <t>kvh</t>
  </si>
  <si>
    <t>avfh/avf</t>
  </si>
  <si>
    <t>Av_eff</t>
  </si>
  <si>
    <t>CL_alpha_v</t>
  </si>
  <si>
    <t>1/rad</t>
  </si>
  <si>
    <t>CY_beta_v</t>
  </si>
  <si>
    <t>Sr/Sv</t>
  </si>
  <si>
    <t>cr/cv</t>
  </si>
  <si>
    <t>tauv</t>
  </si>
  <si>
    <t>M_V</t>
  </si>
  <si>
    <t>bv/2r</t>
  </si>
  <si>
    <t>no sidewash</t>
  </si>
  <si>
    <t xml:space="preserve"> sidewash</t>
  </si>
  <si>
    <t>M_V_sidew</t>
  </si>
  <si>
    <t>LAMBDA w</t>
  </si>
  <si>
    <t>zw/df</t>
  </si>
  <si>
    <t>Vapp</t>
  </si>
  <si>
    <t>WLAN</t>
  </si>
  <si>
    <t>CN_dr</t>
  </si>
  <si>
    <t>CN_beta_tot</t>
  </si>
  <si>
    <t>delta_r</t>
  </si>
  <si>
    <t>17deg</t>
  </si>
  <si>
    <t>(deg.)</t>
  </si>
  <si>
    <t>P0(hp)</t>
  </si>
  <si>
    <t>etap_to</t>
  </si>
  <si>
    <t>P0(W)</t>
  </si>
  <si>
    <t>Pd(W)</t>
  </si>
  <si>
    <t>(Kwm/kg)</t>
  </si>
  <si>
    <t>Mv(f(V2),(Sv))</t>
  </si>
  <si>
    <t>avhf/avf</t>
  </si>
  <si>
    <t>Disc_load</t>
  </si>
  <si>
    <t>V_wind</t>
  </si>
  <si>
    <t>vwind</t>
  </si>
  <si>
    <t>beta max</t>
  </si>
  <si>
    <t>100%power</t>
  </si>
  <si>
    <t>MAX</t>
  </si>
  <si>
    <t>2575 RPM</t>
  </si>
  <si>
    <t>46 MP</t>
  </si>
  <si>
    <t>1 motore</t>
  </si>
  <si>
    <t>0 ft</t>
  </si>
  <si>
    <t>T (N)</t>
  </si>
  <si>
    <t>FF (lt/min)</t>
  </si>
  <si>
    <t>REAL ENGINE</t>
  </si>
  <si>
    <t>MT_REAL_ENGINE</t>
  </si>
  <si>
    <t>1.1 VS_TO</t>
  </si>
  <si>
    <t>data:</t>
  </si>
  <si>
    <t>TAKE-OFF OEI</t>
  </si>
  <si>
    <t>ENGINE</t>
  </si>
  <si>
    <t>AERODINAMICS</t>
  </si>
  <si>
    <t>PREDESIGN VERTICAL TAIL</t>
  </si>
  <si>
    <t xml:space="preserve">LANDING CONTROL - WIND </t>
  </si>
  <si>
    <t>Sv (m2)</t>
  </si>
  <si>
    <t>M_V (Nm)</t>
  </si>
  <si>
    <t>M_V_sidew (Nm)</t>
  </si>
  <si>
    <t>Vlat MAX</t>
  </si>
  <si>
    <t>Sv DI scelta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</si>
</sst>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"/>
    <numFmt numFmtId="167" formatCode="0.000000"/>
    <numFmt numFmtId="168" formatCode="0.0000000"/>
    <numFmt numFmtId="169" formatCode="0.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0" borderId="0" xfId="0" applyFont="1" applyBorder="1"/>
    <xf numFmtId="0" fontId="2" fillId="0" borderId="0" xfId="0" applyFont="1"/>
    <xf numFmtId="0" fontId="1" fillId="0" borderId="0" xfId="0" applyFont="1" applyFill="1" applyBorder="1"/>
    <xf numFmtId="0" fontId="2" fillId="3" borderId="0" xfId="0" applyFont="1" applyFill="1"/>
    <xf numFmtId="0" fontId="1" fillId="0" borderId="5" xfId="0" applyFont="1" applyFill="1" applyBorder="1"/>
    <xf numFmtId="164" fontId="0" fillId="0" borderId="4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0" fontId="1" fillId="4" borderId="1" xfId="0" applyFont="1" applyFill="1" applyBorder="1"/>
    <xf numFmtId="0" fontId="0" fillId="4" borderId="2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1" fillId="0" borderId="7" xfId="0" applyFont="1" applyFill="1" applyBorder="1"/>
    <xf numFmtId="0" fontId="0" fillId="0" borderId="1" xfId="0" applyBorder="1"/>
    <xf numFmtId="166" fontId="0" fillId="0" borderId="0" xfId="0" applyNumberFormat="1" applyBorder="1"/>
    <xf numFmtId="167" fontId="0" fillId="0" borderId="0" xfId="0" applyNumberFormat="1" applyBorder="1"/>
    <xf numFmtId="0" fontId="5" fillId="0" borderId="0" xfId="0" applyFont="1"/>
    <xf numFmtId="0" fontId="0" fillId="5" borderId="0" xfId="0" applyFill="1" applyBorder="1"/>
    <xf numFmtId="0" fontId="1" fillId="0" borderId="3" xfId="0" applyFont="1" applyBorder="1"/>
    <xf numFmtId="164" fontId="0" fillId="0" borderId="6" xfId="0" applyNumberFormat="1" applyBorder="1"/>
    <xf numFmtId="0" fontId="0" fillId="7" borderId="0" xfId="0" applyFill="1" applyBorder="1"/>
    <xf numFmtId="0" fontId="1" fillId="7" borderId="0" xfId="0" applyFont="1" applyFill="1" applyBorder="1"/>
    <xf numFmtId="0" fontId="1" fillId="7" borderId="0" xfId="0" applyFont="1" applyFill="1"/>
    <xf numFmtId="0" fontId="0" fillId="6" borderId="0" xfId="0" applyFill="1" applyBorder="1"/>
    <xf numFmtId="0" fontId="7" fillId="0" borderId="0" xfId="1" applyFont="1"/>
    <xf numFmtId="0" fontId="6" fillId="0" borderId="0" xfId="1" applyFont="1"/>
    <xf numFmtId="0" fontId="6" fillId="0" borderId="0" xfId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7" xfId="0" applyFont="1" applyBorder="1" applyAlignment="1">
      <alignment horizontal="center"/>
    </xf>
    <xf numFmtId="168" fontId="0" fillId="0" borderId="0" xfId="0" applyNumberFormat="1" applyBorder="1"/>
    <xf numFmtId="0" fontId="8" fillId="0" borderId="0" xfId="0" applyFont="1"/>
    <xf numFmtId="169" fontId="0" fillId="0" borderId="0" xfId="0" applyNumberFormat="1" applyFill="1" applyBorder="1"/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'a320'!$B$13:$B$25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74.2</c:v>
                </c:pt>
              </c:numCache>
            </c:numRef>
          </c:xVal>
          <c:yVal>
            <c:numRef>
              <c:f>'a320'!$C$13:$C$25</c:f>
              <c:numCache>
                <c:formatCode>General</c:formatCode>
                <c:ptCount val="13"/>
                <c:pt idx="0">
                  <c:v>106889.76</c:v>
                </c:pt>
                <c:pt idx="1">
                  <c:v>104662.89</c:v>
                </c:pt>
                <c:pt idx="2">
                  <c:v>102436.02</c:v>
                </c:pt>
                <c:pt idx="3">
                  <c:v>100209.15000000001</c:v>
                </c:pt>
                <c:pt idx="4">
                  <c:v>97982.28</c:v>
                </c:pt>
                <c:pt idx="5">
                  <c:v>95755.41</c:v>
                </c:pt>
                <c:pt idx="6">
                  <c:v>93528.54</c:v>
                </c:pt>
                <c:pt idx="7">
                  <c:v>91301.670000000013</c:v>
                </c:pt>
                <c:pt idx="8">
                  <c:v>89074.8</c:v>
                </c:pt>
                <c:pt idx="9">
                  <c:v>86847.930000000008</c:v>
                </c:pt>
                <c:pt idx="10">
                  <c:v>84621.06</c:v>
                </c:pt>
                <c:pt idx="11">
                  <c:v>82394.19</c:v>
                </c:pt>
                <c:pt idx="12">
                  <c:v>94820.124599999996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7-4084-B183-4C4A2DE9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6288"/>
        <c:axId val="64916864"/>
      </c:scatterChart>
      <c:valAx>
        <c:axId val="649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16864"/>
        <c:crosses val="autoZero"/>
        <c:crossBetween val="midCat"/>
      </c:valAx>
      <c:valAx>
        <c:axId val="649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1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27996500437445"/>
          <c:y val="7.4016112569262174E-2"/>
          <c:w val="0.57834514435695539"/>
          <c:h val="0.6451928404782748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'a320'!$B$15:$B$21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'a320'!$S$15:$S$21</c:f>
              <c:numCache>
                <c:formatCode>0.0</c:formatCode>
                <c:ptCount val="7"/>
                <c:pt idx="0">
                  <c:v>77.875941872981713</c:v>
                </c:pt>
                <c:pt idx="1">
                  <c:v>48.757287405812711</c:v>
                </c:pt>
                <c:pt idx="2">
                  <c:v>33.106925008970222</c:v>
                </c:pt>
                <c:pt idx="3">
                  <c:v>23.770743173480376</c:v>
                </c:pt>
                <c:pt idx="4">
                  <c:v>17.776305166846072</c:v>
                </c:pt>
                <c:pt idx="5">
                  <c:v>13.711119084638998</c:v>
                </c:pt>
                <c:pt idx="6">
                  <c:v>10.835177610333695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A-45F4-867B-526DE0ABEB44}"/>
            </c:ext>
          </c:extLst>
        </c:ser>
        <c:ser>
          <c:idx val="1"/>
          <c:order val="1"/>
          <c:tx>
            <c:strRef>
              <c:f>'a320'!$V$11</c:f>
              <c:strCache>
                <c:ptCount val="1"/>
                <c:pt idx="0">
                  <c:v>VMC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'a320'!$V$12:$V$13</c:f>
              <c:numCache>
                <c:formatCode>General</c:formatCode>
                <c:ptCount val="2"/>
                <c:pt idx="0">
                  <c:v>74.2</c:v>
                </c:pt>
                <c:pt idx="1">
                  <c:v>74.2</c:v>
                </c:pt>
              </c:numCache>
            </c:numRef>
          </c:xVal>
          <c:yVal>
            <c:numRef>
              <c:f>'a320'!$U$12:$U$13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A-45F4-867B-526DE0AB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8592"/>
        <c:axId val="64919168"/>
      </c:scatterChart>
      <c:valAx>
        <c:axId val="649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19168"/>
        <c:crosses val="autoZero"/>
        <c:crossBetween val="midCat"/>
        <c:majorUnit val="20"/>
      </c:valAx>
      <c:valAx>
        <c:axId val="64919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Sv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4918592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6352777777777781"/>
          <c:y val="0.17437664041994752"/>
          <c:w val="0.19108333333333341"/>
          <c:h val="0.1172900262467194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it-IT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27996500437445"/>
          <c:y val="7.4016112569262174E-2"/>
          <c:w val="0.57834514435695539"/>
          <c:h val="0.64519284047827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'a320'!$P$12</c:f>
              <c:strCache>
                <c:ptCount val="1"/>
                <c:pt idx="0">
                  <c:v>M_V (Nm)</c:v>
                </c:pt>
              </c:strCache>
            </c:strRef>
          </c:tx>
          <c:marker>
            <c:symbol val="none"/>
          </c:marker>
          <c:xVal>
            <c:numRef>
              <c:f>'a320'!$B$13:$B$24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'a320'!$P$14:$P$25</c:f>
              <c:numCache>
                <c:formatCode>0</c:formatCode>
                <c:ptCount val="12"/>
                <c:pt idx="0">
                  <c:v>44034.512294597349</c:v>
                </c:pt>
                <c:pt idx="1">
                  <c:v>99077.652662844033</c:v>
                </c:pt>
                <c:pt idx="2">
                  <c:v>176138.0491783894</c:v>
                </c:pt>
                <c:pt idx="3">
                  <c:v>275215.70184123341</c:v>
                </c:pt>
                <c:pt idx="4">
                  <c:v>396310.61065137613</c:v>
                </c:pt>
                <c:pt idx="5">
                  <c:v>539422.77560881746</c:v>
                </c:pt>
                <c:pt idx="6">
                  <c:v>704552.19671355758</c:v>
                </c:pt>
                <c:pt idx="7">
                  <c:v>891698.8739655962</c:v>
                </c:pt>
                <c:pt idx="8">
                  <c:v>1100862.8073649337</c:v>
                </c:pt>
                <c:pt idx="9">
                  <c:v>1332043.9969115697</c:v>
                </c:pt>
                <c:pt idx="10">
                  <c:v>1585242.4426055045</c:v>
                </c:pt>
                <c:pt idx="11">
                  <c:v>1860458.1444467378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7-4580-B577-1CEC26060BBA}"/>
            </c:ext>
          </c:extLst>
        </c:ser>
        <c:ser>
          <c:idx val="1"/>
          <c:order val="1"/>
          <c:tx>
            <c:strRef>
              <c:f>'a320'!$E$11</c:f>
              <c:strCache>
                <c:ptCount val="1"/>
                <c:pt idx="0">
                  <c:v>Mt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'a320'!$B$13:$B$24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'a320'!$E$13:$E$24</c:f>
              <c:numCache>
                <c:formatCode>General</c:formatCode>
                <c:ptCount val="12"/>
                <c:pt idx="0">
                  <c:v>603927.14399999997</c:v>
                </c:pt>
                <c:pt idx="1">
                  <c:v>591345.32850000006</c:v>
                </c:pt>
                <c:pt idx="2">
                  <c:v>578763.51300000004</c:v>
                </c:pt>
                <c:pt idx="3">
                  <c:v>566181.69750000013</c:v>
                </c:pt>
                <c:pt idx="4">
                  <c:v>553599.88199999998</c:v>
                </c:pt>
                <c:pt idx="5">
                  <c:v>541018.06650000007</c:v>
                </c:pt>
                <c:pt idx="6">
                  <c:v>528436.25100000005</c:v>
                </c:pt>
                <c:pt idx="7">
                  <c:v>515854.43550000008</c:v>
                </c:pt>
                <c:pt idx="8">
                  <c:v>503272.62000000005</c:v>
                </c:pt>
                <c:pt idx="9">
                  <c:v>490690.80450000009</c:v>
                </c:pt>
                <c:pt idx="10">
                  <c:v>478108.989</c:v>
                </c:pt>
                <c:pt idx="11">
                  <c:v>465527.17350000003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7-4580-B577-1CEC2606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4816"/>
        <c:axId val="101915392"/>
      </c:scatterChart>
      <c:valAx>
        <c:axId val="1019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15392"/>
        <c:crosses val="autoZero"/>
        <c:crossBetween val="midCat"/>
        <c:majorUnit val="20"/>
      </c:valAx>
      <c:valAx>
        <c:axId val="101915392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191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it-IT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'p2012'!$C$16:$C$23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'p2012'!$F$16:$F$23</c:f>
              <c:numCache>
                <c:formatCode>General</c:formatCode>
                <c:ptCount val="8"/>
                <c:pt idx="0">
                  <c:v>319811.59068378893</c:v>
                </c:pt>
                <c:pt idx="1">
                  <c:v>319811.59068378893</c:v>
                </c:pt>
                <c:pt idx="2">
                  <c:v>319811.59068378893</c:v>
                </c:pt>
                <c:pt idx="3">
                  <c:v>319811.59068378893</c:v>
                </c:pt>
                <c:pt idx="4">
                  <c:v>319811.59068378893</c:v>
                </c:pt>
                <c:pt idx="5">
                  <c:v>319811.59068378893</c:v>
                </c:pt>
                <c:pt idx="6">
                  <c:v>319811.59068378893</c:v>
                </c:pt>
                <c:pt idx="7">
                  <c:v>319811.59068378893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3-4902-8B00-A16F1D5B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9168"/>
        <c:axId val="93639744"/>
      </c:scatterChart>
      <c:valAx>
        <c:axId val="936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39744"/>
        <c:crosses val="autoZero"/>
        <c:crossBetween val="midCat"/>
      </c:valAx>
      <c:valAx>
        <c:axId val="936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3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27996500437445"/>
          <c:y val="7.4016112569262174E-2"/>
          <c:w val="0.57834514435695539"/>
          <c:h val="0.64519284047827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'p2012'!$T$14</c:f>
              <c:strCache>
                <c:ptCount val="1"/>
                <c:pt idx="0">
                  <c:v>Sv</c:v>
                </c:pt>
              </c:strCache>
            </c:strRef>
          </c:tx>
          <c:marker>
            <c:symbol val="none"/>
          </c:marker>
          <c:xVal>
            <c:numRef>
              <c:f>'p2012'!$C$16:$C$23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'p2012'!$T$16:$T$23</c:f>
              <c:numCache>
                <c:formatCode>0.0</c:formatCode>
                <c:ptCount val="8"/>
                <c:pt idx="0">
                  <c:v>177.91439450059309</c:v>
                </c:pt>
                <c:pt idx="1">
                  <c:v>79.073064222485826</c:v>
                </c:pt>
                <c:pt idx="2">
                  <c:v>44.478598625148273</c:v>
                </c:pt>
                <c:pt idx="3">
                  <c:v>28.466303120094896</c:v>
                </c:pt>
                <c:pt idx="4">
                  <c:v>19.768266055621456</c:v>
                </c:pt>
                <c:pt idx="5">
                  <c:v>14.523624040864744</c:v>
                </c:pt>
                <c:pt idx="6">
                  <c:v>11.119649656287068</c:v>
                </c:pt>
                <c:pt idx="7">
                  <c:v>8.7858960247206479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A-4AEB-8975-C0B41D07C8FD}"/>
            </c:ext>
          </c:extLst>
        </c:ser>
        <c:ser>
          <c:idx val="1"/>
          <c:order val="1"/>
          <c:tx>
            <c:strRef>
              <c:f>'p2012'!$W$14</c:f>
              <c:strCache>
                <c:ptCount val="1"/>
                <c:pt idx="0">
                  <c:v>VMC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'p2012'!$W$15:$W$16</c:f>
              <c:numCache>
                <c:formatCode>0.0</c:formatCode>
                <c:ptCount val="2"/>
                <c:pt idx="0">
                  <c:v>59.315132508740454</c:v>
                </c:pt>
                <c:pt idx="1">
                  <c:v>59.315132508740454</c:v>
                </c:pt>
              </c:numCache>
            </c:numRef>
          </c:xVal>
          <c:yVal>
            <c:numRef>
              <c:f>'p2012'!$V$15:$V$16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A-4AEB-8975-C0B41D07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1472"/>
        <c:axId val="93642048"/>
      </c:scatterChart>
      <c:valAx>
        <c:axId val="936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42048"/>
        <c:crosses val="autoZero"/>
        <c:crossBetween val="midCat"/>
        <c:majorUnit val="20"/>
      </c:valAx>
      <c:valAx>
        <c:axId val="93642048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Sv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641472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6352777777777781"/>
          <c:y val="0.17437664041994752"/>
          <c:w val="0.19108333333333341"/>
          <c:h val="0.117290026246719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it-IT"/>
    </a:p>
  </c:txPr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01432888386681"/>
          <c:y val="7.4016112569262174E-2"/>
          <c:w val="0.67327479640262355"/>
          <c:h val="0.645192840478275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'p2012'!$Q$15</c:f>
              <c:strCache>
                <c:ptCount val="1"/>
                <c:pt idx="0">
                  <c:v>M_V</c:v>
                </c:pt>
              </c:strCache>
            </c:strRef>
          </c:tx>
          <c:marker>
            <c:symbol val="none"/>
          </c:marker>
          <c:xVal>
            <c:numRef>
              <c:f>'p2012'!$C$16:$C$23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'p2012'!$Q$17:$Q$23</c:f>
              <c:numCache>
                <c:formatCode>0</c:formatCode>
                <c:ptCount val="7"/>
                <c:pt idx="0">
                  <c:v>36490.444233613009</c:v>
                </c:pt>
                <c:pt idx="1">
                  <c:v>82103.499525629275</c:v>
                </c:pt>
                <c:pt idx="2">
                  <c:v>145961.77693445203</c:v>
                </c:pt>
                <c:pt idx="3">
                  <c:v>228065.27646008128</c:v>
                </c:pt>
                <c:pt idx="4">
                  <c:v>328413.9981025171</c:v>
                </c:pt>
                <c:pt idx="5">
                  <c:v>447007.94186175929</c:v>
                </c:pt>
                <c:pt idx="6">
                  <c:v>583847.10773780814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F-4E4D-BCC4-57E8C9DA7E1A}"/>
            </c:ext>
          </c:extLst>
        </c:ser>
        <c:ser>
          <c:idx val="1"/>
          <c:order val="1"/>
          <c:tx>
            <c:strRef>
              <c:f>'p2012'!$F$14</c:f>
              <c:strCache>
                <c:ptCount val="1"/>
                <c:pt idx="0">
                  <c:v>Mt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'p2012'!$C$16:$C$23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'p2012'!$F$16:$F$23</c:f>
              <c:numCache>
                <c:formatCode>General</c:formatCode>
                <c:ptCount val="8"/>
                <c:pt idx="0">
                  <c:v>319811.59068378893</c:v>
                </c:pt>
                <c:pt idx="1">
                  <c:v>319811.59068378893</c:v>
                </c:pt>
                <c:pt idx="2">
                  <c:v>319811.59068378893</c:v>
                </c:pt>
                <c:pt idx="3">
                  <c:v>319811.59068378893</c:v>
                </c:pt>
                <c:pt idx="4">
                  <c:v>319811.59068378893</c:v>
                </c:pt>
                <c:pt idx="5">
                  <c:v>319811.59068378893</c:v>
                </c:pt>
                <c:pt idx="6">
                  <c:v>319811.59068378893</c:v>
                </c:pt>
                <c:pt idx="7">
                  <c:v>319811.59068378893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F-4E4D-BCC4-57E8C9DA7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1376"/>
        <c:axId val="108701952"/>
      </c:scatterChart>
      <c:valAx>
        <c:axId val="108701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01952"/>
        <c:crosses val="autoZero"/>
        <c:crossBetween val="midCat"/>
        <c:majorUnit val="10"/>
      </c:valAx>
      <c:valAx>
        <c:axId val="108701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8701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631387454359811"/>
          <c:y val="3.4149897929425493E-2"/>
          <c:w val="0.22334650268215508"/>
          <c:h val="0.2502187226596676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it-IT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79724573595304"/>
          <c:y val="7.4016112569262174E-2"/>
          <c:w val="0.750774943330907"/>
          <c:h val="0.72660502443626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'p2012'!$Q$15</c:f>
              <c:strCache>
                <c:ptCount val="1"/>
                <c:pt idx="0">
                  <c:v>M_V</c:v>
                </c:pt>
              </c:strCache>
            </c:strRef>
          </c:tx>
          <c:marker>
            <c:symbol val="none"/>
          </c:marker>
          <c:xVal>
            <c:numRef>
              <c:f>'p2012'!$C$16:$C$23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'p2012'!$Q$17:$Q$23</c:f>
              <c:numCache>
                <c:formatCode>0</c:formatCode>
                <c:ptCount val="7"/>
                <c:pt idx="0">
                  <c:v>36490.444233613009</c:v>
                </c:pt>
                <c:pt idx="1">
                  <c:v>82103.499525629275</c:v>
                </c:pt>
                <c:pt idx="2">
                  <c:v>145961.77693445203</c:v>
                </c:pt>
                <c:pt idx="3">
                  <c:v>228065.27646008128</c:v>
                </c:pt>
                <c:pt idx="4">
                  <c:v>328413.9981025171</c:v>
                </c:pt>
                <c:pt idx="5">
                  <c:v>447007.94186175929</c:v>
                </c:pt>
                <c:pt idx="6">
                  <c:v>583847.10773780814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B-480B-A6C6-1FC9DAB56D23}"/>
            </c:ext>
          </c:extLst>
        </c:ser>
        <c:ser>
          <c:idx val="1"/>
          <c:order val="1"/>
          <c:tx>
            <c:strRef>
              <c:f>'p2012'!$F$14</c:f>
              <c:strCache>
                <c:ptCount val="1"/>
                <c:pt idx="0">
                  <c:v>Mt</c:v>
                </c:pt>
              </c:strCache>
            </c:strRef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'p2012'!$C$16:$C$23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'p2012'!$F$16:$F$23</c:f>
              <c:numCache>
                <c:formatCode>General</c:formatCode>
                <c:ptCount val="8"/>
                <c:pt idx="0">
                  <c:v>319811.59068378893</c:v>
                </c:pt>
                <c:pt idx="1">
                  <c:v>319811.59068378893</c:v>
                </c:pt>
                <c:pt idx="2">
                  <c:v>319811.59068378893</c:v>
                </c:pt>
                <c:pt idx="3">
                  <c:v>319811.59068378893</c:v>
                </c:pt>
                <c:pt idx="4">
                  <c:v>319811.59068378893</c:v>
                </c:pt>
                <c:pt idx="5">
                  <c:v>319811.59068378893</c:v>
                </c:pt>
                <c:pt idx="6">
                  <c:v>319811.59068378893</c:v>
                </c:pt>
                <c:pt idx="7">
                  <c:v>319811.59068378893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7B-480B-A6C6-1FC9DAB56D23}"/>
            </c:ext>
          </c:extLst>
        </c:ser>
        <c:ser>
          <c:idx val="2"/>
          <c:order val="2"/>
          <c:tx>
            <c:strRef>
              <c:f>'p2012'!$B$72</c:f>
              <c:strCache>
                <c:ptCount val="1"/>
                <c:pt idx="0">
                  <c:v>REAL ENGINE</c:v>
                </c:pt>
              </c:strCache>
            </c:strRef>
          </c:tx>
          <c:marker>
            <c:symbol val="none"/>
          </c:marker>
          <c:xVal>
            <c:numRef>
              <c:f>'p2012'!$C$75:$C$117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102</c:v>
                </c:pt>
                <c:pt idx="37">
                  <c:v>104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</c:numCache>
            </c:numRef>
          </c:xVal>
          <c:yVal>
            <c:numRef>
              <c:f>'p2012'!$F$75:$F$117</c:f>
              <c:numCache>
                <c:formatCode>General</c:formatCode>
                <c:ptCount val="43"/>
                <c:pt idx="0">
                  <c:v>38343.318695220412</c:v>
                </c:pt>
                <c:pt idx="1">
                  <c:v>37966.171298218243</c:v>
                </c:pt>
                <c:pt idx="2">
                  <c:v>37086.160705213188</c:v>
                </c:pt>
                <c:pt idx="3">
                  <c:v>34194.697328196569</c:v>
                </c:pt>
                <c:pt idx="4">
                  <c:v>30171.79176017343</c:v>
                </c:pt>
                <c:pt idx="5">
                  <c:v>26413.760183350478</c:v>
                </c:pt>
                <c:pt idx="6">
                  <c:v>25803.778673153363</c:v>
                </c:pt>
                <c:pt idx="7">
                  <c:v>25206.048387824489</c:v>
                </c:pt>
                <c:pt idx="8">
                  <c:v>24620.569327363846</c:v>
                </c:pt>
                <c:pt idx="9">
                  <c:v>24047.341491771451</c:v>
                </c:pt>
                <c:pt idx="10">
                  <c:v>23486.364881047284</c:v>
                </c:pt>
                <c:pt idx="11">
                  <c:v>22937.639495191364</c:v>
                </c:pt>
                <c:pt idx="12">
                  <c:v>22401.165334203688</c:v>
                </c:pt>
                <c:pt idx="13">
                  <c:v>21876.942398084251</c:v>
                </c:pt>
                <c:pt idx="14">
                  <c:v>21364.970686833043</c:v>
                </c:pt>
                <c:pt idx="15">
                  <c:v>20865.250200450086</c:v>
                </c:pt>
                <c:pt idx="16">
                  <c:v>20377.780938935364</c:v>
                </c:pt>
                <c:pt idx="17">
                  <c:v>19902.56290228889</c:v>
                </c:pt>
                <c:pt idx="18">
                  <c:v>19439.59609051064</c:v>
                </c:pt>
                <c:pt idx="19">
                  <c:v>18988.880503600642</c:v>
                </c:pt>
                <c:pt idx="20">
                  <c:v>18550.416141558882</c:v>
                </c:pt>
                <c:pt idx="21">
                  <c:v>18124.203004385359</c:v>
                </c:pt>
                <c:pt idx="22">
                  <c:v>17710.241092080079</c:v>
                </c:pt>
                <c:pt idx="23">
                  <c:v>17308.530404643039</c:v>
                </c:pt>
                <c:pt idx="24">
                  <c:v>16919.070942074235</c:v>
                </c:pt>
                <c:pt idx="25">
                  <c:v>16541.862704373674</c:v>
                </c:pt>
                <c:pt idx="26">
                  <c:v>16176.905691541349</c:v>
                </c:pt>
                <c:pt idx="27">
                  <c:v>15824.199903577271</c:v>
                </c:pt>
                <c:pt idx="28">
                  <c:v>15483.745340481428</c:v>
                </c:pt>
                <c:pt idx="29">
                  <c:v>15155.542002253827</c:v>
                </c:pt>
                <c:pt idx="30">
                  <c:v>14839.589888894461</c:v>
                </c:pt>
                <c:pt idx="31">
                  <c:v>14535.88900040334</c:v>
                </c:pt>
                <c:pt idx="32">
                  <c:v>14244.439336780459</c:v>
                </c:pt>
                <c:pt idx="33">
                  <c:v>13965.240898025819</c:v>
                </c:pt>
                <c:pt idx="34">
                  <c:v>13698.293684139411</c:v>
                </c:pt>
                <c:pt idx="35">
                  <c:v>13443.597695121249</c:v>
                </c:pt>
                <c:pt idx="36">
                  <c:v>13201.152930971331</c:v>
                </c:pt>
                <c:pt idx="37">
                  <c:v>12970.959391689645</c:v>
                </c:pt>
                <c:pt idx="38">
                  <c:v>12753.017077276203</c:v>
                </c:pt>
                <c:pt idx="39">
                  <c:v>12547.325987730997</c:v>
                </c:pt>
                <c:pt idx="40">
                  <c:v>12353.886123054031</c:v>
                </c:pt>
                <c:pt idx="41">
                  <c:v>12172.697483245309</c:v>
                </c:pt>
                <c:pt idx="42">
                  <c:v>12003.760068304828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7B-480B-A6C6-1FC9DAB56D23}"/>
            </c:ext>
          </c:extLst>
        </c:ser>
        <c:ser>
          <c:idx val="3"/>
          <c:order val="3"/>
          <c:tx>
            <c:strRef>
              <c:f>'p2012'!$W$14</c:f>
              <c:strCache>
                <c:ptCount val="1"/>
                <c:pt idx="0">
                  <c:v>VMC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'p2012'!$W$15:$W$16</c:f>
              <c:numCache>
                <c:formatCode>0.0</c:formatCode>
                <c:ptCount val="2"/>
                <c:pt idx="0">
                  <c:v>59.315132508740454</c:v>
                </c:pt>
                <c:pt idx="1">
                  <c:v>59.315132508740454</c:v>
                </c:pt>
              </c:numCache>
            </c:numRef>
          </c:xVal>
          <c:yVal>
            <c:numRef>
              <c:f>'p2012'!$V$17:$V$18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7B-480B-A6C6-1FC9DAB5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4832"/>
        <c:axId val="108705408"/>
      </c:scatterChart>
      <c:valAx>
        <c:axId val="108704832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05408"/>
        <c:crosses val="autoZero"/>
        <c:crossBetween val="midCat"/>
        <c:majorUnit val="10"/>
      </c:valAx>
      <c:valAx>
        <c:axId val="108705408"/>
        <c:scaling>
          <c:orientation val="minMax"/>
          <c:max val="350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N</a:t>
                </a:r>
              </a:p>
              <a:p>
                <a:pPr>
                  <a:defRPr/>
                </a:pPr>
                <a:r>
                  <a:rPr lang="it-IT"/>
                  <a:t>(Nm)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8704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499602209714349"/>
          <c:y val="0.10393180419025833"/>
          <c:w val="0.24031869639259543"/>
          <c:h val="0.2946500749903900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it-IT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wmf"/><Relationship Id="rId13" Type="http://schemas.openxmlformats.org/officeDocument/2006/relationships/image" Target="../media/image10.wmf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12" Type="http://schemas.openxmlformats.org/officeDocument/2006/relationships/image" Target="../media/image9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emf"/><Relationship Id="rId5" Type="http://schemas.openxmlformats.org/officeDocument/2006/relationships/chart" Target="../charts/chart3.xml"/><Relationship Id="rId10" Type="http://schemas.openxmlformats.org/officeDocument/2006/relationships/image" Target="../media/image7.emf"/><Relationship Id="rId4" Type="http://schemas.openxmlformats.org/officeDocument/2006/relationships/image" Target="../media/image2.png"/><Relationship Id="rId9" Type="http://schemas.openxmlformats.org/officeDocument/2006/relationships/image" Target="../media/image6.emf"/><Relationship Id="rId14" Type="http://schemas.openxmlformats.org/officeDocument/2006/relationships/image" Target="../media/image1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16.emf"/><Relationship Id="rId3" Type="http://schemas.openxmlformats.org/officeDocument/2006/relationships/image" Target="../media/image1.png"/><Relationship Id="rId7" Type="http://schemas.openxmlformats.org/officeDocument/2006/relationships/chart" Target="../charts/chart7.xml"/><Relationship Id="rId12" Type="http://schemas.openxmlformats.org/officeDocument/2006/relationships/image" Target="../media/image15.w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12.png"/><Relationship Id="rId11" Type="http://schemas.openxmlformats.org/officeDocument/2006/relationships/image" Target="../media/image14.wmf"/><Relationship Id="rId5" Type="http://schemas.openxmlformats.org/officeDocument/2006/relationships/chart" Target="../charts/chart6.xml"/><Relationship Id="rId15" Type="http://schemas.openxmlformats.org/officeDocument/2006/relationships/image" Target="../media/image18.wmf"/><Relationship Id="rId10" Type="http://schemas.openxmlformats.org/officeDocument/2006/relationships/image" Target="../media/image13.wmf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108916</xdr:colOff>
      <xdr:row>30</xdr:row>
      <xdr:rowOff>43898</xdr:rowOff>
    </xdr:from>
    <xdr:to>
      <xdr:col>8</xdr:col>
      <xdr:colOff>61291</xdr:colOff>
      <xdr:row>43</xdr:row>
      <xdr:rowOff>139148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83004</xdr:colOff>
      <xdr:row>30</xdr:row>
      <xdr:rowOff>81643</xdr:rowOff>
    </xdr:from>
    <xdr:to>
      <xdr:col>23</xdr:col>
      <xdr:colOff>609600</xdr:colOff>
      <xdr:row>43</xdr:row>
      <xdr:rowOff>176893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80282</xdr:colOff>
      <xdr:row>49</xdr:row>
      <xdr:rowOff>83004</xdr:rowOff>
    </xdr:from>
    <xdr:to>
      <xdr:col>5</xdr:col>
      <xdr:colOff>74779</xdr:colOff>
      <xdr:row>52</xdr:row>
      <xdr:rowOff>16329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0282" y="9417504"/>
          <a:ext cx="3232997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163286</xdr:colOff>
      <xdr:row>49</xdr:row>
      <xdr:rowOff>107496</xdr:rowOff>
    </xdr:from>
    <xdr:to>
      <xdr:col>10</xdr:col>
      <xdr:colOff>355520</xdr:colOff>
      <xdr:row>53</xdr:row>
      <xdr:rowOff>46223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rcRect l="33664" r="6483" b="53644"/>
        <a:stretch>
          <a:fillRect/>
        </a:stretch>
      </xdr:blipFill>
      <xdr:spPr bwMode="auto">
        <a:xfrm>
          <a:off x="4626429" y="9441996"/>
          <a:ext cx="2192484" cy="700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171450</xdr:colOff>
      <xdr:row>21</xdr:row>
      <xdr:rowOff>38100</xdr:rowOff>
    </xdr:from>
    <xdr:to>
      <xdr:col>10</xdr:col>
      <xdr:colOff>852239</xdr:colOff>
      <xdr:row>24</xdr:row>
      <xdr:rowOff>52199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4"/>
        <a:srcRect l="33664" r="6483" b="53644"/>
        <a:stretch>
          <a:fillRect/>
        </a:stretch>
      </xdr:blipFill>
      <xdr:spPr bwMode="auto">
        <a:xfrm>
          <a:off x="4962525" y="3752850"/>
          <a:ext cx="2063276" cy="5855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213634</xdr:colOff>
      <xdr:row>30</xdr:row>
      <xdr:rowOff>25853</xdr:rowOff>
    </xdr:from>
    <xdr:to>
      <xdr:col>14</xdr:col>
      <xdr:colOff>462644</xdr:colOff>
      <xdr:row>43</xdr:row>
      <xdr:rowOff>121103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56</xdr:row>
      <xdr:rowOff>68036</xdr:rowOff>
    </xdr:from>
    <xdr:to>
      <xdr:col>23</xdr:col>
      <xdr:colOff>504825</xdr:colOff>
      <xdr:row>59</xdr:row>
      <xdr:rowOff>68036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954500" y="10736036"/>
          <a:ext cx="1117146" cy="5715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387404</xdr:colOff>
      <xdr:row>63</xdr:row>
      <xdr:rowOff>36018</xdr:rowOff>
    </xdr:from>
    <xdr:to>
      <xdr:col>5</xdr:col>
      <xdr:colOff>260858</xdr:colOff>
      <xdr:row>66</xdr:row>
      <xdr:rowOff>36018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66580" y="12239224"/>
          <a:ext cx="1610366" cy="571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83820</xdr:colOff>
      <xdr:row>25</xdr:row>
      <xdr:rowOff>106680</xdr:rowOff>
    </xdr:from>
    <xdr:to>
      <xdr:col>5</xdr:col>
      <xdr:colOff>7620</xdr:colOff>
      <xdr:row>28</xdr:row>
      <xdr:rowOff>7620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502920</xdr:colOff>
      <xdr:row>57</xdr:row>
      <xdr:rowOff>0</xdr:rowOff>
    </xdr:from>
    <xdr:to>
      <xdr:col>4</xdr:col>
      <xdr:colOff>60960</xdr:colOff>
      <xdr:row>60</xdr:row>
      <xdr:rowOff>152400</xdr:rowOff>
    </xdr:to>
    <xdr:sp macro="" textlink="">
      <xdr:nvSpPr>
        <xdr:cNvPr id="1028" name="Object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251460</xdr:colOff>
      <xdr:row>46</xdr:row>
      <xdr:rowOff>38100</xdr:rowOff>
    </xdr:from>
    <xdr:to>
      <xdr:col>11</xdr:col>
      <xdr:colOff>121920</xdr:colOff>
      <xdr:row>47</xdr:row>
      <xdr:rowOff>198120</xdr:rowOff>
    </xdr:to>
    <xdr:sp macro="" textlink="">
      <xdr:nvSpPr>
        <xdr:cNvPr id="1029" name="Object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342900</xdr:colOff>
      <xdr:row>49</xdr:row>
      <xdr:rowOff>99060</xdr:rowOff>
    </xdr:from>
    <xdr:to>
      <xdr:col>16</xdr:col>
      <xdr:colOff>876300</xdr:colOff>
      <xdr:row>53</xdr:row>
      <xdr:rowOff>0</xdr:rowOff>
    </xdr:to>
    <xdr:sp macro="" textlink="">
      <xdr:nvSpPr>
        <xdr:cNvPr id="1031" name="Object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152400</xdr:rowOff>
    </xdr:from>
    <xdr:to>
      <xdr:col>5</xdr:col>
      <xdr:colOff>236220</xdr:colOff>
      <xdr:row>30</xdr:row>
      <xdr:rowOff>0</xdr:rowOff>
    </xdr:to>
    <xdr:sp macro="" textlink="">
      <xdr:nvSpPr>
        <xdr:cNvPr id="1032" name="Object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251460</xdr:colOff>
      <xdr:row>25</xdr:row>
      <xdr:rowOff>137160</xdr:rowOff>
    </xdr:from>
    <xdr:to>
      <xdr:col>15</xdr:col>
      <xdr:colOff>38100</xdr:colOff>
      <xdr:row>29</xdr:row>
      <xdr:rowOff>76200</xdr:rowOff>
    </xdr:to>
    <xdr:sp macro="" textlink="">
      <xdr:nvSpPr>
        <xdr:cNvPr id="1036" name="Object 12" hidden="1">
          <a:extLst>
            <a:ext uri="{63B3BB69-23CF-44E3-9099-C40C66FF867C}">
              <a14:compatExt xmlns:a14="http://schemas.microsoft.com/office/drawing/2010/main" spid="_x0000_s1036"/>
            </a:ex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38100</xdr:colOff>
      <xdr:row>20</xdr:row>
      <xdr:rowOff>182880</xdr:rowOff>
    </xdr:from>
    <xdr:to>
      <xdr:col>23</xdr:col>
      <xdr:colOff>60960</xdr:colOff>
      <xdr:row>24</xdr:row>
      <xdr:rowOff>137160</xdr:rowOff>
    </xdr:to>
    <xdr:sp macro="" textlink="">
      <xdr:nvSpPr>
        <xdr:cNvPr id="1037" name="Object 13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83820</xdr:colOff>
      <xdr:row>25</xdr:row>
      <xdr:rowOff>106680</xdr:rowOff>
    </xdr:from>
    <xdr:to>
      <xdr:col>5</xdr:col>
      <xdr:colOff>7620</xdr:colOff>
      <xdr:row>28</xdr:row>
      <xdr:rowOff>7620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EDDE22AE-9597-4A52-8B03-2070CA41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4800600"/>
          <a:ext cx="25831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502920</xdr:colOff>
      <xdr:row>57</xdr:row>
      <xdr:rowOff>0</xdr:rowOff>
    </xdr:from>
    <xdr:to>
      <xdr:col>4</xdr:col>
      <xdr:colOff>60960</xdr:colOff>
      <xdr:row>60</xdr:row>
      <xdr:rowOff>152400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1E23ECFC-ED75-4A12-B025-175E0AD5D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10599420"/>
          <a:ext cx="221742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251460</xdr:colOff>
      <xdr:row>46</xdr:row>
      <xdr:rowOff>38100</xdr:rowOff>
    </xdr:from>
    <xdr:to>
      <xdr:col>11</xdr:col>
      <xdr:colOff>121920</xdr:colOff>
      <xdr:row>47</xdr:row>
      <xdr:rowOff>198120</xdr:rowOff>
    </xdr:to>
    <xdr:pic>
      <xdr:nvPicPr>
        <xdr:cNvPr id="10" name="Picture 5">
          <a:extLst>
            <a:ext uri="{FF2B5EF4-FFF2-40B4-BE49-F238E27FC236}">
              <a16:creationId xmlns:a16="http://schemas.microsoft.com/office/drawing/2014/main" id="{DBD6D414-FDD8-45FC-8952-ACA895BE9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8572500"/>
          <a:ext cx="43738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342900</xdr:colOff>
      <xdr:row>49</xdr:row>
      <xdr:rowOff>99060</xdr:rowOff>
    </xdr:from>
    <xdr:to>
      <xdr:col>16</xdr:col>
      <xdr:colOff>876300</xdr:colOff>
      <xdr:row>53</xdr:row>
      <xdr:rowOff>0</xdr:rowOff>
    </xdr:to>
    <xdr:pic>
      <xdr:nvPicPr>
        <xdr:cNvPr id="11" name="Picture 7">
          <a:extLst>
            <a:ext uri="{FF2B5EF4-FFF2-40B4-BE49-F238E27FC236}">
              <a16:creationId xmlns:a16="http://schemas.microsoft.com/office/drawing/2014/main" id="{AF430F4F-11E3-4E11-8C05-B5EEED18A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9235440"/>
          <a:ext cx="509778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</xdr:colOff>
      <xdr:row>28</xdr:row>
      <xdr:rowOff>152400</xdr:rowOff>
    </xdr:from>
    <xdr:to>
      <xdr:col>5</xdr:col>
      <xdr:colOff>236220</xdr:colOff>
      <xdr:row>30</xdr:row>
      <xdr:rowOff>0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1B1099F8-522A-4766-A2E6-BD8C56269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5394960"/>
          <a:ext cx="28879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251460</xdr:colOff>
      <xdr:row>25</xdr:row>
      <xdr:rowOff>137160</xdr:rowOff>
    </xdr:from>
    <xdr:to>
      <xdr:col>15</xdr:col>
      <xdr:colOff>38100</xdr:colOff>
      <xdr:row>29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9071EEE-B8F1-4289-93B5-C30A59AE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4831080"/>
          <a:ext cx="449580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</xdr:colOff>
      <xdr:row>20</xdr:row>
      <xdr:rowOff>182880</xdr:rowOff>
    </xdr:from>
    <xdr:to>
      <xdr:col>23</xdr:col>
      <xdr:colOff>60960</xdr:colOff>
      <xdr:row>24</xdr:row>
      <xdr:rowOff>137160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2E8BDDB-7218-45CD-8432-82EEC9B93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26640" y="3954780"/>
          <a:ext cx="291084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108916</xdr:colOff>
      <xdr:row>33</xdr:row>
      <xdr:rowOff>77515</xdr:rowOff>
    </xdr:from>
    <xdr:to>
      <xdr:col>9</xdr:col>
      <xdr:colOff>61291</xdr:colOff>
      <xdr:row>46</xdr:row>
      <xdr:rowOff>172765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314326</xdr:colOff>
      <xdr:row>33</xdr:row>
      <xdr:rowOff>108858</xdr:rowOff>
    </xdr:from>
    <xdr:to>
      <xdr:col>26</xdr:col>
      <xdr:colOff>228600</xdr:colOff>
      <xdr:row>47</xdr:row>
      <xdr:rowOff>13608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52</xdr:row>
      <xdr:rowOff>28575</xdr:rowOff>
    </xdr:from>
    <xdr:to>
      <xdr:col>4</xdr:col>
      <xdr:colOff>225819</xdr:colOff>
      <xdr:row>54</xdr:row>
      <xdr:rowOff>152400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1925" y="9363075"/>
          <a:ext cx="3223472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163286</xdr:colOff>
      <xdr:row>52</xdr:row>
      <xdr:rowOff>107496</xdr:rowOff>
    </xdr:from>
    <xdr:to>
      <xdr:col>10</xdr:col>
      <xdr:colOff>967841</xdr:colOff>
      <xdr:row>56</xdr:row>
      <xdr:rowOff>46223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rcRect l="33664" r="6483" b="53644"/>
        <a:stretch>
          <a:fillRect/>
        </a:stretch>
      </xdr:blipFill>
      <xdr:spPr bwMode="auto">
        <a:xfrm>
          <a:off x="4611461" y="9441996"/>
          <a:ext cx="2192484" cy="700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171450</xdr:colOff>
      <xdr:row>24</xdr:row>
      <xdr:rowOff>38100</xdr:rowOff>
    </xdr:from>
    <xdr:to>
      <xdr:col>11</xdr:col>
      <xdr:colOff>235836</xdr:colOff>
      <xdr:row>27</xdr:row>
      <xdr:rowOff>52199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4"/>
        <a:srcRect l="33664" r="6483" b="53644"/>
        <a:stretch>
          <a:fillRect/>
        </a:stretch>
      </xdr:blipFill>
      <xdr:spPr bwMode="auto">
        <a:xfrm>
          <a:off x="5229225" y="3971925"/>
          <a:ext cx="2071439" cy="5855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213634</xdr:colOff>
      <xdr:row>33</xdr:row>
      <xdr:rowOff>25852</xdr:rowOff>
    </xdr:from>
    <xdr:to>
      <xdr:col>15</xdr:col>
      <xdr:colOff>549088</xdr:colOff>
      <xdr:row>46</xdr:row>
      <xdr:rowOff>179293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183958</xdr:colOff>
      <xdr:row>2</xdr:row>
      <xdr:rowOff>135466</xdr:rowOff>
    </xdr:from>
    <xdr:to>
      <xdr:col>35</xdr:col>
      <xdr:colOff>304800</xdr:colOff>
      <xdr:row>27</xdr:row>
      <xdr:rowOff>50799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6"/>
        <a:srcRect l="23713" t="19133" r="11358" b="17489"/>
        <a:stretch>
          <a:fillRect/>
        </a:stretch>
      </xdr:blipFill>
      <xdr:spPr bwMode="auto">
        <a:xfrm>
          <a:off x="18175625" y="558799"/>
          <a:ext cx="6216842" cy="46312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256941</xdr:colOff>
      <xdr:row>7</xdr:row>
      <xdr:rowOff>101646</xdr:rowOff>
    </xdr:from>
    <xdr:to>
      <xdr:col>0</xdr:col>
      <xdr:colOff>258529</xdr:colOff>
      <xdr:row>9</xdr:row>
      <xdr:rowOff>793</xdr:rowOff>
    </xdr:to>
    <xdr:cxnSp macro="">
      <xdr:nvCxnSpPr>
        <xdr:cNvPr id="11" name="Connettore 2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rot="5400000">
          <a:off x="112058" y="1636058"/>
          <a:ext cx="291353" cy="1588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258533</xdr:colOff>
      <xdr:row>72</xdr:row>
      <xdr:rowOff>122464</xdr:rowOff>
    </xdr:from>
    <xdr:to>
      <xdr:col>18</xdr:col>
      <xdr:colOff>204107</xdr:colOff>
      <xdr:row>95</xdr:row>
      <xdr:rowOff>108857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530678</xdr:colOff>
      <xdr:row>60</xdr:row>
      <xdr:rowOff>95250</xdr:rowOff>
    </xdr:from>
    <xdr:to>
      <xdr:col>24</xdr:col>
      <xdr:colOff>423181</xdr:colOff>
      <xdr:row>63</xdr:row>
      <xdr:rowOff>95250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675428" y="11525250"/>
          <a:ext cx="1117146" cy="5715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176893</xdr:colOff>
      <xdr:row>66</xdr:row>
      <xdr:rowOff>13606</xdr:rowOff>
    </xdr:from>
    <xdr:to>
      <xdr:col>4</xdr:col>
      <xdr:colOff>512989</xdr:colOff>
      <xdr:row>69</xdr:row>
      <xdr:rowOff>13606</xdr:rowOff>
    </xdr:to>
    <xdr:pic>
      <xdr:nvPicPr>
        <xdr:cNvPr id="13" name="Picture 1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14500" y="12600213"/>
          <a:ext cx="1628775" cy="571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525780</xdr:colOff>
      <xdr:row>60</xdr:row>
      <xdr:rowOff>30480</xdr:rowOff>
    </xdr:from>
    <xdr:to>
      <xdr:col>3</xdr:col>
      <xdr:colOff>533400</xdr:colOff>
      <xdr:row>62</xdr:row>
      <xdr:rowOff>45720</xdr:rowOff>
    </xdr:to>
    <xdr:sp macro="" textlink="">
      <xdr:nvSpPr>
        <xdr:cNvPr id="2050" name="Object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137160</xdr:colOff>
      <xdr:row>51</xdr:row>
      <xdr:rowOff>7620</xdr:rowOff>
    </xdr:from>
    <xdr:to>
      <xdr:col>11</xdr:col>
      <xdr:colOff>312420</xdr:colOff>
      <xdr:row>52</xdr:row>
      <xdr:rowOff>114300</xdr:rowOff>
    </xdr:to>
    <xdr:sp macro="" textlink="">
      <xdr:nvSpPr>
        <xdr:cNvPr id="2051" name="Object 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297180</xdr:colOff>
      <xdr:row>54</xdr:row>
      <xdr:rowOff>38100</xdr:rowOff>
    </xdr:from>
    <xdr:to>
      <xdr:col>17</xdr:col>
      <xdr:colOff>822960</xdr:colOff>
      <xdr:row>56</xdr:row>
      <xdr:rowOff>106680</xdr:rowOff>
    </xdr:to>
    <xdr:sp macro="" textlink="">
      <xdr:nvSpPr>
        <xdr:cNvPr id="2052" name="Object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464820</xdr:colOff>
      <xdr:row>23</xdr:row>
      <xdr:rowOff>182880</xdr:rowOff>
    </xdr:from>
    <xdr:to>
      <xdr:col>23</xdr:col>
      <xdr:colOff>457200</xdr:colOff>
      <xdr:row>26</xdr:row>
      <xdr:rowOff>144780</xdr:rowOff>
    </xdr:to>
    <xdr:sp macro="" textlink="">
      <xdr:nvSpPr>
        <xdr:cNvPr id="2055" name="Object 7" hidden="1">
          <a:extLst>
            <a:ext uri="{63B3BB69-23CF-44E3-9099-C40C66FF867C}">
              <a14:compatExt xmlns:a14="http://schemas.microsoft.com/office/drawing/2010/main" spid="_x0000_s2055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198120</xdr:colOff>
      <xdr:row>28</xdr:row>
      <xdr:rowOff>106680</xdr:rowOff>
    </xdr:from>
    <xdr:to>
      <xdr:col>6</xdr:col>
      <xdr:colOff>30480</xdr:colOff>
      <xdr:row>30</xdr:row>
      <xdr:rowOff>137160</xdr:rowOff>
    </xdr:to>
    <xdr:sp macro="" textlink="">
      <xdr:nvSpPr>
        <xdr:cNvPr id="2060" name="Object 12" hidden="1">
          <a:extLst>
            <a:ext uri="{63B3BB69-23CF-44E3-9099-C40C66FF867C}">
              <a14:compatExt xmlns:a14="http://schemas.microsoft.com/office/drawing/2010/main" spid="_x0000_s2060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220980</xdr:colOff>
      <xdr:row>28</xdr:row>
      <xdr:rowOff>152400</xdr:rowOff>
    </xdr:from>
    <xdr:to>
      <xdr:col>15</xdr:col>
      <xdr:colOff>487680</xdr:colOff>
      <xdr:row>30</xdr:row>
      <xdr:rowOff>160020</xdr:rowOff>
    </xdr:to>
    <xdr:sp macro="" textlink="">
      <xdr:nvSpPr>
        <xdr:cNvPr id="2061" name="Object 13" hidden="1">
          <a:extLst>
            <a:ext uri="{63B3BB69-23CF-44E3-9099-C40C66FF867C}">
              <a14:compatExt xmlns:a14="http://schemas.microsoft.com/office/drawing/2010/main" spid="_x0000_s2061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525780</xdr:colOff>
      <xdr:row>60</xdr:row>
      <xdr:rowOff>30479</xdr:rowOff>
    </xdr:from>
    <xdr:to>
      <xdr:col>6</xdr:col>
      <xdr:colOff>451675</xdr:colOff>
      <xdr:row>63</xdr:row>
      <xdr:rowOff>135466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81E83D5E-6B4A-4736-A019-35C11334D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11375812"/>
          <a:ext cx="4201562" cy="663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137160</xdr:colOff>
      <xdr:row>51</xdr:row>
      <xdr:rowOff>7620</xdr:rowOff>
    </xdr:from>
    <xdr:to>
      <xdr:col>11</xdr:col>
      <xdr:colOff>312420</xdr:colOff>
      <xdr:row>52</xdr:row>
      <xdr:rowOff>114300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4F964CD2-1A4A-4DA5-9AB8-EEC96279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9509760"/>
          <a:ext cx="36347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297180</xdr:colOff>
      <xdr:row>54</xdr:row>
      <xdr:rowOff>38100</xdr:rowOff>
    </xdr:from>
    <xdr:to>
      <xdr:col>17</xdr:col>
      <xdr:colOff>822960</xdr:colOff>
      <xdr:row>56</xdr:row>
      <xdr:rowOff>106680</xdr:rowOff>
    </xdr:to>
    <xdr:pic>
      <xdr:nvPicPr>
        <xdr:cNvPr id="15" name="Picture 4">
          <a:extLst>
            <a:ext uri="{FF2B5EF4-FFF2-40B4-BE49-F238E27FC236}">
              <a16:creationId xmlns:a16="http://schemas.microsoft.com/office/drawing/2014/main" id="{A27CD442-073B-40BE-94BC-7AEE00220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7280" y="10088880"/>
          <a:ext cx="453390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464820</xdr:colOff>
      <xdr:row>23</xdr:row>
      <xdr:rowOff>182880</xdr:rowOff>
    </xdr:from>
    <xdr:to>
      <xdr:col>23</xdr:col>
      <xdr:colOff>457200</xdr:colOff>
      <xdr:row>26</xdr:row>
      <xdr:rowOff>144780</xdr:rowOff>
    </xdr:to>
    <xdr:pic>
      <xdr:nvPicPr>
        <xdr:cNvPr id="16" name="Picture 7">
          <a:extLst>
            <a:ext uri="{FF2B5EF4-FFF2-40B4-BE49-F238E27FC236}">
              <a16:creationId xmlns:a16="http://schemas.microsoft.com/office/drawing/2014/main" id="{72C91797-E9FA-4B51-82EB-430C385C6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9040" y="4503420"/>
          <a:ext cx="204216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198120</xdr:colOff>
      <xdr:row>28</xdr:row>
      <xdr:rowOff>106680</xdr:rowOff>
    </xdr:from>
    <xdr:to>
      <xdr:col>6</xdr:col>
      <xdr:colOff>30480</xdr:colOff>
      <xdr:row>30</xdr:row>
      <xdr:rowOff>137160</xdr:rowOff>
    </xdr:to>
    <xdr:pic>
      <xdr:nvPicPr>
        <xdr:cNvPr id="17" name="Picture 12">
          <a:extLst>
            <a:ext uri="{FF2B5EF4-FFF2-40B4-BE49-F238E27FC236}">
              <a16:creationId xmlns:a16="http://schemas.microsoft.com/office/drawing/2014/main" id="{46D31DA0-29BF-4BA7-9227-769D8E102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349240"/>
          <a:ext cx="235458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220980</xdr:colOff>
      <xdr:row>28</xdr:row>
      <xdr:rowOff>152400</xdr:rowOff>
    </xdr:from>
    <xdr:to>
      <xdr:col>15</xdr:col>
      <xdr:colOff>487680</xdr:colOff>
      <xdr:row>30</xdr:row>
      <xdr:rowOff>160020</xdr:rowOff>
    </xdr:to>
    <xdr:pic>
      <xdr:nvPicPr>
        <xdr:cNvPr id="18" name="Picture 13">
          <a:extLst>
            <a:ext uri="{FF2B5EF4-FFF2-40B4-BE49-F238E27FC236}">
              <a16:creationId xmlns:a16="http://schemas.microsoft.com/office/drawing/2014/main" id="{21E176F4-96C8-4CC4-ABE7-9A0824B84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7660" y="5394960"/>
          <a:ext cx="355092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lvatore\AppData\Roaming\Microsoft\Excel\Dati%20elica%20&amp;%20motore_pd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enza_disponibile"/>
      <sheetName val="Potenza_necessaria"/>
      <sheetName val="motore+elica_ESATTO"/>
      <sheetName val="disp_neccessarie"/>
      <sheetName val="consumi"/>
      <sheetName val="curve_per_Salvat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O3">
            <v>2.6087833333333332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66"/>
  <sheetViews>
    <sheetView topLeftCell="A10" zoomScale="85" zoomScaleNormal="85" workbookViewId="0">
      <selection activeCell="X27" sqref="X27"/>
    </sheetView>
  </sheetViews>
  <sheetFormatPr defaultRowHeight="14.4" x14ac:dyDescent="0.3"/>
  <cols>
    <col min="2" max="2" width="13.109375" customWidth="1"/>
    <col min="4" max="4" width="7.88671875" customWidth="1"/>
    <col min="7" max="7" width="12.33203125" customWidth="1"/>
    <col min="10" max="10" width="11.6640625" customWidth="1"/>
    <col min="11" max="11" width="15" customWidth="1"/>
    <col min="12" max="12" width="14.33203125" customWidth="1"/>
    <col min="13" max="13" width="11.6640625" customWidth="1"/>
    <col min="14" max="14" width="15.109375" customWidth="1"/>
    <col min="15" max="15" width="12.5546875" customWidth="1"/>
    <col min="16" max="16" width="12.88671875" customWidth="1"/>
    <col min="17" max="17" width="14.6640625" customWidth="1"/>
    <col min="18" max="18" width="10.109375" customWidth="1"/>
    <col min="19" max="19" width="13.88671875" customWidth="1"/>
    <col min="21" max="21" width="15.44140625" customWidth="1"/>
  </cols>
  <sheetData>
    <row r="2" spans="1:23" ht="18.600000000000001" thickBot="1" x14ac:dyDescent="0.4">
      <c r="B2" s="15" t="s">
        <v>97</v>
      </c>
      <c r="S2" s="47" t="s">
        <v>101</v>
      </c>
      <c r="T2" s="47"/>
      <c r="U2" s="47"/>
      <c r="V2" s="47"/>
      <c r="W2" s="47"/>
    </row>
    <row r="3" spans="1:23" x14ac:dyDescent="0.3">
      <c r="B3" s="2" t="s">
        <v>23</v>
      </c>
      <c r="C3" s="4">
        <v>74000</v>
      </c>
      <c r="D3" s="4" t="s">
        <v>24</v>
      </c>
      <c r="E3" s="4"/>
      <c r="F3" s="3" t="s">
        <v>3</v>
      </c>
      <c r="G3" s="4">
        <v>5.65</v>
      </c>
      <c r="H3" s="4" t="s">
        <v>29</v>
      </c>
      <c r="I3" s="4"/>
      <c r="J3" s="3" t="s">
        <v>32</v>
      </c>
      <c r="K3" s="4">
        <v>2.1</v>
      </c>
      <c r="L3" s="4"/>
      <c r="M3" s="4"/>
      <c r="N3" s="3" t="s">
        <v>36</v>
      </c>
      <c r="O3" s="4">
        <v>25</v>
      </c>
      <c r="P3" s="4" t="s">
        <v>37</v>
      </c>
      <c r="Q3" s="4"/>
      <c r="R3" s="4"/>
      <c r="S3" s="3" t="s">
        <v>44</v>
      </c>
      <c r="T3" s="4">
        <v>6.24</v>
      </c>
      <c r="U3" s="4" t="s">
        <v>29</v>
      </c>
      <c r="V3" s="4" t="s">
        <v>58</v>
      </c>
      <c r="W3" s="5">
        <v>0.3</v>
      </c>
    </row>
    <row r="4" spans="1:23" x14ac:dyDescent="0.3">
      <c r="B4" s="6" t="s">
        <v>25</v>
      </c>
      <c r="C4" s="7">
        <v>22700</v>
      </c>
      <c r="D4" s="7" t="s">
        <v>24</v>
      </c>
      <c r="E4" s="7"/>
      <c r="F4" s="14" t="s">
        <v>31</v>
      </c>
      <c r="G4" s="7">
        <v>18.100000000000001</v>
      </c>
      <c r="H4" s="7" t="s">
        <v>29</v>
      </c>
      <c r="I4" s="7"/>
      <c r="J4" s="14" t="s">
        <v>33</v>
      </c>
      <c r="K4" s="7">
        <v>3.05</v>
      </c>
      <c r="L4" s="7"/>
      <c r="M4" s="7"/>
      <c r="N4" s="7"/>
      <c r="O4" s="7"/>
      <c r="P4" s="7"/>
      <c r="Q4" s="7"/>
      <c r="R4" s="7"/>
      <c r="S4" s="14" t="s">
        <v>5</v>
      </c>
      <c r="T4" s="7">
        <v>23.5</v>
      </c>
      <c r="U4" s="7" t="s">
        <v>27</v>
      </c>
      <c r="V4" s="7" t="s">
        <v>59</v>
      </c>
      <c r="W4" s="8">
        <v>0.3</v>
      </c>
    </row>
    <row r="5" spans="1:23" x14ac:dyDescent="0.3">
      <c r="B5" s="6" t="s">
        <v>26</v>
      </c>
      <c r="C5" s="7">
        <v>124</v>
      </c>
      <c r="D5" s="7" t="s">
        <v>27</v>
      </c>
      <c r="E5" s="7"/>
      <c r="F5" s="7"/>
      <c r="G5" s="7"/>
      <c r="H5" s="7"/>
      <c r="I5" s="7"/>
      <c r="J5" s="14" t="s">
        <v>34</v>
      </c>
      <c r="K5" s="7">
        <v>0.1</v>
      </c>
      <c r="L5" s="7" t="s">
        <v>35</v>
      </c>
      <c r="M5" s="7"/>
      <c r="N5" s="14" t="s">
        <v>15</v>
      </c>
      <c r="O5" s="7">
        <v>0.95</v>
      </c>
      <c r="P5" s="7"/>
      <c r="Q5" s="7"/>
      <c r="R5" s="7"/>
      <c r="S5" s="14" t="s">
        <v>45</v>
      </c>
      <c r="T5" s="7">
        <f>T3^2/T4</f>
        <v>1.6569191489361703</v>
      </c>
      <c r="U5" s="7"/>
      <c r="V5" s="7"/>
      <c r="W5" s="8"/>
    </row>
    <row r="6" spans="1:23" x14ac:dyDescent="0.3">
      <c r="B6" s="6" t="s">
        <v>28</v>
      </c>
      <c r="C6" s="7">
        <v>33.9</v>
      </c>
      <c r="D6" s="7" t="s">
        <v>29</v>
      </c>
      <c r="E6" s="7"/>
      <c r="F6" s="14" t="s">
        <v>16</v>
      </c>
      <c r="G6" s="7">
        <f>T4*G4/(C5*C6)</f>
        <v>0.10118707774288707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4" t="s">
        <v>46</v>
      </c>
      <c r="T6" s="7">
        <v>2.7</v>
      </c>
      <c r="U6" s="7" t="s">
        <v>29</v>
      </c>
      <c r="V6" s="7"/>
      <c r="W6" s="8"/>
    </row>
    <row r="7" spans="1:23" x14ac:dyDescent="0.3">
      <c r="B7" s="6" t="s">
        <v>30</v>
      </c>
      <c r="C7" s="7">
        <f>C6^2/C5</f>
        <v>9.2678225806451593</v>
      </c>
      <c r="D7" s="7"/>
      <c r="E7" s="7"/>
      <c r="F7" s="7"/>
      <c r="G7" s="7"/>
      <c r="H7" s="7"/>
      <c r="I7" s="7"/>
      <c r="J7" s="16" t="s">
        <v>67</v>
      </c>
      <c r="K7" s="27">
        <v>0.3</v>
      </c>
      <c r="L7" s="7"/>
      <c r="M7" s="7"/>
      <c r="N7" s="7"/>
      <c r="O7" s="7"/>
      <c r="P7" s="7"/>
      <c r="Q7" s="7"/>
      <c r="R7" s="7"/>
      <c r="S7" s="14" t="s">
        <v>14</v>
      </c>
      <c r="T7" s="7">
        <v>33</v>
      </c>
      <c r="U7" s="7">
        <f>T7/57.3</f>
        <v>0.5759162303664922</v>
      </c>
      <c r="V7" s="7"/>
      <c r="W7" s="8"/>
    </row>
    <row r="8" spans="1:23" ht="15" thickBot="1" x14ac:dyDescent="0.35">
      <c r="B8" s="25" t="s">
        <v>66</v>
      </c>
      <c r="C8" s="11">
        <v>30</v>
      </c>
      <c r="D8" s="11">
        <f>C8/57.3</f>
        <v>0.52356020942408377</v>
      </c>
      <c r="E8" s="11"/>
      <c r="F8" s="28" t="s">
        <v>69</v>
      </c>
      <c r="G8" s="11">
        <v>64000</v>
      </c>
      <c r="H8" s="11" t="s">
        <v>24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26" t="s">
        <v>62</v>
      </c>
      <c r="T8" s="11">
        <f>T3/T6</f>
        <v>2.3111111111111109</v>
      </c>
      <c r="U8" s="11"/>
      <c r="V8" s="11"/>
      <c r="W8" s="12"/>
    </row>
    <row r="9" spans="1:23" x14ac:dyDescent="0.3">
      <c r="B9" s="14"/>
      <c r="C9" s="7"/>
      <c r="D9" s="7"/>
      <c r="E9" s="7"/>
      <c r="F9" s="1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"/>
      <c r="T9" s="7"/>
      <c r="U9" s="7"/>
      <c r="V9" s="7"/>
      <c r="W9" s="7"/>
    </row>
    <row r="10" spans="1:23" ht="18.600000000000001" thickBot="1" x14ac:dyDescent="0.4">
      <c r="A10" s="17">
        <v>1</v>
      </c>
      <c r="B10" s="14" t="s">
        <v>98</v>
      </c>
      <c r="C10" s="7"/>
      <c r="D10" s="7"/>
      <c r="E10" s="7"/>
    </row>
    <row r="11" spans="1:23" x14ac:dyDescent="0.3">
      <c r="B11" s="13" t="s">
        <v>99</v>
      </c>
      <c r="C11" s="3" t="s">
        <v>2</v>
      </c>
      <c r="D11" s="4">
        <f>C4*9.81</f>
        <v>222687</v>
      </c>
      <c r="E11" s="3" t="s">
        <v>40</v>
      </c>
      <c r="F11" s="23" t="s">
        <v>100</v>
      </c>
      <c r="G11" s="24"/>
      <c r="H11" s="4"/>
      <c r="I11" s="4"/>
      <c r="J11" s="4"/>
      <c r="K11" s="4"/>
      <c r="L11" s="4"/>
      <c r="M11" s="4"/>
      <c r="N11" s="4"/>
      <c r="O11" s="4"/>
      <c r="P11" s="4"/>
      <c r="Q11" s="5"/>
      <c r="S11" s="2" t="s">
        <v>103</v>
      </c>
      <c r="T11" s="4"/>
      <c r="U11" s="4"/>
      <c r="V11" s="3" t="s">
        <v>6</v>
      </c>
      <c r="W11" s="5"/>
    </row>
    <row r="12" spans="1:23" x14ac:dyDescent="0.3">
      <c r="B12" s="6" t="s">
        <v>1</v>
      </c>
      <c r="C12" s="7"/>
      <c r="D12" s="7" t="s">
        <v>39</v>
      </c>
      <c r="E12" s="7" t="s">
        <v>47</v>
      </c>
      <c r="F12" s="6" t="s">
        <v>42</v>
      </c>
      <c r="G12" s="16" t="s">
        <v>6</v>
      </c>
      <c r="H12" s="16" t="s">
        <v>13</v>
      </c>
      <c r="I12" s="16" t="s">
        <v>48</v>
      </c>
      <c r="J12" s="16" t="s">
        <v>54</v>
      </c>
      <c r="K12" s="16" t="s">
        <v>55</v>
      </c>
      <c r="L12" s="16" t="s">
        <v>55</v>
      </c>
      <c r="M12" s="16" t="s">
        <v>10</v>
      </c>
      <c r="N12" s="16" t="s">
        <v>57</v>
      </c>
      <c r="O12" s="16" t="s">
        <v>60</v>
      </c>
      <c r="P12" s="16" t="s">
        <v>104</v>
      </c>
      <c r="Q12" s="18" t="s">
        <v>105</v>
      </c>
      <c r="R12" s="16"/>
      <c r="S12" s="9"/>
      <c r="T12" s="7"/>
      <c r="U12" s="7">
        <v>0</v>
      </c>
      <c r="V12" s="7">
        <v>74.2</v>
      </c>
      <c r="W12" s="8" t="s">
        <v>7</v>
      </c>
    </row>
    <row r="13" spans="1:23" x14ac:dyDescent="0.3">
      <c r="B13" s="9">
        <v>20</v>
      </c>
      <c r="C13" s="7">
        <f>(1-2*10^-3*B13)*$D$11/2</f>
        <v>106889.76</v>
      </c>
      <c r="D13" s="7" t="s">
        <v>4</v>
      </c>
      <c r="E13" s="7">
        <f>C13*$G$3</f>
        <v>603927.14399999997</v>
      </c>
      <c r="F13" s="9" t="s">
        <v>43</v>
      </c>
      <c r="G13" s="7" t="s">
        <v>43</v>
      </c>
      <c r="H13" s="7"/>
      <c r="I13" s="14" t="s">
        <v>49</v>
      </c>
      <c r="J13" s="7"/>
      <c r="K13" s="7" t="s">
        <v>56</v>
      </c>
      <c r="L13" s="7" t="s">
        <v>56</v>
      </c>
      <c r="M13" s="7"/>
      <c r="N13" s="7" t="s">
        <v>56</v>
      </c>
      <c r="O13" s="7"/>
      <c r="P13" s="7" t="s">
        <v>63</v>
      </c>
      <c r="Q13" s="8" t="s">
        <v>64</v>
      </c>
      <c r="S13" s="19">
        <f t="shared" ref="S13:S25" si="0">(629094-1258*B13)/(4.645*B13^2)</f>
        <v>325.0452099031217</v>
      </c>
      <c r="T13" s="7"/>
      <c r="U13" s="7">
        <v>40</v>
      </c>
      <c r="V13" s="7">
        <v>74.2</v>
      </c>
      <c r="W13" s="8"/>
    </row>
    <row r="14" spans="1:23" x14ac:dyDescent="0.3">
      <c r="B14" s="9">
        <v>30</v>
      </c>
      <c r="C14" s="7">
        <f t="shared" ref="C14:C25" si="1">(1-2*10^-3*B14)*$D$11/2</f>
        <v>104662.89</v>
      </c>
      <c r="D14" s="7"/>
      <c r="E14" s="7">
        <f t="shared" ref="E14:E25" si="2">C14*$G$3</f>
        <v>591345.32850000006</v>
      </c>
      <c r="F14" s="19">
        <f>SQRT($C$3*9.81/(0.5*1.225*$C$5*$K$3))</f>
        <v>67.464736287484925</v>
      </c>
      <c r="G14" s="20">
        <f>F14*1.1</f>
        <v>74.211209916233429</v>
      </c>
      <c r="H14" s="21">
        <f>G14/340</f>
        <v>0.21826826445951009</v>
      </c>
      <c r="I14" s="36" t="s">
        <v>50</v>
      </c>
      <c r="J14" s="7">
        <f>T5*I17*(1+I19*(I21-1))</f>
        <v>2.6510706382978726</v>
      </c>
      <c r="K14" s="22">
        <f>(K5*57.3*COS(U7))/(SQRT(1-H14^2+(K5*57.3*COS(U7)/(3.14*J14))^2)+(K5*57.3*COS(U7)/(3.14*J14)))</f>
        <v>2.8084393673157297</v>
      </c>
      <c r="L14" s="22">
        <f>K14*T4/C5</f>
        <v>0.53224455751548094</v>
      </c>
      <c r="M14" s="7">
        <f>0.724+3.06*$T$4/$C$5*(1/(1+COS($D$8)))+0.4*$K$7+0.009*$C$7</f>
        <v>1.2381850374662686</v>
      </c>
      <c r="N14" s="22">
        <f>-K14*M14*I15</f>
        <v>-2.7818940825932565</v>
      </c>
      <c r="O14" s="7">
        <f>0.66*0.55</f>
        <v>0.36300000000000004</v>
      </c>
      <c r="P14" s="43">
        <f t="shared" ref="P14:P25" si="3">$K$14*$O$14*$O$3/57.3*0.5*1.225*B13^2*$T$4*$G$4*$O$5</f>
        <v>44034.512294597349</v>
      </c>
      <c r="Q14" s="44">
        <f t="shared" ref="Q14:Q25" si="4">-$N$14*$O$14*$O$3/57.3*0.5*1.225*B13^2*$T$4*$G$4*$O$5</f>
        <v>43618.299404235899</v>
      </c>
      <c r="S14" s="19">
        <f t="shared" si="0"/>
        <v>141.45532831001077</v>
      </c>
      <c r="T14" s="7"/>
      <c r="U14" s="7"/>
      <c r="V14" s="7"/>
      <c r="W14" s="8"/>
    </row>
    <row r="15" spans="1:23" x14ac:dyDescent="0.3">
      <c r="B15" s="9">
        <v>40</v>
      </c>
      <c r="C15" s="7">
        <f t="shared" si="1"/>
        <v>102436.02</v>
      </c>
      <c r="D15" s="7"/>
      <c r="E15" s="7">
        <f t="shared" si="2"/>
        <v>578763.51300000004</v>
      </c>
      <c r="F15" s="9"/>
      <c r="G15" s="7"/>
      <c r="H15" s="7"/>
      <c r="I15" s="7">
        <v>0.8</v>
      </c>
      <c r="J15" s="7"/>
      <c r="K15" s="7" t="s">
        <v>35</v>
      </c>
      <c r="L15" s="7"/>
      <c r="M15" s="7"/>
      <c r="N15" s="7"/>
      <c r="O15" s="7"/>
      <c r="P15" s="43">
        <f t="shared" si="3"/>
        <v>99077.652662844033</v>
      </c>
      <c r="Q15" s="44">
        <f t="shared" si="4"/>
        <v>98141.173659530774</v>
      </c>
      <c r="S15" s="19">
        <f t="shared" si="0"/>
        <v>77.875941872981713</v>
      </c>
      <c r="T15" s="7"/>
      <c r="U15" s="7"/>
      <c r="V15" s="7"/>
      <c r="W15" s="8"/>
    </row>
    <row r="16" spans="1:23" x14ac:dyDescent="0.3">
      <c r="B16" s="9">
        <v>50</v>
      </c>
      <c r="C16" s="7">
        <f t="shared" si="1"/>
        <v>100209.15000000001</v>
      </c>
      <c r="D16" s="7"/>
      <c r="E16" s="7">
        <f t="shared" si="2"/>
        <v>566181.69750000013</v>
      </c>
      <c r="F16" s="9"/>
      <c r="G16" s="7"/>
      <c r="H16" s="7"/>
      <c r="I16" s="36" t="s">
        <v>51</v>
      </c>
      <c r="J16" s="7"/>
      <c r="K16" s="7">
        <f>K14/57.3</f>
        <v>4.9012903443555494E-2</v>
      </c>
      <c r="L16" s="7"/>
      <c r="M16" s="7"/>
      <c r="N16" s="7"/>
      <c r="O16" s="7"/>
      <c r="P16" s="43">
        <f t="shared" si="3"/>
        <v>176138.0491783894</v>
      </c>
      <c r="Q16" s="44">
        <f t="shared" si="4"/>
        <v>174473.19761694359</v>
      </c>
      <c r="S16" s="19">
        <f t="shared" si="0"/>
        <v>48.757287405812711</v>
      </c>
      <c r="T16" s="7"/>
      <c r="U16" s="7"/>
      <c r="V16" s="7"/>
      <c r="W16" s="8"/>
    </row>
    <row r="17" spans="2:23" x14ac:dyDescent="0.3">
      <c r="B17" s="9">
        <v>60</v>
      </c>
      <c r="C17" s="7">
        <f t="shared" si="1"/>
        <v>97982.28</v>
      </c>
      <c r="D17" s="7"/>
      <c r="E17" s="7">
        <f t="shared" si="2"/>
        <v>553599.88199999998</v>
      </c>
      <c r="F17" s="9"/>
      <c r="G17" s="7"/>
      <c r="H17" s="7"/>
      <c r="I17" s="7">
        <v>1.6</v>
      </c>
      <c r="J17" s="7"/>
      <c r="K17" s="7"/>
      <c r="L17" s="7"/>
      <c r="M17" s="7"/>
      <c r="N17" s="7"/>
      <c r="O17" s="7"/>
      <c r="P17" s="43">
        <f t="shared" si="3"/>
        <v>275215.70184123341</v>
      </c>
      <c r="Q17" s="44">
        <f t="shared" si="4"/>
        <v>272614.37127647438</v>
      </c>
      <c r="S17" s="19">
        <f t="shared" si="0"/>
        <v>33.106925008970222</v>
      </c>
      <c r="T17" s="7"/>
      <c r="U17" s="7"/>
      <c r="V17" s="7"/>
      <c r="W17" s="8"/>
    </row>
    <row r="18" spans="2:23" x14ac:dyDescent="0.3">
      <c r="B18" s="9">
        <v>70</v>
      </c>
      <c r="C18" s="7">
        <f t="shared" si="1"/>
        <v>95755.41</v>
      </c>
      <c r="D18" s="7"/>
      <c r="E18" s="7">
        <f t="shared" si="2"/>
        <v>541018.06650000007</v>
      </c>
      <c r="F18" s="9"/>
      <c r="G18" s="7"/>
      <c r="H18" s="7"/>
      <c r="I18" s="36" t="s">
        <v>52</v>
      </c>
      <c r="J18" s="7"/>
      <c r="K18" s="7"/>
      <c r="L18" s="7"/>
      <c r="M18" s="7"/>
      <c r="N18" s="7"/>
      <c r="O18" s="7"/>
      <c r="P18" s="43">
        <f t="shared" si="3"/>
        <v>396310.61065137613</v>
      </c>
      <c r="Q18" s="44">
        <f t="shared" si="4"/>
        <v>392564.6946381231</v>
      </c>
      <c r="S18" s="19">
        <f t="shared" si="0"/>
        <v>23.770743173480376</v>
      </c>
      <c r="T18" s="7"/>
      <c r="U18" s="7"/>
      <c r="V18" s="7"/>
      <c r="W18" s="8"/>
    </row>
    <row r="19" spans="2:23" x14ac:dyDescent="0.3">
      <c r="B19" s="9">
        <v>80</v>
      </c>
      <c r="C19" s="7">
        <f t="shared" si="1"/>
        <v>93528.54</v>
      </c>
      <c r="D19" s="7"/>
      <c r="E19" s="7">
        <f t="shared" si="2"/>
        <v>528436.25100000005</v>
      </c>
      <c r="F19" s="9"/>
      <c r="G19" s="7"/>
      <c r="H19" s="7"/>
      <c r="I19" s="7">
        <f>1.05</f>
        <v>1.05</v>
      </c>
      <c r="J19" s="7"/>
      <c r="K19" s="7"/>
      <c r="L19" s="7"/>
      <c r="M19" s="7"/>
      <c r="N19" s="7"/>
      <c r="O19" s="7"/>
      <c r="P19" s="43">
        <f t="shared" si="3"/>
        <v>539422.77560881746</v>
      </c>
      <c r="Q19" s="44">
        <f t="shared" si="4"/>
        <v>534324.16770188964</v>
      </c>
      <c r="S19" s="19">
        <f t="shared" si="0"/>
        <v>17.776305166846072</v>
      </c>
      <c r="T19" s="7"/>
      <c r="U19" s="7"/>
      <c r="V19" s="7"/>
      <c r="W19" s="8"/>
    </row>
    <row r="20" spans="2:23" x14ac:dyDescent="0.3">
      <c r="B20" s="9">
        <v>90</v>
      </c>
      <c r="C20" s="7">
        <f t="shared" si="1"/>
        <v>91301.670000000013</v>
      </c>
      <c r="D20" s="7"/>
      <c r="E20" s="7">
        <f t="shared" si="2"/>
        <v>515854.43550000008</v>
      </c>
      <c r="F20" s="9"/>
      <c r="G20" s="7"/>
      <c r="H20" s="7"/>
      <c r="I20" s="36" t="s">
        <v>53</v>
      </c>
      <c r="J20" s="7"/>
      <c r="K20" s="7"/>
      <c r="L20" s="7"/>
      <c r="M20" s="7"/>
      <c r="N20" s="7"/>
      <c r="O20" s="7"/>
      <c r="P20" s="43">
        <f t="shared" si="3"/>
        <v>704552.19671355758</v>
      </c>
      <c r="Q20" s="44">
        <f t="shared" si="4"/>
        <v>697892.79046777438</v>
      </c>
      <c r="S20" s="19">
        <f t="shared" si="0"/>
        <v>13.711119084638998</v>
      </c>
      <c r="T20" s="7"/>
      <c r="U20" s="7"/>
      <c r="V20" s="7"/>
      <c r="W20" s="8"/>
    </row>
    <row r="21" spans="2:23" x14ac:dyDescent="0.3">
      <c r="B21" s="9">
        <v>100</v>
      </c>
      <c r="C21" s="7">
        <f t="shared" si="1"/>
        <v>89074.8</v>
      </c>
      <c r="D21" s="7"/>
      <c r="E21" s="7">
        <f t="shared" si="2"/>
        <v>503272.62000000005</v>
      </c>
      <c r="F21" s="9"/>
      <c r="G21" s="7"/>
      <c r="H21" s="7"/>
      <c r="I21" s="7">
        <v>1</v>
      </c>
      <c r="J21" s="7"/>
      <c r="K21" s="7"/>
      <c r="L21" s="7"/>
      <c r="M21" s="7"/>
      <c r="N21" s="7"/>
      <c r="O21" s="7"/>
      <c r="P21" s="43">
        <f t="shared" si="3"/>
        <v>891698.8739655962</v>
      </c>
      <c r="Q21" s="44">
        <f t="shared" si="4"/>
        <v>883270.56293577689</v>
      </c>
      <c r="S21" s="19">
        <f t="shared" si="0"/>
        <v>10.835177610333695</v>
      </c>
      <c r="T21" s="7"/>
      <c r="U21" s="7"/>
      <c r="V21" s="7"/>
      <c r="W21" s="8"/>
    </row>
    <row r="22" spans="2:23" x14ac:dyDescent="0.3">
      <c r="B22" s="9">
        <v>110</v>
      </c>
      <c r="C22" s="7">
        <f t="shared" si="1"/>
        <v>86847.930000000008</v>
      </c>
      <c r="D22" s="7"/>
      <c r="E22" s="7">
        <f t="shared" si="2"/>
        <v>490690.80450000009</v>
      </c>
      <c r="F22" s="9"/>
      <c r="G22" s="7"/>
      <c r="H22" s="7"/>
      <c r="I22" s="7"/>
      <c r="J22" s="7"/>
      <c r="K22" s="7"/>
      <c r="L22" s="7"/>
      <c r="M22" s="7"/>
      <c r="N22" s="7"/>
      <c r="O22" s="7"/>
      <c r="P22" s="43">
        <f t="shared" si="3"/>
        <v>1100862.8073649337</v>
      </c>
      <c r="Q22" s="44">
        <f t="shared" si="4"/>
        <v>1090457.4851058975</v>
      </c>
      <c r="S22" s="19">
        <f t="shared" si="0"/>
        <v>8.7308667455452866</v>
      </c>
      <c r="T22" s="7"/>
      <c r="U22" s="7"/>
      <c r="V22" s="7"/>
      <c r="W22" s="8"/>
    </row>
    <row r="23" spans="2:23" x14ac:dyDescent="0.3">
      <c r="B23" s="9">
        <v>120</v>
      </c>
      <c r="C23" s="7">
        <f t="shared" si="1"/>
        <v>84621.06</v>
      </c>
      <c r="D23" s="7"/>
      <c r="E23" s="7">
        <f t="shared" si="2"/>
        <v>478108.989</v>
      </c>
      <c r="F23" s="9"/>
      <c r="G23" s="7"/>
      <c r="H23" s="7"/>
      <c r="I23" s="7"/>
      <c r="J23" s="7"/>
      <c r="K23" s="7"/>
      <c r="L23" s="7"/>
      <c r="M23" s="7"/>
      <c r="N23" s="7"/>
      <c r="O23" s="7"/>
      <c r="P23" s="43">
        <f t="shared" si="3"/>
        <v>1332043.9969115697</v>
      </c>
      <c r="Q23" s="44">
        <f t="shared" si="4"/>
        <v>1319453.5569781361</v>
      </c>
      <c r="S23" s="19">
        <f t="shared" si="0"/>
        <v>7.1482777179763186</v>
      </c>
      <c r="T23" s="7"/>
      <c r="U23" s="7"/>
      <c r="V23" s="7"/>
      <c r="W23" s="8"/>
    </row>
    <row r="24" spans="2:23" x14ac:dyDescent="0.3">
      <c r="B24" s="9">
        <v>130</v>
      </c>
      <c r="C24" s="7">
        <f t="shared" si="1"/>
        <v>82394.19</v>
      </c>
      <c r="D24" s="7"/>
      <c r="E24" s="7">
        <f t="shared" si="2"/>
        <v>465527.17350000003</v>
      </c>
      <c r="F24" s="9"/>
      <c r="G24" s="7"/>
      <c r="H24" s="7"/>
      <c r="I24" s="7"/>
      <c r="J24" s="7"/>
      <c r="K24" s="7"/>
      <c r="L24" s="7"/>
      <c r="M24" s="7"/>
      <c r="N24" s="7"/>
      <c r="O24" s="7"/>
      <c r="P24" s="43">
        <f t="shared" si="3"/>
        <v>1585242.4426055045</v>
      </c>
      <c r="Q24" s="44">
        <f t="shared" si="4"/>
        <v>1570258.7785524924</v>
      </c>
      <c r="S24" s="19">
        <f t="shared" si="0"/>
        <v>5.9305864293857997</v>
      </c>
      <c r="T24" s="7"/>
      <c r="U24" s="7"/>
      <c r="V24" s="7"/>
      <c r="W24" s="8"/>
    </row>
    <row r="25" spans="2:23" ht="15" thickBot="1" x14ac:dyDescent="0.35">
      <c r="B25" s="10">
        <v>74.2</v>
      </c>
      <c r="C25" s="11">
        <f t="shared" si="1"/>
        <v>94820.124599999996</v>
      </c>
      <c r="D25" s="11"/>
      <c r="E25" s="11">
        <f t="shared" si="2"/>
        <v>535733.70398999995</v>
      </c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45">
        <f t="shared" si="3"/>
        <v>1860458.1444467378</v>
      </c>
      <c r="Q25" s="46">
        <f t="shared" si="4"/>
        <v>1842873.1498289667</v>
      </c>
      <c r="S25" s="35">
        <f t="shared" si="0"/>
        <v>20.949273905942537</v>
      </c>
      <c r="T25" s="11"/>
      <c r="U25" s="11"/>
      <c r="V25" s="11"/>
      <c r="W25" s="12"/>
    </row>
    <row r="48" spans="1:2" ht="18.600000000000001" thickBot="1" x14ac:dyDescent="0.4">
      <c r="A48" s="17">
        <v>2</v>
      </c>
      <c r="B48" s="1" t="s">
        <v>102</v>
      </c>
    </row>
    <row r="49" spans="1:25" x14ac:dyDescent="0.3">
      <c r="A49" s="29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</row>
    <row r="50" spans="1:25" x14ac:dyDescent="0.3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8"/>
    </row>
    <row r="51" spans="1:25" x14ac:dyDescent="0.3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8"/>
    </row>
    <row r="52" spans="1:25" x14ac:dyDescent="0.3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/>
    </row>
    <row r="53" spans="1:25" x14ac:dyDescent="0.3">
      <c r="A53" s="6" t="s">
        <v>5</v>
      </c>
      <c r="B53" s="14" t="s">
        <v>10</v>
      </c>
      <c r="C53" s="7">
        <f>0.724+3.06*$A$54/$C$5*(1/(1+COS($D$8)))+0.4*$K$7+0.009*$C$7</f>
        <v>1.2117361324245273</v>
      </c>
      <c r="D53" s="14" t="s">
        <v>84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</row>
    <row r="54" spans="1:25" x14ac:dyDescent="0.3">
      <c r="A54" s="9">
        <v>21.5</v>
      </c>
      <c r="B54" s="7" t="s">
        <v>11</v>
      </c>
      <c r="C54" s="7"/>
      <c r="D54" s="7">
        <f>20</f>
        <v>20</v>
      </c>
      <c r="E54" s="7" t="s">
        <v>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8"/>
    </row>
    <row r="55" spans="1:25" x14ac:dyDescent="0.3">
      <c r="A55" s="9"/>
      <c r="B55" s="14" t="s">
        <v>12</v>
      </c>
      <c r="C55" s="14" t="s">
        <v>68</v>
      </c>
      <c r="D55" s="14" t="s">
        <v>8</v>
      </c>
      <c r="E55" s="14" t="s">
        <v>9</v>
      </c>
      <c r="F55" s="14" t="s">
        <v>13</v>
      </c>
      <c r="G55" s="14" t="s">
        <v>14</v>
      </c>
      <c r="H55" s="14" t="s">
        <v>15</v>
      </c>
      <c r="I55" s="14" t="s">
        <v>16</v>
      </c>
      <c r="J55" s="14" t="s">
        <v>17</v>
      </c>
      <c r="K55" s="14" t="s">
        <v>19</v>
      </c>
      <c r="L55" s="14" t="s">
        <v>18</v>
      </c>
      <c r="M55" s="14" t="s">
        <v>60</v>
      </c>
      <c r="N55" s="37" t="s">
        <v>20</v>
      </c>
      <c r="O55" s="37" t="s">
        <v>70</v>
      </c>
      <c r="Q55" s="37" t="s">
        <v>21</v>
      </c>
      <c r="R55" s="7"/>
      <c r="S55" s="37" t="s">
        <v>22</v>
      </c>
      <c r="T55" s="7"/>
      <c r="U55" s="37" t="s">
        <v>71</v>
      </c>
      <c r="V55" s="7"/>
      <c r="W55" s="37" t="s">
        <v>72</v>
      </c>
      <c r="X55" s="36" t="s">
        <v>74</v>
      </c>
      <c r="Y55" s="8"/>
    </row>
    <row r="56" spans="1:25" x14ac:dyDescent="0.3">
      <c r="A56" s="9"/>
      <c r="B56" s="19">
        <f>SQRT($G$8*9.81/(0.5*1.225*$C$5*$K$4))</f>
        <v>52.060781351630858</v>
      </c>
      <c r="C56" s="20">
        <f>1.3*B56</f>
        <v>67.679015757120112</v>
      </c>
      <c r="D56" s="7">
        <f>ATAN(D54/C56)</f>
        <v>0.28733482020928958</v>
      </c>
      <c r="E56" s="7">
        <f>D56*57.3</f>
        <v>16.464285197992293</v>
      </c>
      <c r="F56" s="7">
        <f>C56/340</f>
        <v>0.19905592869741209</v>
      </c>
      <c r="G56" s="7">
        <f>T7/57.3</f>
        <v>0.5759162303664922</v>
      </c>
      <c r="H56" s="7">
        <v>0.95</v>
      </c>
      <c r="I56" s="33">
        <f>0.093</f>
        <v>9.2999999999999999E-2</v>
      </c>
      <c r="J56" s="7">
        <f>J14</f>
        <v>2.6510706382978726</v>
      </c>
      <c r="K56" s="7">
        <v>0.1</v>
      </c>
      <c r="L56" s="7">
        <f>(K56*57.3*COS(G56))/(SQRT(1-F56^2+(K56*57.3*COS(G56)/(3.14*J56))^2)+(K56*57.3*COS(G56)/(3.14*J56)))</f>
        <v>2.8026575393733575</v>
      </c>
      <c r="M56" s="33">
        <f>O14</f>
        <v>0.36300000000000004</v>
      </c>
      <c r="N56" s="7">
        <f>-I15*L56*C53*I56*H56/57.3</f>
        <v>-4.1890930866648191E-3</v>
      </c>
      <c r="O56" s="31">
        <f>L58*M56*I56</f>
        <v>1.6599108047667577E-3</v>
      </c>
      <c r="Q56" s="7">
        <f>0.003</f>
        <v>3.0000000000000001E-3</v>
      </c>
      <c r="R56" s="7"/>
      <c r="S56" s="7">
        <f>-0.00006*SQRT(C8)</f>
        <v>-3.2863353450309965E-4</v>
      </c>
      <c r="T56" s="7"/>
      <c r="U56" s="30">
        <f>N56+Q56+S56</f>
        <v>-1.5177266211679186E-3</v>
      </c>
      <c r="V56" s="7"/>
      <c r="W56" s="39">
        <f>U56*E56/O56</f>
        <v>-15.053991980614311</v>
      </c>
      <c r="X56" s="7"/>
      <c r="Y56" s="8"/>
    </row>
    <row r="57" spans="1:25" x14ac:dyDescent="0.3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 t="s">
        <v>56</v>
      </c>
      <c r="M57" s="7"/>
      <c r="N57" s="7" t="s">
        <v>35</v>
      </c>
      <c r="O57" s="7" t="s">
        <v>35</v>
      </c>
      <c r="Q57" s="7" t="s">
        <v>35</v>
      </c>
      <c r="R57" s="7"/>
      <c r="S57" s="7" t="s">
        <v>35</v>
      </c>
      <c r="T57" s="7"/>
      <c r="U57" s="7" t="s">
        <v>35</v>
      </c>
      <c r="V57" s="7"/>
      <c r="W57" s="7"/>
      <c r="X57" s="7"/>
      <c r="Y57" s="8"/>
    </row>
    <row r="58" spans="1:25" x14ac:dyDescent="0.3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>
        <f>L56/57</f>
        <v>4.9169430515322063E-2</v>
      </c>
      <c r="M58" s="7"/>
      <c r="N58" s="7"/>
      <c r="O58" s="7"/>
      <c r="P58" s="7"/>
      <c r="Q58" s="7"/>
      <c r="R58" s="7"/>
      <c r="S58" s="7"/>
      <c r="T58" s="7"/>
      <c r="U58" s="7"/>
      <c r="V58" s="7"/>
      <c r="X58" s="7"/>
      <c r="Y58" s="8"/>
    </row>
    <row r="59" spans="1:25" x14ac:dyDescent="0.3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 t="s">
        <v>73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8"/>
    </row>
    <row r="60" spans="1:25" x14ac:dyDescent="0.3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8"/>
    </row>
    <row r="61" spans="1:25" ht="15" thickBot="1" x14ac:dyDescent="0.3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2"/>
    </row>
    <row r="64" spans="1:25" x14ac:dyDescent="0.3">
      <c r="B64" s="38" t="s">
        <v>85</v>
      </c>
    </row>
    <row r="65" spans="2:2" x14ac:dyDescent="0.3">
      <c r="B65">
        <f>-O56*O3/U56</f>
        <v>27.342058537021405</v>
      </c>
    </row>
    <row r="66" spans="2:2" x14ac:dyDescent="0.3">
      <c r="B66" t="s">
        <v>37</v>
      </c>
    </row>
  </sheetData>
  <mergeCells count="1">
    <mergeCell ref="S2:W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117"/>
  <sheetViews>
    <sheetView tabSelected="1" topLeftCell="Q55" zoomScale="130" zoomScaleNormal="130" workbookViewId="0">
      <selection activeCell="W76" sqref="W76"/>
    </sheetView>
  </sheetViews>
  <sheetFormatPr defaultRowHeight="14.4" x14ac:dyDescent="0.3"/>
  <cols>
    <col min="1" max="1" width="11.5546875" customWidth="1"/>
    <col min="2" max="2" width="13.88671875" customWidth="1"/>
    <col min="3" max="3" width="10.109375" customWidth="1"/>
    <col min="11" max="11" width="14.88671875" bestFit="1" customWidth="1"/>
    <col min="12" max="13" width="10.109375" customWidth="1"/>
    <col min="14" max="14" width="12.5546875" customWidth="1"/>
    <col min="15" max="15" width="15.109375" customWidth="1"/>
    <col min="16" max="16" width="9.6640625" customWidth="1"/>
    <col min="17" max="17" width="11" bestFit="1" customWidth="1"/>
    <col min="18" max="18" width="13.44140625" customWidth="1"/>
    <col min="20" max="20" width="11" customWidth="1"/>
    <col min="22" max="22" width="12.109375" customWidth="1"/>
  </cols>
  <sheetData>
    <row r="2" spans="1:27" ht="18.600000000000001" thickBot="1" x14ac:dyDescent="0.4">
      <c r="C2" s="15" t="s">
        <v>38</v>
      </c>
      <c r="T2" s="47" t="s">
        <v>101</v>
      </c>
      <c r="U2" s="47"/>
      <c r="V2" s="47"/>
      <c r="W2" s="47"/>
      <c r="X2" s="47"/>
    </row>
    <row r="3" spans="1:27" x14ac:dyDescent="0.3">
      <c r="C3" s="2" t="s">
        <v>23</v>
      </c>
      <c r="D3" s="4">
        <v>34655</v>
      </c>
      <c r="E3" s="4" t="s">
        <v>24</v>
      </c>
      <c r="F3" s="4"/>
      <c r="G3" s="3" t="s">
        <v>3</v>
      </c>
      <c r="H3" s="4">
        <v>5.73</v>
      </c>
      <c r="I3" s="4" t="s">
        <v>29</v>
      </c>
      <c r="J3" s="4"/>
      <c r="K3" s="3" t="s">
        <v>32</v>
      </c>
      <c r="L3" s="4">
        <v>2.1</v>
      </c>
      <c r="M3" s="4"/>
      <c r="N3" s="4"/>
      <c r="O3" s="3" t="s">
        <v>36</v>
      </c>
      <c r="P3" s="4">
        <v>28</v>
      </c>
      <c r="Q3" s="4" t="s">
        <v>37</v>
      </c>
      <c r="R3" s="4"/>
      <c r="S3" s="4"/>
      <c r="T3" s="3" t="s">
        <v>44</v>
      </c>
      <c r="U3" s="4">
        <v>5.33</v>
      </c>
      <c r="V3" s="4" t="s">
        <v>29</v>
      </c>
      <c r="W3" s="4" t="s">
        <v>58</v>
      </c>
      <c r="X3" s="5">
        <v>0.35</v>
      </c>
    </row>
    <row r="4" spans="1:27" x14ac:dyDescent="0.3">
      <c r="A4" s="1" t="s">
        <v>75</v>
      </c>
      <c r="B4" s="1" t="s">
        <v>77</v>
      </c>
      <c r="C4" s="6" t="s">
        <v>25</v>
      </c>
      <c r="D4" s="7">
        <f>B6/G17</f>
        <v>111627.08226310258</v>
      </c>
      <c r="E4" s="7" t="s">
        <v>4</v>
      </c>
      <c r="F4" s="7"/>
      <c r="G4" s="14" t="s">
        <v>31</v>
      </c>
      <c r="H4" s="7">
        <v>13.93</v>
      </c>
      <c r="I4" s="7" t="s">
        <v>29</v>
      </c>
      <c r="J4" s="7"/>
      <c r="K4" s="14" t="s">
        <v>33</v>
      </c>
      <c r="L4" s="7">
        <v>2.7</v>
      </c>
      <c r="M4" s="7"/>
      <c r="N4" s="7"/>
      <c r="O4" s="7"/>
      <c r="P4" s="7"/>
      <c r="Q4" s="7"/>
      <c r="R4" s="7"/>
      <c r="S4" s="7"/>
      <c r="T4" s="14" t="s">
        <v>5</v>
      </c>
      <c r="U4" s="7">
        <v>20.3</v>
      </c>
      <c r="V4" s="7" t="s">
        <v>27</v>
      </c>
      <c r="W4" s="7" t="s">
        <v>59</v>
      </c>
      <c r="X4" s="8">
        <v>0.35</v>
      </c>
    </row>
    <row r="5" spans="1:27" x14ac:dyDescent="0.3">
      <c r="A5">
        <v>13200</v>
      </c>
      <c r="B5">
        <f>A5*735.49</f>
        <v>9708468</v>
      </c>
      <c r="C5" s="6" t="s">
        <v>26</v>
      </c>
      <c r="D5" s="7">
        <v>90.9</v>
      </c>
      <c r="E5" s="7" t="s">
        <v>27</v>
      </c>
      <c r="F5" s="7"/>
      <c r="G5" s="7"/>
      <c r="H5" s="7"/>
      <c r="I5" s="7"/>
      <c r="J5" s="7"/>
      <c r="K5" s="14" t="s">
        <v>34</v>
      </c>
      <c r="L5" s="7">
        <v>0.11</v>
      </c>
      <c r="M5" s="7" t="s">
        <v>35</v>
      </c>
      <c r="N5" s="7"/>
      <c r="O5" s="14" t="s">
        <v>15</v>
      </c>
      <c r="P5" s="7">
        <v>0.95</v>
      </c>
      <c r="Q5" s="7"/>
      <c r="R5" s="7"/>
      <c r="S5" s="7"/>
      <c r="T5" s="14" t="s">
        <v>45</v>
      </c>
      <c r="U5" s="7">
        <f>U3^2/U4</f>
        <v>1.3994532019704433</v>
      </c>
      <c r="V5" s="7"/>
      <c r="W5" s="7"/>
      <c r="X5" s="8"/>
      <c r="AA5" s="32"/>
    </row>
    <row r="6" spans="1:27" x14ac:dyDescent="0.3">
      <c r="A6" s="1" t="s">
        <v>78</v>
      </c>
      <c r="B6" s="1">
        <f>B5*A11</f>
        <v>6019250.1600000001</v>
      </c>
      <c r="C6" s="6" t="s">
        <v>28</v>
      </c>
      <c r="D6" s="7">
        <v>33.700000000000003</v>
      </c>
      <c r="E6" s="7" t="s">
        <v>29</v>
      </c>
      <c r="F6" s="7"/>
      <c r="G6" s="14" t="s">
        <v>16</v>
      </c>
      <c r="H6" s="7">
        <f>U4*H4/(D5*D6)</f>
        <v>9.2310981840023759E-2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4" t="s">
        <v>46</v>
      </c>
      <c r="U6" s="7">
        <v>1.53</v>
      </c>
      <c r="V6" s="7" t="s">
        <v>29</v>
      </c>
      <c r="W6" s="7"/>
      <c r="X6" s="8"/>
    </row>
    <row r="7" spans="1:27" x14ac:dyDescent="0.3">
      <c r="A7" t="s">
        <v>82</v>
      </c>
      <c r="B7" t="s">
        <v>79</v>
      </c>
      <c r="C7" s="6" t="s">
        <v>30</v>
      </c>
      <c r="D7" s="7">
        <f>D6^2/D5</f>
        <v>12.493839383938397</v>
      </c>
      <c r="E7" s="7"/>
      <c r="F7" s="7"/>
      <c r="G7" s="7"/>
      <c r="H7" s="7"/>
      <c r="I7" s="7"/>
      <c r="J7" s="7"/>
      <c r="K7" s="16" t="s">
        <v>67</v>
      </c>
      <c r="L7" s="27">
        <v>-0.5</v>
      </c>
      <c r="M7" s="7"/>
      <c r="N7" s="7"/>
      <c r="O7" s="7"/>
      <c r="P7" s="7"/>
      <c r="Q7" s="7"/>
      <c r="R7" s="7"/>
      <c r="S7" s="7"/>
      <c r="T7" s="14" t="s">
        <v>14</v>
      </c>
      <c r="U7" s="7">
        <v>40</v>
      </c>
      <c r="V7" s="7">
        <f>U7/57.3</f>
        <v>0.69808027923211169</v>
      </c>
      <c r="W7" s="7"/>
      <c r="X7" s="8"/>
    </row>
    <row r="8" spans="1:27" ht="15" thickBot="1" x14ac:dyDescent="0.35">
      <c r="A8">
        <v>161.66999999999999</v>
      </c>
      <c r="C8" s="25" t="s">
        <v>66</v>
      </c>
      <c r="D8" s="11">
        <v>1.6</v>
      </c>
      <c r="E8" s="11">
        <f>D8/57.3</f>
        <v>2.7923211169284472E-2</v>
      </c>
      <c r="F8" s="11"/>
      <c r="G8" s="28" t="s">
        <v>69</v>
      </c>
      <c r="H8" s="11">
        <v>33960</v>
      </c>
      <c r="I8" s="11" t="s">
        <v>24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26" t="s">
        <v>62</v>
      </c>
      <c r="U8" s="11">
        <f>U3/U6</f>
        <v>3.4836601307189543</v>
      </c>
      <c r="V8" s="11"/>
      <c r="W8" s="11"/>
      <c r="X8" s="12"/>
    </row>
    <row r="9" spans="1:27" x14ac:dyDescent="0.3">
      <c r="C9" s="14"/>
      <c r="D9" s="7"/>
      <c r="E9" s="7"/>
      <c r="F9" s="7"/>
      <c r="G9" s="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4"/>
      <c r="U9" s="7"/>
      <c r="V9" s="7"/>
      <c r="W9" s="7"/>
      <c r="X9" s="7"/>
    </row>
    <row r="10" spans="1:27" x14ac:dyDescent="0.3">
      <c r="A10" s="1" t="s">
        <v>76</v>
      </c>
      <c r="C10" s="14"/>
      <c r="D10" s="7"/>
      <c r="E10" s="7"/>
      <c r="F10" s="7"/>
      <c r="G10" s="1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4"/>
      <c r="U10" s="7"/>
      <c r="V10" s="7"/>
      <c r="W10" s="7"/>
      <c r="X10" s="7"/>
    </row>
    <row r="11" spans="1:27" x14ac:dyDescent="0.3">
      <c r="A11">
        <v>0.62</v>
      </c>
      <c r="C11" s="14"/>
      <c r="D11" s="7"/>
      <c r="E11" s="7"/>
      <c r="F11" s="7"/>
      <c r="G11" s="1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4"/>
      <c r="U11" s="7"/>
      <c r="V11" s="7"/>
      <c r="W11" s="7"/>
      <c r="X11" s="7"/>
    </row>
    <row r="12" spans="1:27" x14ac:dyDescent="0.3">
      <c r="C12" s="14"/>
      <c r="D12" s="7"/>
      <c r="E12" s="7"/>
      <c r="F12" s="7"/>
      <c r="G12" s="1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4"/>
      <c r="U12" s="7"/>
      <c r="V12" s="7"/>
      <c r="W12" s="7"/>
      <c r="X12" s="7"/>
    </row>
    <row r="13" spans="1:27" ht="18.600000000000001" thickBot="1" x14ac:dyDescent="0.4">
      <c r="A13" s="17">
        <v>1</v>
      </c>
      <c r="B13" s="17"/>
      <c r="C13" s="14" t="s">
        <v>98</v>
      </c>
      <c r="D13" s="7"/>
      <c r="E13" s="7"/>
      <c r="F13" s="7"/>
    </row>
    <row r="14" spans="1:27" x14ac:dyDescent="0.3">
      <c r="C14" s="13" t="s">
        <v>0</v>
      </c>
      <c r="D14" s="3" t="s">
        <v>2</v>
      </c>
      <c r="E14" s="4">
        <f>D4*9.81</f>
        <v>1095061.6770010365</v>
      </c>
      <c r="F14" s="34" t="s">
        <v>40</v>
      </c>
      <c r="G14" s="23" t="s">
        <v>41</v>
      </c>
      <c r="H14" s="24"/>
      <c r="I14" s="4"/>
      <c r="J14" s="4"/>
      <c r="K14" s="4"/>
      <c r="L14" s="4"/>
      <c r="M14" s="4"/>
      <c r="N14" s="4"/>
      <c r="O14" s="4"/>
      <c r="P14" s="4"/>
      <c r="Q14" s="4"/>
      <c r="R14" s="5"/>
      <c r="T14" s="2" t="s">
        <v>5</v>
      </c>
      <c r="U14" s="4"/>
      <c r="V14" s="4"/>
      <c r="W14" s="3" t="s">
        <v>6</v>
      </c>
      <c r="X14" s="5"/>
    </row>
    <row r="15" spans="1:27" x14ac:dyDescent="0.3">
      <c r="C15" s="6" t="s">
        <v>1</v>
      </c>
      <c r="D15" s="7"/>
      <c r="E15" s="7" t="s">
        <v>39</v>
      </c>
      <c r="F15" s="8" t="s">
        <v>47</v>
      </c>
      <c r="G15" s="6" t="s">
        <v>42</v>
      </c>
      <c r="H15" s="16" t="s">
        <v>6</v>
      </c>
      <c r="I15" s="16" t="s">
        <v>13</v>
      </c>
      <c r="J15" s="16" t="s">
        <v>48</v>
      </c>
      <c r="K15" s="16" t="s">
        <v>54</v>
      </c>
      <c r="L15" s="16" t="s">
        <v>55</v>
      </c>
      <c r="M15" s="16" t="s">
        <v>55</v>
      </c>
      <c r="N15" s="16" t="s">
        <v>10</v>
      </c>
      <c r="O15" s="16" t="s">
        <v>57</v>
      </c>
      <c r="P15" s="16" t="s">
        <v>60</v>
      </c>
      <c r="Q15" s="16" t="s">
        <v>61</v>
      </c>
      <c r="R15" s="18" t="s">
        <v>65</v>
      </c>
      <c r="S15" s="16"/>
      <c r="T15" s="9" t="s">
        <v>27</v>
      </c>
      <c r="U15" s="7"/>
      <c r="V15" s="7">
        <v>0</v>
      </c>
      <c r="W15" s="20">
        <f>H17</f>
        <v>59.315132508740454</v>
      </c>
      <c r="X15" s="8" t="s">
        <v>7</v>
      </c>
    </row>
    <row r="16" spans="1:27" x14ac:dyDescent="0.3">
      <c r="B16">
        <f>$B$5/2/C17</f>
        <v>161807.79999999999</v>
      </c>
      <c r="C16" s="9">
        <v>20</v>
      </c>
      <c r="D16" s="7">
        <f>$D$4/2</f>
        <v>55813.54113155129</v>
      </c>
      <c r="E16" s="7" t="s">
        <v>4</v>
      </c>
      <c r="F16" s="8">
        <f>D16*$H$3</f>
        <v>319811.59068378893</v>
      </c>
      <c r="G16" s="9" t="s">
        <v>43</v>
      </c>
      <c r="H16" s="7" t="s">
        <v>43</v>
      </c>
      <c r="I16" s="7"/>
      <c r="J16" s="14" t="s">
        <v>49</v>
      </c>
      <c r="K16" s="7"/>
      <c r="L16" s="7" t="s">
        <v>56</v>
      </c>
      <c r="M16" s="7" t="s">
        <v>56</v>
      </c>
      <c r="N16" s="7"/>
      <c r="O16" s="7" t="s">
        <v>56</v>
      </c>
      <c r="P16" s="7"/>
      <c r="Q16" s="7" t="s">
        <v>63</v>
      </c>
      <c r="R16" s="8" t="s">
        <v>64</v>
      </c>
      <c r="T16" s="19">
        <f>(F16)/($P$20*C16^2)</f>
        <v>177.91439450059309</v>
      </c>
      <c r="U16" s="7"/>
      <c r="V16" s="7">
        <v>40</v>
      </c>
      <c r="W16" s="20">
        <f>W15</f>
        <v>59.315132508740454</v>
      </c>
      <c r="X16" s="8"/>
    </row>
    <row r="17" spans="2:24" x14ac:dyDescent="0.3">
      <c r="B17">
        <f>$D$4/2</f>
        <v>55813.54113155129</v>
      </c>
      <c r="C17" s="9">
        <v>30</v>
      </c>
      <c r="D17" s="7">
        <f t="shared" ref="D17:D27" si="0">$D$4/2</f>
        <v>55813.54113155129</v>
      </c>
      <c r="E17" s="7"/>
      <c r="F17" s="8">
        <f t="shared" ref="F17:F28" si="1">D17*$H$3</f>
        <v>319811.59068378893</v>
      </c>
      <c r="G17" s="19">
        <f>SQRT($D$3*9.81/(0.5*1.225*$D$5*$L$3))</f>
        <v>53.922847735218589</v>
      </c>
      <c r="H17" s="20">
        <f>G17*1.1</f>
        <v>59.315132508740454</v>
      </c>
      <c r="I17" s="21">
        <f>H17/340</f>
        <v>0.17445627208453074</v>
      </c>
      <c r="J17" s="36" t="s">
        <v>50</v>
      </c>
      <c r="K17" s="21">
        <f>U5*J20*(1+J22*(J24-1))</f>
        <v>2.5861895172413791</v>
      </c>
      <c r="L17" s="22">
        <f>(L5*57.3*COS(V7))/(SQRT(1-I17^2+(L5*57.3*COS(V7)/(3.14*K17))^2)+(L5*57.3*COS(V7)/(3.14*K17)))</f>
        <v>2.7672923365500295</v>
      </c>
      <c r="M17" s="22">
        <f>L17*U4/D5</f>
        <v>0.61799817856947847</v>
      </c>
      <c r="N17" s="7">
        <f>0.724+3.06*$U$4/$D$5*(1/(1+COS($E$8)))+0.4*$L$7+0.009*$D$7</f>
        <v>0.97819433450872939</v>
      </c>
      <c r="O17" s="22">
        <f>-L17*N17*J18</f>
        <v>-2.5716022012655295</v>
      </c>
      <c r="P17" s="7">
        <v>0.41</v>
      </c>
      <c r="Q17" s="43">
        <f>$L$17*$P$17*$P$3/57.3*0.5*1.225*C16^2*$U$4*$H$4*$P$5</f>
        <v>36490.444233613009</v>
      </c>
      <c r="R17" s="44">
        <f>-$O$17*$P$17*$P$3/57.3*0.5*1.225*C16^2*$U$4*$H$4*$P$5</f>
        <v>33910.008522375618</v>
      </c>
      <c r="T17" s="19">
        <f>(F17)/($P$20*C17^2)</f>
        <v>79.073064222485826</v>
      </c>
      <c r="U17" s="7"/>
      <c r="V17" s="7">
        <v>0</v>
      </c>
      <c r="W17" s="7"/>
      <c r="X17" s="8"/>
    </row>
    <row r="18" spans="2:24" x14ac:dyDescent="0.3">
      <c r="C18" s="9">
        <v>40</v>
      </c>
      <c r="D18" s="7">
        <f t="shared" si="0"/>
        <v>55813.54113155129</v>
      </c>
      <c r="E18" s="7"/>
      <c r="F18" s="8">
        <f t="shared" si="1"/>
        <v>319811.59068378893</v>
      </c>
      <c r="G18" s="9"/>
      <c r="H18" s="7" t="s">
        <v>96</v>
      </c>
      <c r="I18" s="7"/>
      <c r="J18" s="7">
        <v>0.95</v>
      </c>
      <c r="K18" s="7"/>
      <c r="L18" s="7" t="s">
        <v>35</v>
      </c>
      <c r="M18" s="7"/>
      <c r="N18" s="7"/>
      <c r="O18" s="7"/>
      <c r="P18" s="7"/>
      <c r="Q18" s="43">
        <f>$L$17*$P$17*$P$3/57.3*0.5*1.225*C17^2*$U$4*$H$4*$P$5</f>
        <v>82103.499525629275</v>
      </c>
      <c r="R18" s="44">
        <f>-$O$17*$P$17*$P$3/57.3*0.5*1.225*C17^2*$U$4*$H$4*$P$5</f>
        <v>76297.519175345136</v>
      </c>
      <c r="T18" s="19">
        <f t="shared" ref="T18:T28" si="2">(F18)/($P$20*C18^2)</f>
        <v>44.478598625148273</v>
      </c>
      <c r="U18" s="7"/>
      <c r="V18" s="27">
        <v>20000</v>
      </c>
      <c r="W18" s="7"/>
      <c r="X18" s="8"/>
    </row>
    <row r="19" spans="2:24" x14ac:dyDescent="0.3">
      <c r="C19" s="9">
        <v>50</v>
      </c>
      <c r="D19" s="7">
        <f t="shared" si="0"/>
        <v>55813.54113155129</v>
      </c>
      <c r="E19" s="7"/>
      <c r="F19" s="8">
        <f t="shared" si="1"/>
        <v>319811.59068378893</v>
      </c>
      <c r="G19" s="9"/>
      <c r="H19" s="7"/>
      <c r="I19" s="7"/>
      <c r="J19" s="36" t="s">
        <v>51</v>
      </c>
      <c r="K19" s="7"/>
      <c r="L19" s="7">
        <f>L17/57.3</f>
        <v>4.8294805175393189E-2</v>
      </c>
      <c r="M19" s="7"/>
      <c r="N19" s="7"/>
      <c r="O19" s="7"/>
      <c r="P19" s="7"/>
      <c r="Q19" s="43">
        <f>$L$17*$P$17*$P$3/57.3*0.5*1.225*C18^2*$U$4*$H$4*$P$5</f>
        <v>145961.77693445203</v>
      </c>
      <c r="R19" s="44">
        <f t="shared" ref="R19:R28" si="3">-$O$17*$P$17*$P$3/57.3*0.5*1.225*C18^2*$U$4*$H$4*$P$5</f>
        <v>135640.03408950247</v>
      </c>
      <c r="T19" s="19">
        <f t="shared" si="2"/>
        <v>28.466303120094896</v>
      </c>
      <c r="U19" s="7"/>
      <c r="V19" s="7"/>
      <c r="W19" s="7"/>
      <c r="X19" s="8"/>
    </row>
    <row r="20" spans="2:24" x14ac:dyDescent="0.3">
      <c r="C20" s="9">
        <v>60</v>
      </c>
      <c r="D20" s="7">
        <f t="shared" si="0"/>
        <v>55813.54113155129</v>
      </c>
      <c r="E20" s="7"/>
      <c r="F20" s="8">
        <f t="shared" si="1"/>
        <v>319811.59068378893</v>
      </c>
      <c r="G20" s="9"/>
      <c r="H20" s="7"/>
      <c r="I20" s="7"/>
      <c r="J20" s="7">
        <v>1.2</v>
      </c>
      <c r="K20" s="7"/>
      <c r="L20" s="7"/>
      <c r="M20" s="7"/>
      <c r="N20" s="7"/>
      <c r="O20" s="14" t="s">
        <v>80</v>
      </c>
      <c r="P20" s="7">
        <f>L17*P17*P3/57.3*P5*0.5*1.225*H4</f>
        <v>4.4938970731050487</v>
      </c>
      <c r="Q20" s="43">
        <f>$L$17*$P$17*$P$3/57.3*0.5*1.225*C19^2*$U$4*$H$4*$P$5</f>
        <v>228065.27646008128</v>
      </c>
      <c r="R20" s="44">
        <f t="shared" si="3"/>
        <v>211937.55326484761</v>
      </c>
      <c r="T20" s="19">
        <f t="shared" si="2"/>
        <v>19.768266055621456</v>
      </c>
      <c r="U20" s="7"/>
      <c r="V20" s="7"/>
      <c r="W20" s="7"/>
      <c r="X20" s="8"/>
    </row>
    <row r="21" spans="2:24" x14ac:dyDescent="0.3">
      <c r="C21" s="9">
        <v>70</v>
      </c>
      <c r="D21" s="7">
        <f t="shared" si="0"/>
        <v>55813.54113155129</v>
      </c>
      <c r="E21" s="7"/>
      <c r="F21" s="8">
        <f t="shared" si="1"/>
        <v>319811.59068378893</v>
      </c>
      <c r="G21" s="9"/>
      <c r="H21" s="7"/>
      <c r="I21" s="7"/>
      <c r="J21" s="36" t="s">
        <v>52</v>
      </c>
      <c r="K21" s="7"/>
      <c r="L21" s="7"/>
      <c r="M21" s="7"/>
      <c r="N21" s="7"/>
      <c r="O21" s="7"/>
      <c r="P21" s="7"/>
      <c r="Q21" s="43">
        <f t="shared" ref="Q21:Q28" si="4">$L$17*$P$17*$P$3/57.3*0.5*1.225*C20^2*$U$4*$H$4*$P$5</f>
        <v>328413.9981025171</v>
      </c>
      <c r="R21" s="44">
        <f t="shared" si="3"/>
        <v>305190.07670138055</v>
      </c>
      <c r="T21" s="19">
        <f t="shared" si="2"/>
        <v>14.523624040864744</v>
      </c>
      <c r="U21" s="7"/>
      <c r="V21" s="7"/>
      <c r="W21" s="7"/>
      <c r="X21" s="8"/>
    </row>
    <row r="22" spans="2:24" x14ac:dyDescent="0.3">
      <c r="C22" s="9">
        <v>80</v>
      </c>
      <c r="D22" s="7">
        <f t="shared" si="0"/>
        <v>55813.54113155129</v>
      </c>
      <c r="E22" s="7"/>
      <c r="F22" s="8">
        <f t="shared" si="1"/>
        <v>319811.59068378893</v>
      </c>
      <c r="G22" s="9"/>
      <c r="H22" s="7"/>
      <c r="I22" s="7"/>
      <c r="J22" s="7">
        <v>0.9</v>
      </c>
      <c r="K22" s="7"/>
      <c r="L22" s="7"/>
      <c r="M22" s="7"/>
      <c r="N22" s="7"/>
      <c r="O22" s="7"/>
      <c r="P22" s="7"/>
      <c r="Q22" s="43">
        <f t="shared" si="4"/>
        <v>447007.94186175929</v>
      </c>
      <c r="R22" s="44">
        <f t="shared" si="3"/>
        <v>415397.60439910128</v>
      </c>
      <c r="T22" s="19">
        <f t="shared" si="2"/>
        <v>11.119649656287068</v>
      </c>
      <c r="U22" s="7"/>
      <c r="V22" s="7"/>
      <c r="W22" s="7"/>
      <c r="X22" s="8"/>
    </row>
    <row r="23" spans="2:24" x14ac:dyDescent="0.3">
      <c r="C23" s="9">
        <v>90</v>
      </c>
      <c r="D23" s="7">
        <f t="shared" si="0"/>
        <v>55813.54113155129</v>
      </c>
      <c r="E23" s="7"/>
      <c r="F23" s="8">
        <f t="shared" si="1"/>
        <v>319811.59068378893</v>
      </c>
      <c r="G23" s="9"/>
      <c r="H23" s="7"/>
      <c r="I23" s="7"/>
      <c r="J23" s="36" t="s">
        <v>81</v>
      </c>
      <c r="K23" s="7"/>
      <c r="L23" s="7"/>
      <c r="M23" s="7"/>
      <c r="N23" s="7"/>
      <c r="O23" s="7"/>
      <c r="P23" s="7"/>
      <c r="Q23" s="43">
        <f t="shared" si="4"/>
        <v>583847.10773780814</v>
      </c>
      <c r="R23" s="44">
        <f t="shared" si="3"/>
        <v>542560.13635800988</v>
      </c>
      <c r="T23" s="19">
        <f t="shared" si="2"/>
        <v>8.7858960247206479</v>
      </c>
      <c r="U23" s="7"/>
      <c r="V23" s="7"/>
      <c r="W23" s="7"/>
      <c r="X23" s="8"/>
    </row>
    <row r="24" spans="2:24" x14ac:dyDescent="0.3">
      <c r="C24" s="9">
        <v>100</v>
      </c>
      <c r="D24" s="7">
        <f t="shared" si="0"/>
        <v>55813.54113155129</v>
      </c>
      <c r="E24" s="7"/>
      <c r="F24" s="8">
        <f t="shared" si="1"/>
        <v>319811.59068378893</v>
      </c>
      <c r="G24" s="9"/>
      <c r="H24" s="7"/>
      <c r="I24" s="7"/>
      <c r="J24" s="7">
        <v>1.6</v>
      </c>
      <c r="K24" s="7"/>
      <c r="L24" s="7"/>
      <c r="M24" s="7"/>
      <c r="N24" s="7"/>
      <c r="O24" s="7"/>
      <c r="P24" s="7"/>
      <c r="Q24" s="43">
        <f t="shared" si="4"/>
        <v>738931.49573066342</v>
      </c>
      <c r="R24" s="44">
        <f t="shared" si="3"/>
        <v>686677.67257810629</v>
      </c>
      <c r="T24" s="19">
        <f t="shared" si="2"/>
        <v>7.1165757800237239</v>
      </c>
      <c r="U24" s="7"/>
      <c r="V24" s="7"/>
      <c r="W24" s="7"/>
      <c r="X24" s="8"/>
    </row>
    <row r="25" spans="2:24" x14ac:dyDescent="0.3">
      <c r="C25" s="9">
        <v>110</v>
      </c>
      <c r="D25" s="7">
        <f t="shared" si="0"/>
        <v>55813.54113155129</v>
      </c>
      <c r="E25" s="7"/>
      <c r="F25" s="8">
        <f t="shared" si="1"/>
        <v>319811.59068378893</v>
      </c>
      <c r="G25" s="9"/>
      <c r="H25" s="7"/>
      <c r="I25" s="7"/>
      <c r="J25" s="7"/>
      <c r="K25" s="7"/>
      <c r="L25" s="7"/>
      <c r="M25" s="7"/>
      <c r="N25" s="7"/>
      <c r="O25" s="7"/>
      <c r="P25" s="7"/>
      <c r="Q25" s="43">
        <f t="shared" si="4"/>
        <v>912261.10584032512</v>
      </c>
      <c r="R25" s="44">
        <f t="shared" si="3"/>
        <v>847750.21305939043</v>
      </c>
      <c r="T25" s="19">
        <f t="shared" si="2"/>
        <v>5.8814675867964663</v>
      </c>
      <c r="U25" s="7"/>
      <c r="V25" s="7"/>
      <c r="W25" s="7"/>
      <c r="X25" s="8"/>
    </row>
    <row r="26" spans="2:24" x14ac:dyDescent="0.3">
      <c r="C26" s="9">
        <v>120</v>
      </c>
      <c r="D26" s="7">
        <f t="shared" si="0"/>
        <v>55813.54113155129</v>
      </c>
      <c r="E26" s="7"/>
      <c r="F26" s="8">
        <f t="shared" si="1"/>
        <v>319811.59068378893</v>
      </c>
      <c r="G26" s="9"/>
      <c r="H26" s="7"/>
      <c r="I26" s="7"/>
      <c r="J26" s="7"/>
      <c r="K26" s="7"/>
      <c r="L26" s="7"/>
      <c r="M26" s="7"/>
      <c r="N26" s="7"/>
      <c r="O26" s="7"/>
      <c r="P26" s="7"/>
      <c r="Q26" s="43">
        <f t="shared" si="4"/>
        <v>1103835.9380667936</v>
      </c>
      <c r="R26" s="44">
        <f t="shared" si="3"/>
        <v>1025777.7578018625</v>
      </c>
      <c r="T26" s="19">
        <f t="shared" si="2"/>
        <v>4.9420665139053641</v>
      </c>
      <c r="U26" s="7"/>
      <c r="V26" s="7"/>
      <c r="W26" s="7"/>
      <c r="X26" s="8"/>
    </row>
    <row r="27" spans="2:24" x14ac:dyDescent="0.3">
      <c r="C27" s="9">
        <v>130</v>
      </c>
      <c r="D27" s="7">
        <f t="shared" si="0"/>
        <v>55813.54113155129</v>
      </c>
      <c r="E27" s="7"/>
      <c r="F27" s="8">
        <f t="shared" si="1"/>
        <v>319811.59068378893</v>
      </c>
      <c r="G27" s="9"/>
      <c r="H27" s="7"/>
      <c r="I27" s="7"/>
      <c r="J27" s="7"/>
      <c r="K27" s="7"/>
      <c r="L27" s="7"/>
      <c r="M27" s="7"/>
      <c r="N27" s="7"/>
      <c r="O27" s="7"/>
      <c r="P27" s="7"/>
      <c r="Q27" s="43">
        <f t="shared" si="4"/>
        <v>1313655.9924100684</v>
      </c>
      <c r="R27" s="44">
        <f t="shared" si="3"/>
        <v>1220760.3068055222</v>
      </c>
      <c r="T27" s="19">
        <f t="shared" si="2"/>
        <v>4.2109915858128542</v>
      </c>
      <c r="U27" s="7"/>
      <c r="V27" s="7"/>
      <c r="W27" s="7"/>
      <c r="X27" s="8"/>
    </row>
    <row r="28" spans="2:24" ht="15" thickBot="1" x14ac:dyDescent="0.35">
      <c r="C28" s="35">
        <f>H17</f>
        <v>59.315132508740454</v>
      </c>
      <c r="D28" s="11">
        <f t="shared" ref="D28" si="5">$D$4/2</f>
        <v>55813.54113155129</v>
      </c>
      <c r="E28" s="11"/>
      <c r="F28" s="12">
        <f t="shared" si="1"/>
        <v>319811.59068378893</v>
      </c>
      <c r="G28" s="10"/>
      <c r="H28" s="11"/>
      <c r="I28" s="11"/>
      <c r="J28" s="11"/>
      <c r="K28" s="11"/>
      <c r="L28" s="11"/>
      <c r="M28" s="11"/>
      <c r="N28" s="11"/>
      <c r="O28" s="11"/>
      <c r="P28" s="11"/>
      <c r="Q28" s="45">
        <f t="shared" si="4"/>
        <v>1541721.2688701495</v>
      </c>
      <c r="R28" s="46">
        <f t="shared" si="3"/>
        <v>1432697.8600703699</v>
      </c>
      <c r="T28" s="35">
        <f t="shared" si="2"/>
        <v>20.22740025957604</v>
      </c>
      <c r="U28" s="11"/>
      <c r="V28" s="11"/>
      <c r="W28" s="11"/>
      <c r="X28" s="12"/>
    </row>
    <row r="50" spans="1:26" x14ac:dyDescent="0.3">
      <c r="P50">
        <v>-1</v>
      </c>
    </row>
    <row r="51" spans="1:26" ht="18.600000000000001" thickBot="1" x14ac:dyDescent="0.4">
      <c r="A51" s="17">
        <v>2</v>
      </c>
      <c r="B51" s="17"/>
      <c r="C51" s="1" t="s">
        <v>102</v>
      </c>
    </row>
    <row r="52" spans="1:26" x14ac:dyDescent="0.3">
      <c r="A52" s="29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5"/>
    </row>
    <row r="53" spans="1:26" x14ac:dyDescent="0.3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8"/>
    </row>
    <row r="54" spans="1:26" x14ac:dyDescent="0.3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8"/>
    </row>
    <row r="55" spans="1:26" x14ac:dyDescent="0.3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8"/>
    </row>
    <row r="56" spans="1:26" x14ac:dyDescent="0.3">
      <c r="A56" s="6" t="s">
        <v>107</v>
      </c>
      <c r="B56" s="14"/>
      <c r="C56" s="14" t="s">
        <v>10</v>
      </c>
      <c r="D56" s="7">
        <f>0.724+3.06*$A$57/$D$5*(1/(1+COS($E$8)))+0.4*$L$7+0.009*$D$7</f>
        <v>0.99839629195030288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8"/>
    </row>
    <row r="57" spans="1:26" x14ac:dyDescent="0.3">
      <c r="A57" s="9">
        <v>21.5</v>
      </c>
      <c r="B57" s="7"/>
      <c r="C57" s="7" t="s">
        <v>11</v>
      </c>
      <c r="D57" s="7"/>
      <c r="E57" s="14" t="s">
        <v>83</v>
      </c>
      <c r="F57" s="7">
        <v>15</v>
      </c>
      <c r="G57" s="7" t="s">
        <v>7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8"/>
    </row>
    <row r="58" spans="1:26" x14ac:dyDescent="0.3">
      <c r="A58" s="9"/>
      <c r="B58" s="7"/>
      <c r="C58" s="14" t="s">
        <v>12</v>
      </c>
      <c r="D58" s="14" t="s">
        <v>68</v>
      </c>
      <c r="E58" s="14" t="s">
        <v>8</v>
      </c>
      <c r="F58" s="14" t="s">
        <v>9</v>
      </c>
      <c r="G58" s="14" t="s">
        <v>13</v>
      </c>
      <c r="H58" s="14" t="s">
        <v>14</v>
      </c>
      <c r="I58" s="14" t="s">
        <v>15</v>
      </c>
      <c r="J58" s="14" t="s">
        <v>16</v>
      </c>
      <c r="K58" s="14" t="s">
        <v>17</v>
      </c>
      <c r="L58" s="14" t="s">
        <v>19</v>
      </c>
      <c r="M58" s="14" t="s">
        <v>18</v>
      </c>
      <c r="N58" s="14" t="s">
        <v>60</v>
      </c>
      <c r="O58" s="37" t="s">
        <v>20</v>
      </c>
      <c r="P58" s="37" t="s">
        <v>70</v>
      </c>
      <c r="R58" s="37" t="s">
        <v>21</v>
      </c>
      <c r="S58" s="7"/>
      <c r="T58" s="37" t="s">
        <v>22</v>
      </c>
      <c r="U58" s="7"/>
      <c r="V58" s="37" t="s">
        <v>71</v>
      </c>
      <c r="W58" s="7"/>
      <c r="X58" s="37" t="s">
        <v>72</v>
      </c>
      <c r="Y58" s="7" t="s">
        <v>74</v>
      </c>
      <c r="Z58" s="8"/>
    </row>
    <row r="59" spans="1:26" x14ac:dyDescent="0.3">
      <c r="A59" s="9"/>
      <c r="B59" s="9"/>
      <c r="C59" s="19">
        <f>SQRT($H$8*9.81/(0.5*1.225*$D$5*$L$4))</f>
        <v>47.07620813148872</v>
      </c>
      <c r="D59" s="20">
        <f>1.3*C59</f>
        <v>61.199070570935341</v>
      </c>
      <c r="E59" s="7">
        <f>ATAN(F57/D59)</f>
        <v>0.24036326968766725</v>
      </c>
      <c r="F59" s="7">
        <f>E59*57.3</f>
        <v>13.772815353103333</v>
      </c>
      <c r="G59" s="7">
        <f>D59/340</f>
        <v>0.17999726638510394</v>
      </c>
      <c r="H59" s="7">
        <f>U7/57.3</f>
        <v>0.69808027923211169</v>
      </c>
      <c r="I59" s="7">
        <v>0.95</v>
      </c>
      <c r="J59" s="33">
        <f>A57*H4/(D5*D6)</f>
        <v>9.7767788648301018E-2</v>
      </c>
      <c r="K59" s="7">
        <f>K17</f>
        <v>2.5861895172413791</v>
      </c>
      <c r="L59" s="7">
        <v>0.11</v>
      </c>
      <c r="M59" s="7">
        <f>(L59*57.3*COS(H59))/(SQRT(1-G59^2+(L59*K59*COS(H59)/(3.14*K59))^2)+(L59*57.3*COS(H59)/(3.14*K59)))</f>
        <v>3.0586999180569192</v>
      </c>
      <c r="N59" s="33">
        <v>0.35</v>
      </c>
      <c r="O59" s="7">
        <f>-J18*M59*D56*J59*I59/57.3</f>
        <v>-4.7024935839843872E-3</v>
      </c>
      <c r="P59" s="48">
        <f>M61*N59*J59*P5</f>
        <v>1.7444135749084596E-3</v>
      </c>
      <c r="R59" s="7">
        <f>0.002+2*(0.00004)+(-0.00006)</f>
        <v>2.0200000000000001E-3</v>
      </c>
      <c r="S59" s="7"/>
      <c r="T59" s="7">
        <v>-1E-4</v>
      </c>
      <c r="U59" s="7"/>
      <c r="V59" s="50">
        <f>O59+R59+T59</f>
        <v>-2.7824935839843869E-3</v>
      </c>
      <c r="W59" s="7"/>
      <c r="X59" s="39">
        <f>V59*F59/P59</f>
        <v>-21.968855840520916</v>
      </c>
      <c r="Y59" s="7"/>
      <c r="Z59" s="8"/>
    </row>
    <row r="60" spans="1:26" x14ac:dyDescent="0.3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 t="s">
        <v>56</v>
      </c>
      <c r="N60" s="7"/>
      <c r="O60" s="7" t="s">
        <v>35</v>
      </c>
      <c r="P60" s="7" t="s">
        <v>35</v>
      </c>
      <c r="R60" s="7" t="s">
        <v>35</v>
      </c>
      <c r="S60" s="7"/>
      <c r="T60" s="7" t="s">
        <v>35</v>
      </c>
      <c r="U60" s="7"/>
      <c r="V60" s="7" t="s">
        <v>35</v>
      </c>
      <c r="W60" s="7"/>
      <c r="X60" s="7"/>
      <c r="Y60" s="7"/>
      <c r="Z60" s="8"/>
    </row>
    <row r="61" spans="1:26" x14ac:dyDescent="0.3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>
        <f>M59/57</f>
        <v>5.3661402071174022E-2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8"/>
    </row>
    <row r="62" spans="1:26" x14ac:dyDescent="0.3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 t="s">
        <v>35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8"/>
    </row>
    <row r="63" spans="1:26" x14ac:dyDescent="0.3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8"/>
    </row>
    <row r="64" spans="1:26" ht="15" thickBot="1" x14ac:dyDescent="0.3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7" spans="2:8" ht="23.4" x14ac:dyDescent="0.45">
      <c r="B67" s="38" t="s">
        <v>85</v>
      </c>
      <c r="H67" s="49" t="s">
        <v>106</v>
      </c>
    </row>
    <row r="68" spans="2:8" x14ac:dyDescent="0.3">
      <c r="B68">
        <f>-P59*P3/V59</f>
        <v>17.55388777123266</v>
      </c>
      <c r="G68">
        <f>TAN(B68*PI()/180)</f>
        <v>0.31633311506793604</v>
      </c>
      <c r="H68">
        <f>D59*G68</f>
        <v>19.359292632966426</v>
      </c>
    </row>
    <row r="69" spans="2:8" x14ac:dyDescent="0.3">
      <c r="B69" t="s">
        <v>37</v>
      </c>
    </row>
    <row r="72" spans="2:8" x14ac:dyDescent="0.3">
      <c r="B72" t="s">
        <v>94</v>
      </c>
    </row>
    <row r="73" spans="2:8" x14ac:dyDescent="0.3">
      <c r="B73" s="40" t="s">
        <v>86</v>
      </c>
      <c r="C73" s="40" t="s">
        <v>87</v>
      </c>
      <c r="D73" s="40" t="s">
        <v>88</v>
      </c>
      <c r="E73" s="40" t="s">
        <v>89</v>
      </c>
      <c r="F73" s="40" t="s">
        <v>90</v>
      </c>
    </row>
    <row r="74" spans="2:8" x14ac:dyDescent="0.3">
      <c r="B74" s="41" t="s">
        <v>91</v>
      </c>
      <c r="C74" s="41" t="s">
        <v>1</v>
      </c>
      <c r="D74" s="41" t="s">
        <v>92</v>
      </c>
      <c r="E74" s="41" t="s">
        <v>93</v>
      </c>
      <c r="F74" s="42" t="s">
        <v>95</v>
      </c>
    </row>
    <row r="75" spans="2:8" x14ac:dyDescent="0.3">
      <c r="B75" s="42"/>
      <c r="C75" s="41">
        <v>0</v>
      </c>
      <c r="D75" s="41">
        <v>6691.6786553613283</v>
      </c>
      <c r="E75" s="42">
        <f>[1]consumi!$O$3</f>
        <v>2.6087833333333332</v>
      </c>
      <c r="F75" s="42">
        <f>D75*$H$3</f>
        <v>38343.318695220412</v>
      </c>
    </row>
    <row r="76" spans="2:8" x14ac:dyDescent="0.3">
      <c r="B76" s="42"/>
      <c r="C76" s="41">
        <v>10</v>
      </c>
      <c r="D76" s="41">
        <v>6625.8588653085935</v>
      </c>
      <c r="E76" s="42">
        <f>[1]consumi!$O$3</f>
        <v>2.6087833333333332</v>
      </c>
      <c r="F76" s="42">
        <f>D76*$H$3</f>
        <v>37966.171298218243</v>
      </c>
    </row>
    <row r="77" spans="2:8" x14ac:dyDescent="0.3">
      <c r="B77" s="42"/>
      <c r="C77" s="41">
        <v>20</v>
      </c>
      <c r="D77" s="41">
        <v>6472.2793551855466</v>
      </c>
      <c r="E77" s="42">
        <f>[1]consumi!$O$3</f>
        <v>2.6087833333333332</v>
      </c>
      <c r="F77" s="42">
        <f t="shared" ref="F77:F117" si="6">D77*$H$3</f>
        <v>37086.160705213188</v>
      </c>
    </row>
    <row r="78" spans="2:8" x14ac:dyDescent="0.3">
      <c r="B78" s="42"/>
      <c r="C78" s="41">
        <v>24</v>
      </c>
      <c r="D78" s="42">
        <v>5967.6609647812502</v>
      </c>
      <c r="E78" s="42">
        <f>[1]consumi!$O$3</f>
        <v>2.6087833333333332</v>
      </c>
      <c r="F78" s="42">
        <f t="shared" si="6"/>
        <v>34194.697328196569</v>
      </c>
    </row>
    <row r="79" spans="2:8" x14ac:dyDescent="0.3">
      <c r="B79" s="42"/>
      <c r="C79" s="41">
        <v>30</v>
      </c>
      <c r="D79" s="42">
        <v>5265.5832042187485</v>
      </c>
      <c r="E79" s="42">
        <f>[1]consumi!$O$3</f>
        <v>2.6087833333333332</v>
      </c>
      <c r="F79" s="42">
        <f t="shared" si="6"/>
        <v>30171.79176017343</v>
      </c>
    </row>
    <row r="80" spans="2:8" x14ac:dyDescent="0.3">
      <c r="B80" s="42"/>
      <c r="C80" s="42">
        <v>40</v>
      </c>
      <c r="D80" s="42">
        <v>4609.7312710908336</v>
      </c>
      <c r="E80" s="42">
        <f>[1]consumi!$O$3</f>
        <v>2.6087833333333332</v>
      </c>
      <c r="F80" s="42">
        <f t="shared" si="6"/>
        <v>26413.760183350478</v>
      </c>
    </row>
    <row r="81" spans="2:6" x14ac:dyDescent="0.3">
      <c r="B81" s="42"/>
      <c r="C81" s="42">
        <v>42</v>
      </c>
      <c r="D81" s="42">
        <v>4503.277255349627</v>
      </c>
      <c r="E81" s="42">
        <f>[1]consumi!$O$3</f>
        <v>2.6087833333333332</v>
      </c>
      <c r="F81" s="42">
        <f t="shared" si="6"/>
        <v>25803.778673153363</v>
      </c>
    </row>
    <row r="82" spans="2:6" x14ac:dyDescent="0.3">
      <c r="B82" s="42"/>
      <c r="C82" s="42">
        <v>44</v>
      </c>
      <c r="D82" s="42">
        <v>4398.9613242276591</v>
      </c>
      <c r="E82" s="42">
        <f>[1]consumi!$O$3</f>
        <v>2.6087833333333332</v>
      </c>
      <c r="F82" s="42">
        <f t="shared" si="6"/>
        <v>25206.048387824489</v>
      </c>
    </row>
    <row r="83" spans="2:6" x14ac:dyDescent="0.3">
      <c r="B83" s="42"/>
      <c r="C83" s="42">
        <v>46</v>
      </c>
      <c r="D83" s="42">
        <v>4296.7834777249291</v>
      </c>
      <c r="E83" s="42">
        <f>[1]consumi!$O$3</f>
        <v>2.6087833333333332</v>
      </c>
      <c r="F83" s="42">
        <f t="shared" si="6"/>
        <v>24620.569327363846</v>
      </c>
    </row>
    <row r="84" spans="2:6" x14ac:dyDescent="0.3">
      <c r="B84" s="42"/>
      <c r="C84" s="42">
        <v>48</v>
      </c>
      <c r="D84" s="42">
        <v>4196.7437158414396</v>
      </c>
      <c r="E84" s="42">
        <f>[1]consumi!$O$3</f>
        <v>2.6087833333333332</v>
      </c>
      <c r="F84" s="42">
        <f t="shared" si="6"/>
        <v>24047.341491771451</v>
      </c>
    </row>
    <row r="85" spans="2:6" x14ac:dyDescent="0.3">
      <c r="B85" s="42"/>
      <c r="C85" s="42">
        <v>50</v>
      </c>
      <c r="D85" s="42">
        <v>4098.8420385771869</v>
      </c>
      <c r="E85" s="42">
        <f>[1]consumi!$O$3</f>
        <v>2.6087833333333332</v>
      </c>
      <c r="F85" s="42">
        <f t="shared" si="6"/>
        <v>23486.364881047284</v>
      </c>
    </row>
    <row r="86" spans="2:6" x14ac:dyDescent="0.3">
      <c r="B86" s="42"/>
      <c r="C86" s="42">
        <v>52</v>
      </c>
      <c r="D86" s="42">
        <v>4003.0784459321749</v>
      </c>
      <c r="E86" s="42">
        <f>[1]consumi!$O$3</f>
        <v>2.6087833333333332</v>
      </c>
      <c r="F86" s="42">
        <f t="shared" si="6"/>
        <v>22937.639495191364</v>
      </c>
    </row>
    <row r="87" spans="2:6" x14ac:dyDescent="0.3">
      <c r="B87" s="42"/>
      <c r="C87" s="42">
        <v>54</v>
      </c>
      <c r="D87" s="42">
        <v>3909.4529379064024</v>
      </c>
      <c r="E87" s="42">
        <f>[1]consumi!$O$3</f>
        <v>2.6087833333333332</v>
      </c>
      <c r="F87" s="42">
        <f t="shared" si="6"/>
        <v>22401.165334203688</v>
      </c>
    </row>
    <row r="88" spans="2:6" x14ac:dyDescent="0.3">
      <c r="B88" s="42"/>
      <c r="C88" s="42">
        <v>56</v>
      </c>
      <c r="D88" s="42">
        <v>3817.9655144998687</v>
      </c>
      <c r="E88" s="42">
        <f>[1]consumi!$O$3</f>
        <v>2.6087833333333332</v>
      </c>
      <c r="F88" s="42">
        <f t="shared" si="6"/>
        <v>21876.942398084251</v>
      </c>
    </row>
    <row r="89" spans="2:6" x14ac:dyDescent="0.3">
      <c r="B89" s="42"/>
      <c r="C89" s="42">
        <v>58</v>
      </c>
      <c r="D89" s="42">
        <v>3728.6161757125728</v>
      </c>
      <c r="E89" s="42">
        <f>[1]consumi!$O$3</f>
        <v>2.6087833333333332</v>
      </c>
      <c r="F89" s="42">
        <f t="shared" si="6"/>
        <v>21364.970686833043</v>
      </c>
    </row>
    <row r="90" spans="2:6" x14ac:dyDescent="0.3">
      <c r="B90" s="42"/>
      <c r="C90" s="42">
        <v>60</v>
      </c>
      <c r="D90" s="42">
        <v>3641.404921544517</v>
      </c>
      <c r="E90" s="42">
        <f>[1]consumi!$O$3</f>
        <v>2.6087833333333332</v>
      </c>
      <c r="F90" s="42">
        <f t="shared" si="6"/>
        <v>20865.250200450086</v>
      </c>
    </row>
    <row r="91" spans="2:6" x14ac:dyDescent="0.3">
      <c r="B91" s="42"/>
      <c r="C91" s="42">
        <v>62</v>
      </c>
      <c r="D91" s="42">
        <v>3556.3317519957004</v>
      </c>
      <c r="E91" s="42">
        <f>[1]consumi!$O$3</f>
        <v>2.6087833333333332</v>
      </c>
      <c r="F91" s="42">
        <f t="shared" si="6"/>
        <v>20377.780938935364</v>
      </c>
    </row>
    <row r="92" spans="2:6" x14ac:dyDescent="0.3">
      <c r="B92" s="42"/>
      <c r="C92" s="42">
        <v>64</v>
      </c>
      <c r="D92" s="42">
        <v>3473.3966670661234</v>
      </c>
      <c r="E92" s="42">
        <f>[1]consumi!$O$3</f>
        <v>2.6087833333333332</v>
      </c>
      <c r="F92" s="42">
        <f t="shared" si="6"/>
        <v>19902.56290228889</v>
      </c>
    </row>
    <row r="93" spans="2:6" x14ac:dyDescent="0.3">
      <c r="B93" s="42"/>
      <c r="C93" s="42">
        <v>66</v>
      </c>
      <c r="D93" s="42">
        <v>3392.5996667557833</v>
      </c>
      <c r="E93" s="42">
        <f>[1]consumi!$O$3</f>
        <v>2.6087833333333332</v>
      </c>
      <c r="F93" s="42">
        <f t="shared" si="6"/>
        <v>19439.59609051064</v>
      </c>
    </row>
    <row r="94" spans="2:6" x14ac:dyDescent="0.3">
      <c r="B94" s="42"/>
      <c r="C94" s="42">
        <v>68</v>
      </c>
      <c r="D94" s="42">
        <v>3313.9407510646843</v>
      </c>
      <c r="E94" s="42">
        <f>[1]consumi!$O$3</f>
        <v>2.6087833333333332</v>
      </c>
      <c r="F94" s="42">
        <f t="shared" si="6"/>
        <v>18988.880503600642</v>
      </c>
    </row>
    <row r="95" spans="2:6" x14ac:dyDescent="0.3">
      <c r="B95" s="42"/>
      <c r="C95" s="42">
        <v>70</v>
      </c>
      <c r="D95" s="42">
        <v>3237.4199199928239</v>
      </c>
      <c r="E95" s="42">
        <f>[1]consumi!$O$3</f>
        <v>2.6087833333333332</v>
      </c>
      <c r="F95" s="42">
        <f t="shared" si="6"/>
        <v>18550.416141558882</v>
      </c>
    </row>
    <row r="96" spans="2:6" x14ac:dyDescent="0.3">
      <c r="B96" s="42"/>
      <c r="C96" s="42">
        <v>72</v>
      </c>
      <c r="D96" s="42">
        <v>3163.0371735402023</v>
      </c>
      <c r="E96" s="42">
        <f>[1]consumi!$O$3</f>
        <v>2.6087833333333332</v>
      </c>
      <c r="F96" s="42">
        <f t="shared" si="6"/>
        <v>18124.203004385359</v>
      </c>
    </row>
    <row r="97" spans="2:6" x14ac:dyDescent="0.3">
      <c r="B97" s="42"/>
      <c r="C97" s="42">
        <v>74</v>
      </c>
      <c r="D97" s="42">
        <v>3090.7925117068198</v>
      </c>
      <c r="E97" s="42">
        <f>[1]consumi!$O$3</f>
        <v>2.6087833333333332</v>
      </c>
      <c r="F97" s="42">
        <f t="shared" si="6"/>
        <v>17710.241092080079</v>
      </c>
    </row>
    <row r="98" spans="2:6" x14ac:dyDescent="0.3">
      <c r="B98" s="42"/>
      <c r="C98" s="42">
        <v>76</v>
      </c>
      <c r="D98" s="42">
        <v>3020.6859344926766</v>
      </c>
      <c r="E98" s="42">
        <f>[1]consumi!$O$3</f>
        <v>2.6087833333333332</v>
      </c>
      <c r="F98" s="42">
        <f t="shared" si="6"/>
        <v>17308.530404643039</v>
      </c>
    </row>
    <row r="99" spans="2:6" x14ac:dyDescent="0.3">
      <c r="B99" s="42"/>
      <c r="C99" s="42">
        <v>78</v>
      </c>
      <c r="D99" s="42">
        <v>2952.717441897772</v>
      </c>
      <c r="E99" s="42">
        <f>[1]consumi!$O$3</f>
        <v>2.6087833333333332</v>
      </c>
      <c r="F99" s="42">
        <f t="shared" si="6"/>
        <v>16919.070942074235</v>
      </c>
    </row>
    <row r="100" spans="2:6" x14ac:dyDescent="0.3">
      <c r="B100" s="42"/>
      <c r="C100" s="42">
        <v>80</v>
      </c>
      <c r="D100" s="42">
        <v>2886.8870339221071</v>
      </c>
      <c r="E100" s="42">
        <f>[1]consumi!$O$3</f>
        <v>2.6087833333333332</v>
      </c>
      <c r="F100" s="42">
        <f t="shared" si="6"/>
        <v>16541.862704373674</v>
      </c>
    </row>
    <row r="101" spans="2:6" x14ac:dyDescent="0.3">
      <c r="B101" s="42"/>
      <c r="C101" s="42">
        <v>82</v>
      </c>
      <c r="D101" s="42">
        <v>2823.1947105656805</v>
      </c>
      <c r="E101" s="42">
        <f>[1]consumi!$O$3</f>
        <v>2.6087833333333332</v>
      </c>
      <c r="F101" s="42">
        <f t="shared" si="6"/>
        <v>16176.905691541349</v>
      </c>
    </row>
    <row r="102" spans="2:6" x14ac:dyDescent="0.3">
      <c r="B102" s="42"/>
      <c r="C102" s="42">
        <v>84</v>
      </c>
      <c r="D102" s="42">
        <v>2761.6404718284939</v>
      </c>
      <c r="E102" s="42">
        <f>[1]consumi!$O$3</f>
        <v>2.6087833333333332</v>
      </c>
      <c r="F102" s="42">
        <f t="shared" si="6"/>
        <v>15824.199903577271</v>
      </c>
    </row>
    <row r="103" spans="2:6" x14ac:dyDescent="0.3">
      <c r="B103" s="42"/>
      <c r="C103" s="42">
        <v>86</v>
      </c>
      <c r="D103" s="42">
        <v>2702.2243177105456</v>
      </c>
      <c r="E103" s="42">
        <f>[1]consumi!$O$3</f>
        <v>2.6087833333333332</v>
      </c>
      <c r="F103" s="42">
        <f t="shared" si="6"/>
        <v>15483.745340481428</v>
      </c>
    </row>
    <row r="104" spans="2:6" x14ac:dyDescent="0.3">
      <c r="B104" s="42"/>
      <c r="C104" s="42">
        <v>88</v>
      </c>
      <c r="D104" s="42">
        <v>2644.946248211837</v>
      </c>
      <c r="E104" s="42">
        <f>[1]consumi!$O$3</f>
        <v>2.6087833333333332</v>
      </c>
      <c r="F104" s="42">
        <f t="shared" si="6"/>
        <v>15155.542002253827</v>
      </c>
    </row>
    <row r="105" spans="2:6" x14ac:dyDescent="0.3">
      <c r="B105" s="42"/>
      <c r="C105" s="42">
        <v>90</v>
      </c>
      <c r="D105" s="42">
        <v>2589.8062633323666</v>
      </c>
      <c r="E105" s="42">
        <f>[1]consumi!$O$3</f>
        <v>2.6087833333333332</v>
      </c>
      <c r="F105" s="42">
        <f t="shared" si="6"/>
        <v>14839.589888894461</v>
      </c>
    </row>
    <row r="106" spans="2:6" x14ac:dyDescent="0.3">
      <c r="B106" s="42"/>
      <c r="C106" s="42">
        <v>92</v>
      </c>
      <c r="D106" s="42">
        <v>2536.8043630721359</v>
      </c>
      <c r="E106" s="42">
        <f>[1]consumi!$O$3</f>
        <v>2.6087833333333332</v>
      </c>
      <c r="F106" s="42">
        <f t="shared" si="6"/>
        <v>14535.88900040334</v>
      </c>
    </row>
    <row r="107" spans="2:6" x14ac:dyDescent="0.3">
      <c r="B107" s="42"/>
      <c r="C107" s="42">
        <v>94</v>
      </c>
      <c r="D107" s="42">
        <v>2485.9405474311443</v>
      </c>
      <c r="E107" s="42">
        <f>[1]consumi!$O$3</f>
        <v>2.6087833333333332</v>
      </c>
      <c r="F107" s="42">
        <f t="shared" si="6"/>
        <v>14244.439336780459</v>
      </c>
    </row>
    <row r="108" spans="2:6" x14ac:dyDescent="0.3">
      <c r="B108" s="42"/>
      <c r="C108" s="42">
        <v>96</v>
      </c>
      <c r="D108" s="42">
        <v>2437.2148164093924</v>
      </c>
      <c r="E108" s="42">
        <f>[1]consumi!$O$3</f>
        <v>2.6087833333333332</v>
      </c>
      <c r="F108" s="42">
        <f t="shared" si="6"/>
        <v>13965.240898025819</v>
      </c>
    </row>
    <row r="109" spans="2:6" x14ac:dyDescent="0.3">
      <c r="B109" s="42"/>
      <c r="C109" s="42">
        <v>98</v>
      </c>
      <c r="D109" s="42">
        <v>2390.6271700068778</v>
      </c>
      <c r="E109" s="42">
        <f>[1]consumi!$O$3</f>
        <v>2.6087833333333332</v>
      </c>
      <c r="F109" s="42">
        <f t="shared" si="6"/>
        <v>13698.293684139411</v>
      </c>
    </row>
    <row r="110" spans="2:6" x14ac:dyDescent="0.3">
      <c r="B110" s="42"/>
      <c r="C110" s="42">
        <v>100</v>
      </c>
      <c r="D110" s="42">
        <v>2346.1776082236033</v>
      </c>
      <c r="E110" s="42">
        <f>[1]consumi!$O$3</f>
        <v>2.6087833333333332</v>
      </c>
      <c r="F110" s="42">
        <f t="shared" si="6"/>
        <v>13443.597695121249</v>
      </c>
    </row>
    <row r="111" spans="2:6" x14ac:dyDescent="0.3">
      <c r="B111" s="42"/>
      <c r="C111" s="42">
        <v>102</v>
      </c>
      <c r="D111" s="42">
        <v>2303.8661310595689</v>
      </c>
      <c r="E111" s="42">
        <f>[1]consumi!$O$3</f>
        <v>2.6087833333333332</v>
      </c>
      <c r="F111" s="42">
        <f t="shared" si="6"/>
        <v>13201.152930971331</v>
      </c>
    </row>
    <row r="112" spans="2:6" x14ac:dyDescent="0.3">
      <c r="B112" s="42"/>
      <c r="C112" s="42">
        <v>104</v>
      </c>
      <c r="D112" s="42">
        <v>2263.6927385147719</v>
      </c>
      <c r="E112" s="42">
        <f>[1]consumi!$O$3</f>
        <v>2.6087833333333332</v>
      </c>
      <c r="F112" s="42">
        <f t="shared" si="6"/>
        <v>12970.959391689645</v>
      </c>
    </row>
    <row r="113" spans="2:6" x14ac:dyDescent="0.3">
      <c r="B113" s="42"/>
      <c r="C113" s="42">
        <v>106</v>
      </c>
      <c r="D113" s="42">
        <v>2225.657430589215</v>
      </c>
      <c r="E113" s="42">
        <f>[1]consumi!$O$3</f>
        <v>2.6087833333333332</v>
      </c>
      <c r="F113" s="42">
        <f t="shared" si="6"/>
        <v>12753.017077276203</v>
      </c>
    </row>
    <row r="114" spans="2:6" x14ac:dyDescent="0.3">
      <c r="B114" s="42"/>
      <c r="C114" s="42">
        <v>108</v>
      </c>
      <c r="D114" s="42">
        <v>2189.7602072828963</v>
      </c>
      <c r="E114" s="42">
        <f>[1]consumi!$O$3</f>
        <v>2.6087833333333332</v>
      </c>
      <c r="F114" s="42">
        <f t="shared" si="6"/>
        <v>12547.325987730997</v>
      </c>
    </row>
    <row r="115" spans="2:6" x14ac:dyDescent="0.3">
      <c r="B115" s="42"/>
      <c r="C115" s="42">
        <v>110</v>
      </c>
      <c r="D115" s="42">
        <v>2156.0010685958168</v>
      </c>
      <c r="E115" s="42">
        <f>[1]consumi!$O$3</f>
        <v>2.6087833333333332</v>
      </c>
      <c r="F115" s="42">
        <f t="shared" si="6"/>
        <v>12353.886123054031</v>
      </c>
    </row>
    <row r="116" spans="2:6" x14ac:dyDescent="0.3">
      <c r="B116" s="42"/>
      <c r="C116" s="42">
        <v>112</v>
      </c>
      <c r="D116" s="42">
        <v>2124.380014527977</v>
      </c>
      <c r="E116" s="42">
        <f>[1]consumi!$O$3</f>
        <v>2.6087833333333332</v>
      </c>
      <c r="F116" s="42">
        <f t="shared" si="6"/>
        <v>12172.697483245309</v>
      </c>
    </row>
    <row r="117" spans="2:6" x14ac:dyDescent="0.3">
      <c r="B117" s="42"/>
      <c r="C117" s="42">
        <v>114</v>
      </c>
      <c r="D117" s="42">
        <v>2094.8970450793763</v>
      </c>
      <c r="E117" s="42">
        <f>[1]consumi!$O$3</f>
        <v>2.6087833333333332</v>
      </c>
      <c r="F117" s="42">
        <f t="shared" si="6"/>
        <v>12003.760068304828</v>
      </c>
    </row>
  </sheetData>
  <mergeCells count="1">
    <mergeCell ref="T2:X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32AA-BC0F-4387-B8DB-6F5DACB3E916}">
  <dimension ref="A1:C16"/>
  <sheetViews>
    <sheetView workbookViewId="0">
      <selection activeCell="C1" sqref="C1"/>
    </sheetView>
  </sheetViews>
  <sheetFormatPr defaultRowHeight="14.4" x14ac:dyDescent="0.3"/>
  <sheetData>
    <row r="1" spans="1:3" x14ac:dyDescent="0.3">
      <c r="A1">
        <v>20</v>
      </c>
      <c r="B1">
        <f>(tauv!B1)/('p2012'!$P$20*A1^2)</f>
        <v>177.91439450059309</v>
      </c>
      <c r="C1">
        <f>'p2012'!$H$17</f>
        <v>59.315132508740454</v>
      </c>
    </row>
    <row r="2" spans="1:3" x14ac:dyDescent="0.3">
      <c r="A2">
        <f>A1+5</f>
        <v>25</v>
      </c>
      <c r="B2">
        <f>(tauv!B2)/('p2012'!$P$20*A2^2)</f>
        <v>113.86521248037958</v>
      </c>
      <c r="C2">
        <f>'p2012'!$H$17</f>
        <v>59.315132508740454</v>
      </c>
    </row>
    <row r="3" spans="1:3" x14ac:dyDescent="0.3">
      <c r="A3">
        <f t="shared" ref="A3:A16" si="0">A2+5</f>
        <v>30</v>
      </c>
      <c r="B3">
        <f>(tauv!B3)/('p2012'!$P$20*A3^2)</f>
        <v>79.073064222485826</v>
      </c>
      <c r="C3">
        <f>'p2012'!$H$17</f>
        <v>59.315132508740454</v>
      </c>
    </row>
    <row r="4" spans="1:3" x14ac:dyDescent="0.3">
      <c r="A4">
        <f t="shared" si="0"/>
        <v>35</v>
      </c>
      <c r="B4">
        <f>(tauv!B4)/('p2012'!$P$20*A4^2)</f>
        <v>58.094496163458977</v>
      </c>
      <c r="C4">
        <f>'p2012'!$H$17</f>
        <v>59.315132508740454</v>
      </c>
    </row>
    <row r="5" spans="1:3" x14ac:dyDescent="0.3">
      <c r="A5">
        <f t="shared" si="0"/>
        <v>40</v>
      </c>
      <c r="B5">
        <f>(tauv!B5)/('p2012'!$P$20*A5^2)</f>
        <v>44.478598625148273</v>
      </c>
      <c r="C5">
        <f>'p2012'!$H$17</f>
        <v>59.315132508740454</v>
      </c>
    </row>
    <row r="6" spans="1:3" x14ac:dyDescent="0.3">
      <c r="A6">
        <f t="shared" si="0"/>
        <v>45</v>
      </c>
      <c r="B6">
        <f>(tauv!B6)/('p2012'!$P$20*A6^2)</f>
        <v>35.143584098882592</v>
      </c>
      <c r="C6">
        <f>'p2012'!$H$17</f>
        <v>59.315132508740454</v>
      </c>
    </row>
    <row r="7" spans="1:3" x14ac:dyDescent="0.3">
      <c r="A7">
        <f t="shared" si="0"/>
        <v>50</v>
      </c>
      <c r="B7">
        <f>(tauv!B7)/('p2012'!$P$20*A7^2)</f>
        <v>28.466303120094896</v>
      </c>
      <c r="C7">
        <f>'p2012'!$H$17</f>
        <v>59.315132508740454</v>
      </c>
    </row>
    <row r="8" spans="1:3" x14ac:dyDescent="0.3">
      <c r="A8">
        <f>A7+5</f>
        <v>55</v>
      </c>
      <c r="B8">
        <f>(tauv!B8)/('p2012'!$P$20*A8^2)</f>
        <v>23.525870347185865</v>
      </c>
      <c r="C8">
        <f>'p2012'!$H$17</f>
        <v>59.315132508740454</v>
      </c>
    </row>
    <row r="9" spans="1:3" x14ac:dyDescent="0.3">
      <c r="A9">
        <v>59.3</v>
      </c>
      <c r="B9">
        <f>(tauv!B9)/('p2012'!$P$20*A9^2)</f>
        <v>20.237725061136885</v>
      </c>
      <c r="C9">
        <f>'p2012'!$H$17</f>
        <v>59.315132508740454</v>
      </c>
    </row>
    <row r="10" spans="1:3" x14ac:dyDescent="0.3">
      <c r="A10">
        <f>A8+5</f>
        <v>60</v>
      </c>
      <c r="B10">
        <f>(tauv!B10)/('p2012'!$P$20*A10^2)</f>
        <v>19.768266055621456</v>
      </c>
      <c r="C10">
        <f>'p2012'!$H$17</f>
        <v>59.315132508740454</v>
      </c>
    </row>
    <row r="11" spans="1:3" x14ac:dyDescent="0.3">
      <c r="A11">
        <f t="shared" si="0"/>
        <v>65</v>
      </c>
      <c r="B11">
        <f>(tauv!B11)/('p2012'!$P$20*A11^2)</f>
        <v>16.843966343251417</v>
      </c>
      <c r="C11">
        <f>'p2012'!$H$17</f>
        <v>59.315132508740454</v>
      </c>
    </row>
    <row r="12" spans="1:3" x14ac:dyDescent="0.3">
      <c r="A12">
        <f t="shared" si="0"/>
        <v>70</v>
      </c>
      <c r="B12">
        <f>(tauv!B12)/('p2012'!$P$20*A12^2)</f>
        <v>14.523624040864744</v>
      </c>
      <c r="C12">
        <f>'p2012'!$H$17</f>
        <v>59.315132508740454</v>
      </c>
    </row>
    <row r="13" spans="1:3" x14ac:dyDescent="0.3">
      <c r="A13">
        <f t="shared" si="0"/>
        <v>75</v>
      </c>
      <c r="B13">
        <f>(tauv!B13)/('p2012'!$P$20*A13^2)</f>
        <v>12.651690275597732</v>
      </c>
      <c r="C13">
        <f>'p2012'!$H$17</f>
        <v>59.315132508740454</v>
      </c>
    </row>
    <row r="14" spans="1:3" x14ac:dyDescent="0.3">
      <c r="A14">
        <f t="shared" si="0"/>
        <v>80</v>
      </c>
      <c r="B14">
        <f>(tauv!B14)/('p2012'!$P$20*A14^2)</f>
        <v>11.119649656287068</v>
      </c>
      <c r="C14">
        <f>'p2012'!$H$17</f>
        <v>59.315132508740454</v>
      </c>
    </row>
    <row r="15" spans="1:3" x14ac:dyDescent="0.3">
      <c r="A15">
        <f t="shared" si="0"/>
        <v>85</v>
      </c>
      <c r="B15">
        <f>(tauv!B15)/('p2012'!$P$20*A15^2)</f>
        <v>9.8499318754653622</v>
      </c>
      <c r="C15">
        <f>'p2012'!$H$17</f>
        <v>59.315132508740454</v>
      </c>
    </row>
    <row r="16" spans="1:3" x14ac:dyDescent="0.3">
      <c r="A16">
        <f t="shared" si="0"/>
        <v>90</v>
      </c>
      <c r="B16">
        <f>(tauv!B16)/('p2012'!$P$20*A16^2)</f>
        <v>8.7858960247206479</v>
      </c>
      <c r="C16">
        <f>'p2012'!$H$17</f>
        <v>59.315132508740454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DB86-A4FC-47F6-BBD6-5BBE086F7138}">
  <dimension ref="A1:M24"/>
  <sheetViews>
    <sheetView workbookViewId="0">
      <selection activeCell="C29" sqref="C29"/>
    </sheetView>
  </sheetViews>
  <sheetFormatPr defaultRowHeight="14.4" x14ac:dyDescent="0.3"/>
  <sheetData>
    <row r="1" spans="1:13" x14ac:dyDescent="0.3">
      <c r="A1" s="9">
        <v>20</v>
      </c>
      <c r="B1">
        <f>'p2012'!D16*'p2012'!$H$3</f>
        <v>319811.59068378893</v>
      </c>
      <c r="C1">
        <f>'p2012'!$L$17*'p2012'!$P$17*'p2012'!$P$3/57.3*0.5*1.225*A1^2*'p2012'!$U$4*'p2012'!$H$4*'p2012'!$P$5</f>
        <v>36490.444233613009</v>
      </c>
      <c r="E1" s="1"/>
      <c r="F1" s="19"/>
      <c r="H1" s="4"/>
      <c r="I1" s="27"/>
      <c r="J1" s="7"/>
      <c r="K1" s="27"/>
      <c r="L1" s="27"/>
      <c r="M1" s="27"/>
    </row>
    <row r="2" spans="1:13" x14ac:dyDescent="0.3">
      <c r="A2" s="9">
        <f>A1+5</f>
        <v>25</v>
      </c>
      <c r="B2">
        <f>'p2012'!D17*'p2012'!$H$3</f>
        <v>319811.59068378893</v>
      </c>
      <c r="C2">
        <f>'p2012'!$L$17*'p2012'!$P$17*'p2012'!$P$3/57.3*0.5*1.225*A2^2*'p2012'!$U$4*'p2012'!$H$4*'p2012'!$P$5</f>
        <v>57016.31911502032</v>
      </c>
    </row>
    <row r="3" spans="1:13" x14ac:dyDescent="0.3">
      <c r="A3" s="9">
        <f t="shared" ref="A3:A24" si="0">A2+5</f>
        <v>30</v>
      </c>
      <c r="B3">
        <f>'p2012'!D18*'p2012'!$H$3</f>
        <v>319811.59068378893</v>
      </c>
      <c r="C3">
        <f>'p2012'!$L$17*'p2012'!$P$17*'p2012'!$P$3/57.3*0.5*1.225*A3^2*'p2012'!$U$4*'p2012'!$H$4*'p2012'!$P$5</f>
        <v>82103.499525629275</v>
      </c>
    </row>
    <row r="4" spans="1:13" x14ac:dyDescent="0.3">
      <c r="A4" s="9">
        <f t="shared" si="0"/>
        <v>35</v>
      </c>
      <c r="B4">
        <f>'p2012'!D19*'p2012'!$H$3</f>
        <v>319811.59068378893</v>
      </c>
      <c r="C4">
        <f>'p2012'!$L$17*'p2012'!$P$17*'p2012'!$P$3/57.3*0.5*1.225*A4^2*'p2012'!$U$4*'p2012'!$H$4*'p2012'!$P$5</f>
        <v>111751.98546543982</v>
      </c>
    </row>
    <row r="5" spans="1:13" x14ac:dyDescent="0.3">
      <c r="A5" s="9">
        <f t="shared" si="0"/>
        <v>40</v>
      </c>
      <c r="B5">
        <f>'p2012'!D20*'p2012'!$H$3</f>
        <v>319811.59068378893</v>
      </c>
      <c r="C5">
        <f>'p2012'!$L$17*'p2012'!$P$17*'p2012'!$P$3/57.3*0.5*1.225*A5^2*'p2012'!$U$4*'p2012'!$H$4*'p2012'!$P$5</f>
        <v>145961.77693445203</v>
      </c>
    </row>
    <row r="6" spans="1:13" x14ac:dyDescent="0.3">
      <c r="A6" s="9">
        <f t="shared" si="0"/>
        <v>45</v>
      </c>
      <c r="B6">
        <f>'p2012'!D21*'p2012'!$H$3</f>
        <v>319811.59068378893</v>
      </c>
      <c r="C6">
        <f>'p2012'!$L$17*'p2012'!$P$17*'p2012'!$P$3/57.3*0.5*1.225*A6^2*'p2012'!$U$4*'p2012'!$H$4*'p2012'!$P$5</f>
        <v>184732.87393266585</v>
      </c>
    </row>
    <row r="7" spans="1:13" x14ac:dyDescent="0.3">
      <c r="A7" s="9">
        <f t="shared" si="0"/>
        <v>50</v>
      </c>
      <c r="B7">
        <f>'p2012'!D22*'p2012'!$H$3</f>
        <v>319811.59068378893</v>
      </c>
      <c r="C7">
        <f>'p2012'!$L$17*'p2012'!$P$17*'p2012'!$P$3/57.3*0.5*1.225*A7^2*'p2012'!$U$4*'p2012'!$H$4*'p2012'!$P$5</f>
        <v>228065.27646008128</v>
      </c>
    </row>
    <row r="8" spans="1:13" x14ac:dyDescent="0.3">
      <c r="A8" s="9">
        <f t="shared" si="0"/>
        <v>55</v>
      </c>
      <c r="B8">
        <f>'p2012'!D23*'p2012'!$H$3</f>
        <v>319811.59068378893</v>
      </c>
      <c r="C8">
        <f>'p2012'!$L$17*'p2012'!$P$17*'p2012'!$P$3/57.3*0.5*1.225*A8^2*'p2012'!$U$4*'p2012'!$H$4*'p2012'!$P$5</f>
        <v>275958.9845166984</v>
      </c>
    </row>
    <row r="9" spans="1:13" x14ac:dyDescent="0.3">
      <c r="A9" s="9">
        <v>59.3</v>
      </c>
      <c r="B9">
        <f>'p2012'!D24*'p2012'!$H$3</f>
        <v>319811.59068378893</v>
      </c>
      <c r="C9">
        <f>'p2012'!$L$17*'p2012'!$P$17*'p2012'!$P$3/57.3*0.5*1.225*A9^2*'p2012'!$U$4*'p2012'!$H$4*'p2012'!$P$5</f>
        <v>320795.70560764446</v>
      </c>
    </row>
    <row r="10" spans="1:13" x14ac:dyDescent="0.3">
      <c r="A10" s="9">
        <f>A8+5</f>
        <v>60</v>
      </c>
      <c r="B10">
        <f>'p2012'!D24*'p2012'!$H$3</f>
        <v>319811.59068378893</v>
      </c>
      <c r="C10">
        <f>'p2012'!$L$17*'p2012'!$P$17*'p2012'!$P$3/57.3*0.5*1.225*A10^2*'p2012'!$U$4*'p2012'!$H$4*'p2012'!$P$5</f>
        <v>328413.9981025171</v>
      </c>
    </row>
    <row r="11" spans="1:13" x14ac:dyDescent="0.3">
      <c r="A11" s="9">
        <f t="shared" si="0"/>
        <v>65</v>
      </c>
      <c r="B11">
        <f>'p2012'!D25*'p2012'!$H$3</f>
        <v>319811.59068378893</v>
      </c>
      <c r="C11">
        <f>'p2012'!$L$17*'p2012'!$P$17*'p2012'!$P$3/57.3*0.5*1.225*A11^2*'p2012'!$U$4*'p2012'!$H$4*'p2012'!$P$5</f>
        <v>385430.31721753738</v>
      </c>
    </row>
    <row r="12" spans="1:13" x14ac:dyDescent="0.3">
      <c r="A12" s="9">
        <f t="shared" si="0"/>
        <v>70</v>
      </c>
      <c r="B12">
        <f>'p2012'!D26*'p2012'!$H$3</f>
        <v>319811.59068378893</v>
      </c>
      <c r="C12">
        <f>'p2012'!$L$17*'p2012'!$P$17*'p2012'!$P$3/57.3*0.5*1.225*A12^2*'p2012'!$U$4*'p2012'!$H$4*'p2012'!$P$5</f>
        <v>447007.94186175929</v>
      </c>
    </row>
    <row r="13" spans="1:13" x14ac:dyDescent="0.3">
      <c r="A13" s="9">
        <f t="shared" si="0"/>
        <v>75</v>
      </c>
      <c r="B13">
        <f>'p2012'!D27*'p2012'!$H$3</f>
        <v>319811.59068378893</v>
      </c>
      <c r="C13">
        <f>'p2012'!$L$17*'p2012'!$P$17*'p2012'!$P$3/57.3*0.5*1.225*A13^2*'p2012'!$U$4*'p2012'!$H$4*'p2012'!$P$5</f>
        <v>513146.87203518284</v>
      </c>
    </row>
    <row r="14" spans="1:13" x14ac:dyDescent="0.3">
      <c r="A14" s="9">
        <f t="shared" si="0"/>
        <v>80</v>
      </c>
      <c r="B14">
        <f>'p2012'!D$28*'p2012'!$H$3</f>
        <v>319811.59068378893</v>
      </c>
      <c r="C14">
        <f>'p2012'!$L$17*'p2012'!$P$17*'p2012'!$P$3/57.3*0.5*1.225*A14^2*'p2012'!$U$4*'p2012'!$H$4*'p2012'!$P$5</f>
        <v>583847.10773780814</v>
      </c>
    </row>
    <row r="15" spans="1:13" x14ac:dyDescent="0.3">
      <c r="A15" s="9">
        <f t="shared" si="0"/>
        <v>85</v>
      </c>
      <c r="B15">
        <f>'p2012'!D$28*'p2012'!$H$3</f>
        <v>319811.59068378893</v>
      </c>
      <c r="C15">
        <f>'p2012'!$L$17*'p2012'!$P$17*'p2012'!$P$3/57.3*0.5*1.225*A15^2*'p2012'!$U$4*'p2012'!$H$4*'p2012'!$P$5</f>
        <v>659108.6489696349</v>
      </c>
    </row>
    <row r="16" spans="1:13" x14ac:dyDescent="0.3">
      <c r="A16" s="9">
        <f>A15+5</f>
        <v>90</v>
      </c>
      <c r="B16">
        <f>'p2012'!D$28*'p2012'!$H$3</f>
        <v>319811.59068378893</v>
      </c>
      <c r="C16">
        <f>'p2012'!$L$17*'p2012'!$P$17*'p2012'!$P$3/57.3*0.5*1.225*A16^2*'p2012'!$U$4*'p2012'!$H$4*'p2012'!$P$5</f>
        <v>738931.49573066342</v>
      </c>
    </row>
    <row r="17" spans="1:3" x14ac:dyDescent="0.3">
      <c r="A17" s="9">
        <f t="shared" si="0"/>
        <v>95</v>
      </c>
      <c r="B17">
        <f>'p2012'!D$28*'p2012'!$H$3</f>
        <v>319811.59068378893</v>
      </c>
      <c r="C17">
        <f>'p2012'!$L$17*'p2012'!$P$17*'p2012'!$P$3/57.3*0.5*1.225*A17^2*'p2012'!$U$4*'p2012'!$H$4*'p2012'!$P$5</f>
        <v>823315.64802089345</v>
      </c>
    </row>
    <row r="18" spans="1:3" x14ac:dyDescent="0.3">
      <c r="A18" s="9">
        <f t="shared" si="0"/>
        <v>100</v>
      </c>
      <c r="B18">
        <f>'p2012'!D$28*'p2012'!$H$3</f>
        <v>319811.59068378893</v>
      </c>
      <c r="C18">
        <f>'p2012'!$L$17*'p2012'!$P$17*'p2012'!$P$3/57.3*0.5*1.225*A18^2*'p2012'!$U$4*'p2012'!$H$4*'p2012'!$P$5</f>
        <v>912261.10584032512</v>
      </c>
    </row>
    <row r="19" spans="1:3" x14ac:dyDescent="0.3">
      <c r="A19" s="9">
        <f t="shared" si="0"/>
        <v>105</v>
      </c>
      <c r="B19">
        <f>'p2012'!D$28*'p2012'!$H$3</f>
        <v>319811.59068378893</v>
      </c>
      <c r="C19">
        <f>'p2012'!$L$17*'p2012'!$P$17*'p2012'!$P$3/57.3*0.5*1.225*A19^2*'p2012'!$U$4*'p2012'!$H$4*'p2012'!$P$5</f>
        <v>1005767.8691889588</v>
      </c>
    </row>
    <row r="20" spans="1:3" x14ac:dyDescent="0.3">
      <c r="A20" s="9">
        <f t="shared" si="0"/>
        <v>110</v>
      </c>
      <c r="B20">
        <f>'p2012'!D$28*'p2012'!$H$3</f>
        <v>319811.59068378893</v>
      </c>
      <c r="C20">
        <f>'p2012'!$L$17*'p2012'!$P$17*'p2012'!$P$3/57.3*0.5*1.225*A20^2*'p2012'!$U$4*'p2012'!$H$4*'p2012'!$P$5</f>
        <v>1103835.9380667936</v>
      </c>
    </row>
    <row r="21" spans="1:3" x14ac:dyDescent="0.3">
      <c r="A21" s="9">
        <f>A20+5</f>
        <v>115</v>
      </c>
      <c r="B21">
        <f>'p2012'!D$28*'p2012'!$H$3</f>
        <v>319811.59068378893</v>
      </c>
      <c r="C21">
        <f>'p2012'!$L$17*'p2012'!$P$17*'p2012'!$P$3/57.3*0.5*1.225*A21^2*'p2012'!$U$4*'p2012'!$H$4*'p2012'!$P$5</f>
        <v>1206465.3124738301</v>
      </c>
    </row>
    <row r="22" spans="1:3" x14ac:dyDescent="0.3">
      <c r="A22" s="9">
        <f t="shared" si="0"/>
        <v>120</v>
      </c>
      <c r="B22">
        <f>'p2012'!D$28*'p2012'!$H$3</f>
        <v>319811.59068378893</v>
      </c>
      <c r="C22">
        <f>'p2012'!$L$17*'p2012'!$P$17*'p2012'!$P$3/57.3*0.5*1.225*A22^2*'p2012'!$U$4*'p2012'!$H$4*'p2012'!$P$5</f>
        <v>1313655.9924100684</v>
      </c>
    </row>
    <row r="23" spans="1:3" x14ac:dyDescent="0.3">
      <c r="A23" s="9">
        <f t="shared" si="0"/>
        <v>125</v>
      </c>
      <c r="B23">
        <f>'p2012'!D$28*'p2012'!$H$3</f>
        <v>319811.59068378893</v>
      </c>
      <c r="C23">
        <f>'p2012'!$L$17*'p2012'!$P$17*'p2012'!$P$3/57.3*0.5*1.225*A23^2*'p2012'!$U$4*'p2012'!$H$4*'p2012'!$P$5</f>
        <v>1425407.9778755081</v>
      </c>
    </row>
    <row r="24" spans="1:3" x14ac:dyDescent="0.3">
      <c r="A24" s="9">
        <f t="shared" si="0"/>
        <v>130</v>
      </c>
      <c r="B24">
        <f>'p2012'!D$28*'p2012'!$H$3</f>
        <v>319811.59068378893</v>
      </c>
      <c r="C24">
        <f>'p2012'!$L$17*'p2012'!$P$17*'p2012'!$P$3/57.3*0.5*1.225*A24^2*'p2012'!$U$4*'p2012'!$H$4*'p2012'!$P$5</f>
        <v>1541721.2688701495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a320</vt:lpstr>
      <vt:lpstr>p2012</vt:lpstr>
      <vt:lpstr>Foglio1</vt:lpstr>
      <vt:lpstr>tauv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</dc:creator>
  <cp:lastModifiedBy>miche</cp:lastModifiedBy>
  <dcterms:created xsi:type="dcterms:W3CDTF">2012-06-04T14:26:46Z</dcterms:created>
  <dcterms:modified xsi:type="dcterms:W3CDTF">2021-06-27T10:35:46Z</dcterms:modified>
</cp:coreProperties>
</file>