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204" sheetId="1" r:id="rId1"/>
  </sheets>
  <definedNames>
    <definedName name="arrow_part_data">'md204'!$H$5:$L$51</definedName>
    <definedName name="BoardQty">'md204'!$G$1</definedName>
    <definedName name="digikey_part_data">'md204'!$M$5:$Q$51</definedName>
    <definedName name="farnell_part_data">'md204'!$R$5:$V$51</definedName>
    <definedName name="global_part_data">'md204'!$A$5:$G$51</definedName>
    <definedName name="lcsc_part_data">'md204'!$W$5:$AA$51</definedName>
    <definedName name="mouser_part_data">'md204'!$AB$5:$AF$51</definedName>
    <definedName name="newark_part_data">'md204'!$AG$5:$AK$51</definedName>
    <definedName name="PURCHASE_DESCRIPTION">'md204'!$G$54</definedName>
    <definedName name="rs_part_data">'md204'!$AL$5:$AP$51</definedName>
    <definedName name="tme_part_data">'md204'!$AQ$5:$AU$51</definedName>
    <definedName name="TotalCost">'md204'!$G$3</definedName>
    <definedName name="USD_GBP">'md204'!$C$54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$0.63      $0.63
    10   $0.45      $4.48
   100   $0.29     $29.48
   500   $0.22    $109.18
  1000   $0.19    $185.60
  2500   $0.17    $436.70
  5000   $0.16    $818.80
 10000   $0.13  $1,329.00
 20000   $0.13  $2,610.60</t>
        </r>
      </text>
    </comment>
    <comment ref="T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£0.43      £4.28
   100   £0.24     £23.60
   150   £0.24     £35.40
   500   £0.15     £75.50
  2500   £0.13    £330.00
  5000   £0.13    £655.00
 10000   £0.10  £1,010.00
 50000   £0.10  £4,750.00</t>
        </r>
      </text>
    </comment>
    <comment ref="AD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$0.63      $0.63
    10   $0.45      $4.48
   100   $0.29     $29.40
   500   $0.22    $109.00
  1000   $0.18    $185.00
  2000   $0.16    $326.00
 10000   $0.13  $1,320.00
 20000   $0.13  $2,600.00
 50000   $0.12  $6,150.00</t>
        </r>
      </text>
    </comment>
    <comment ref="AI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$0.56      $5.60
    25   $0.50     $12.40
    50   $0.43     $21.55
   100   $0.37     $36.80
   250   $0.32     $80.00
   500   $0.27    $136.50
  1000   $0.23    $231.00
 10000   $0.17  $1,670.00
 20000   $0.16  $3,260.00
 30000   $0.14  $4,050.00
 40000   $0.16  $6,360.00
 50000   $0.12  $6,150.00
 60000   $0.15  $9,240.00</t>
        </r>
      </text>
    </comment>
    <comment ref="AN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£0.34     £17.25
   100   £0.18     £18.00
   500   £0.13     £64.50
  2500   £0.10    £255.00
  5000   £0.10    £490.00
 10000   £0.11  £1,120.00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$0.12      $1.17
   100   $0.06      $5.50
   500   $0.04     $19.29
  1000   $0.03     $31.94
  2500   $0.03     $74.32
  5000   $0.03    $136.00
 10000   $0.02    $220.00
 20000   $0.02    $418.00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$0.88      $0.88
    10   $0.67      $6.66
   100   $0.48     $47.65
   500   $0.37    $184.44
  1000   $0.32    $317.64
  2500   $0.30    $742.88
  5000   $0.28  $1,408.90
 10000   $0.24  $2,405.70
 20000   $0.24  $4,740.20</t>
        </r>
      </text>
    </comment>
    <comment ref="T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£0.22  £2,230.00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$1.04      $1.04
    10   $0.80      $7.98
   100   $0.51     $50.60
   500   $0.44    $221.00
  1000   $0.38    $380.00
  2500   $0.32    $805.00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25   $0.80     $19.95
   100   $0.57     $57.10
   250   $0.51    $126.50
   500   $0.44    $221.00
  1000   $0.38    $380.00
  2500   $0.32    $805.00
  5000   $0.27  $1,365.00
 10000   $0.25  $2,520.00
 20000   $0.24  $4,700.00
 30000   $0.22  $6,570.00
 50000   $0.21 $10,450.00</t>
        </r>
      </text>
    </comment>
    <comment ref="O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$0.78
   100   $0.03      $3.47
   500   $0.02     $12.40
  1000   $0.02     $19.48
  2500   $0.02     $44.28
  5000   $0.02     $81.45
 15000   $0.01    $168.00
 30000   $0.01    $319.20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£0.45
   100   £0.03      £2.60
   150   £0.03      £3.90
   500   £0.01      £6.40
  2500   £0.01     £29.00
  7500   £0.01     £71.25
 15000   £0.01     £90.00
 75000   £0.01    £442.50</t>
        </r>
      </text>
    </comment>
    <comment ref="AD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$0.78
   100   $0.03      $3.40
   500   $0.02     $12.00
  1000   $0.02     $19.00
  2000   $0.02     $32.00
 15000   $0.01    $150.00
 45000   $0.01    $360.00</t>
        </r>
      </text>
    </comment>
    <comment ref="AI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$0.05      $1.20
   100   $0.03      $2.90
   250   $0.03      $6.50
   500   $0.02     $12.00
  1000   $0.02     $18.00
  2500   $0.02     $40.00
 15000   $0.01    $195.00</t>
        </r>
      </text>
    </comment>
    <comment ref="AN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2500   £0.14    £362.50
  5000   £0.14    £705.00
 15000   £0.01    £135.00
 45000   £0.01    £315.00
 75000   £0.00    £375.00
150000   £0.00    £750.00</t>
        </r>
      </text>
    </comment>
    <comment ref="O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$0.88      $0.88
    10   $0.67      $6.66
   100   $0.48     $47.65
   500   $0.37    $184.44
  1000   $0.32    $317.64
  2500   $0.30    $742.88
  5000   $0.28  $1,408.90
 10000   $0.24  $2,405.70
 20000   $0.24  $4,740.20</t>
        </r>
      </text>
    </comment>
    <comment ref="T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£0.22  £2,230.00</t>
        </r>
      </text>
    </comment>
    <comment ref="AD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$1.04      $1.04
    10   $0.80      $7.98
   100   $0.51     $50.60
   500   $0.44    $221.00
  1000   $0.38    $380.00
  2500   $0.32    $805.00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25   $0.80     $19.95
   100   $0.57     $57.10
   250   $0.51    $126.50
   500   $0.44    $221.00
  1000   $0.38    $380.00
  2500   $0.32    $805.00
  5000   $0.27  $1,365.00
 10000   $0.25  $2,520.00
 20000   $0.24  $4,700.00
 30000   $0.22  $6,570.00
 50000   $0.21 $10,450.00</t>
        </r>
      </text>
    </comment>
    <comment ref="O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100   $0.02      $1.60
   500   $0.01      $5.71
  1000   $0.01      $8.98
  2500   $0.01     $20.40
  5000   $0.01     $37.55
 15000   $0.01     $85.05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100   $0.01      $1.20
   500   $0.01      $5.00
  1000   $0.01      $8.00
  5000   $0.01     $35.00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$1.30
   500   $0.01      $4.66
  1000   $0.01      $7.32
  2500   $0.01     $16.65
  5000   $0.01     $30.60
 15000   $0.00     $48.00
 30000   $0.00     $91.20</t>
        </r>
      </text>
    </comment>
    <comment ref="T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£0.42
   100   £0.03      £2.71
   150   £0.03      £4.06
   500   £0.02      £8.85
  2500   £0.01     £32.75
  7500   £0.01     £84.00
 15000   £0.01     £90.00
 75000   £0.00    £165.00</t>
        </r>
      </text>
    </comment>
    <comment ref="Y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$0.16
  1000   $0.00      $1.22
  3000   $0.00      $3.42
 10000   $0.00     $10.60
 50000   $0.00     $51.50
100000   $0.00    $101.00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$1.30
   500   $0.01      $4.50
  1000   $0.01      $7.00
  2500   $0.01     $15.00</t>
        </r>
      </text>
    </comment>
    <comment ref="AI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$0.02      $0.24
    25   $0.02      $0.48
    50   $0.01      $0.70
   100   $0.01      $1.00
   250   $0.01      $2.25
   500   $0.01      $4.00
  1000   $0.01      $6.00
 15000   $0.00     $75.00</t>
        </r>
      </text>
    </comment>
    <comment ref="AN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200   £0.01      £1.80
  2000   £0.01     £16.00
 15000   £0.00     £45.00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50000   $0.00    $246.50</t>
        </r>
      </text>
    </comment>
    <comment ref="AD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$0.50
   100   $0.03      $3.00
   500   $0.02     $10.00
  1000   $0.02     $20.00
  2500   $0.02     $50.00</t>
        </r>
      </text>
    </comment>
    <comment ref="O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$0.64      $0.64
    10   $0.45      $4.51
   100   $0.30     $29.71
   500   $0.22    $110.06
  1000   $0.19    $187.09
  2500   $0.18    $440.22
  5000   $0.13    $652.50
 10000   $0.12  $1,218.00</t>
        </r>
      </text>
    </comment>
    <comment ref="O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$1.30
   500   $0.01      $4.66
  1000   $0.01      $7.32
  2500   $0.01     $16.65
  5000   $0.01     $30.60
 15000   $0.00     $63.00
 30000   $0.00    $119.70</t>
        </r>
      </text>
    </comment>
    <comment ref="R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£21.00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 500   $0.01      $4.00
  1000   $0.01      $6.00
  2500   $0.01     $15.00</t>
        </r>
      </text>
    </comment>
    <comment ref="AG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$45.00</t>
        </r>
      </text>
    </comment>
    <comment ref="AN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500   £0.01      £3.00
  2500   £0.00     £12.50</t>
        </r>
      </text>
    </comment>
    <comment ref="O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$1.30
   500   $0.01      $4.66
  1000   $0.01      $7.32
  2500   $0.01     $16.65
  5000   $0.01     $30.60
 15000   $0.00     $63.00
 30000   $0.00    $119.70</t>
        </r>
      </text>
    </comment>
    <comment ref="R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£21.00</t>
        </r>
      </text>
    </comment>
    <comment ref="AD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 500   $0.01      $4.00
  1000   $0.01      $6.00
  2500   $0.01     $15.00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$45.00</t>
        </r>
      </text>
    </comment>
    <comment ref="AN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500   £0.01      £3.00
  2500   £0.00     £12.50</t>
        </r>
      </text>
    </comment>
    <comment ref="O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$0.10      $0.99
    25   $0.08      $1.93
    50   $0.06      $3.19
   100   $0.06      $5.50
   250   $0.04     $11.00
   500   $0.04     $19.80
  1000   $0.03     $33.00
  5000   $0.03    $154.00
 10000   $0.02    $159.50
 20000   $0.02    $308.00
 30000   $0.01    $429.00
 50000   $0.01    $707.00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$0.54
   100   $0.03      $2.90
   500   $0.03     $13.00
  1000   $0.02     $22.00
  2500   $0.02     $47.50</t>
        </r>
      </text>
    </comment>
    <comment ref="O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$0.25      $2.53
   100   $0.17     $17.39
   500   $0.15     $74.32
  1000   $0.11    $113.85
  2500   $0.11    $268.80
 10000   $0.09    $852.50
 30000   $0.08  $2,475.00
 50000   $0.08  $3,987.50
100000   $0.08  $7,700.00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$1.92
   100   $0.18     $17.80
   500   $0.16     $78.00
  1000   $0.13    $126.00
  2500   $0.09    $220.00</t>
        </r>
      </text>
    </comment>
    <comment ref="O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100   $0.01      $1.04
  1000   $0.00      $4.66
  2500   $0.00     $10.12
  5000   $0.00     $16.70
 10000   $0.00     $26.40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10000   $0.00     $30.00
 20000   $0.00     $60.00
 60000   $0.00    $180.00
100000   $0.00    $300.00</t>
        </r>
      </text>
    </comment>
    <comment ref="O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100   $0.02      $1.65
  1000   $0.01      $7.39
  2500   $0.01     $16.05
  5000   $0.01     $26.50
 10000   $0.00     $41.90</t>
        </r>
      </text>
    </comment>
    <comment ref="AD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$0.41
   100   $0.02      $1.70
  1000   $0.01      $7.00
  2500   $0.00     $12.50
 10000   $0.00     $50.00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$0.32      $3.16
   100   $0.15     $14.60
  1000   $0.11    $114.00
  2500   $0.10    $245.00
 10000   $0.09    $940.00</t>
        </r>
      </text>
    </comment>
    <comment ref="O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$0.15      $1.54
    25   $0.13      $3.19
    50   $0.11      $5.50
   100   $0.10      $9.90
   250   $0.08     $20.90
   500   $0.07     $37.40
  1000   $0.06     $63.80
  5000   $0.06    $297.00
 15000   $0.05    $750.00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£0.10      £0.97
   100   £0.06      £6.25
   150   £0.06      £9.38
   500   £0.05     £23.45
  2500   £0.03     £85.25
  7500   £0.03    £201.00
 15000   £0.03    £379.50
 75000   £0.02  £1,785.00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$0.11      $1.10
   100   $0.08      $8.30
   500   $0.07     $36.00
  1000   $0.06     $63.00
  2500   $0.06    $152.50
  5000   $0.06    $295.00
 10000   $0.05    $540.00
 15000   $0.05    $750.00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$0.11      $1.10
    25   $0.10      $2.53
    50   $0.09      $4.60
   100   $0.08      $8.30
   250   $0.08     $19.50
   500   $0.07     $36.00
  1000   $0.06     $63.00</t>
        </r>
      </text>
    </comment>
    <comment ref="O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100   $0.01      $1.04
  1000   $0.00      $4.66
  2500   $0.00     $10.12
  5000   $0.00     $16.70
 10000   $0.00     $26.40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10000   $0.00     $30.00
 20000   $0.00     $60.00
 60000   $0.00    $180.00
100000   $0.00    $300.00</t>
        </r>
      </text>
    </comment>
    <comment ref="O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$0.62
   100   $0.03      $2.53
  1000   $0.01     $11.37
  2500   $0.01     $24.68
  5000   $0.01     $40.75
 10000   $0.01     $64.40</t>
        </r>
      </text>
    </comment>
    <comment ref="T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£0.62
   100   £0.03      £2.51
   150   £0.03      £3.76
   500   £0.01      £4.95
  2500   £0.01     £20.75
  5000   £0.01     £32.50
 10000   £0.00     £45.00
 50000   £0.00    £215.00</t>
        </r>
      </text>
    </comment>
    <comment ref="AD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$0.59
   100   $0.05      $4.90
   500   $0.02     $11.00
  1000   $0.01     $10.00
  2500   $0.01     $20.00</t>
        </r>
      </text>
    </comment>
    <comment ref="AI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$0.01      $0.15
   100   $0.01      $0.60
   250   $0.01      $1.50
   500   $0.01      $3.00
  1000   $0.01      $6.00
  2500   $0.01     $15.00
  5000   $0.01     $40.00
 10000   $0.01     $80.00
 20000   $0.01    $120.00</t>
        </r>
      </text>
    </comment>
    <comment ref="M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$0.03    $462.00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£0.11  £1,635.00</t>
        </r>
      </text>
    </comment>
    <comment ref="AD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$1.93
   100   $0.08      $7.80
  1000   $0.05     $47.00
  2500   $0.05    $115.00
 10000   $0.03    $300.00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25   $0.26      $6.48
   100   $0.23     $23.10
   250   $0.14     $35.75
   500   $0.12     $59.00
  1000   $0.10    $100.00
  2500   $0.08    $205.00
  5000   $0.07    $330.00
 15000   $0.07    $990.00
 30000   $0.03    $810.00
 60000   $0.03  $1,560.00
 90000   $0.03  $2,340.00
150000   $0.03  $3,900.00
300000   $0.03  $7,800.00</t>
        </r>
      </text>
    </comment>
    <comment ref="M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$0.03    $462.00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£0.11  £1,635.00</t>
        </r>
      </text>
    </comment>
    <comment ref="AD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$1.93
   100   $0.08      $7.80
  1000   $0.05     $47.00
  2500   $0.05    $115.00
 10000   $0.03    $300.00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25   $0.26      $6.48
   100   $0.23     $23.10
   250   $0.14     $35.75
   500   $0.12     $59.00
  1000   $0.10    $100.00
  2500   $0.08    $205.00
  5000   $0.07    $330.00
 15000   $0.07    $990.00
 30000   $0.03    $810.00
 60000   $0.03  $1,560.00
 90000   $0.03  $2,340.00
150000   $0.03  $3,900.00
300000   $0.03  $7,800.00</t>
        </r>
      </text>
    </comment>
    <comment ref="O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$5.17
  2500   $0.00     $11.20
  5000   $0.00     $18.55
 10000   $0.00     $29.40</t>
        </r>
      </text>
    </comment>
    <comment ref="R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£0.05      £2.35
  1000   £0.02     £16.00
  5000   £0.01     £50.00
 15000   £0.01     £90.00</t>
        </r>
      </text>
    </comment>
    <comment ref="AD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$0.22
   100   $0.01      $0.80
  1000   $0.01      $6.00
  2500   $0.00     $10.00
 10000   $0.00     $40.00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$0.58
   100   $0.01      $0.80
   250   $0.01      $2.00
   500   $0.01      $3.50
  1000   $0.01      $6.00
  2500   $0.00     $10.00
  5000   $0.01     $35.00
 10000   $0.00     $50.00</t>
        </r>
      </text>
    </comment>
    <comment ref="O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$0.62
   100   $0.03      $2.53
  1000   $0.01     $11.37
  2500   $0.01     $24.68
  5000   $0.01     $40.75
 10000   $0.01     $64.40</t>
        </r>
      </text>
    </comment>
    <comment ref="T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£0.62
   100   £0.03      £2.51
   150   £0.03      £3.76
   500   £0.01      £4.95
  2500   £0.01     £20.75
  5000   £0.01     £32.50
 10000   £0.00     £45.00
 50000   £0.00    £215.00</t>
        </r>
      </text>
    </comment>
    <comment ref="AD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$0.59
   100   $0.05      $4.90
   500   $0.02     $11.00
  1000   $0.01     $10.00
  2500   $0.01     $20.00</t>
        </r>
      </text>
    </comment>
    <comment ref="AI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$0.01      $0.15
   100   $0.01      $0.60
   250   $0.01      $1.50
   500   $0.01      $3.00
  1000   $0.01      $6.00
  2500   $0.01     $15.00
  5000   $0.01     $40.00
 10000   $0.01     $80.00
 20000   $0.01    $120.00</t>
        </r>
      </text>
    </comment>
    <comment ref="O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$1.95      $1.95
    10   $1.75     $17.49
    25   $1.65     $41.25
   100   $1.32    $132.00
   250   $1.16    $288.75
   500   $1.12    $561.00
  1000   $0.89    $891.00
  3000   $0.86  $2,574.00
  6000   $0.82  $4,950.00</t>
        </r>
      </text>
    </comment>
    <comment ref="Y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$2.21      $2.21
    10   $2.16     $21.56
    30   $2.12     $63.48
   100   $2.08    $207.61
   500   $2.08  $1,038.07</t>
        </r>
      </text>
    </comment>
    <comment ref="AD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$1.95      $1.95
    10   $1.65     $16.50
   100   $1.32    $132.00
   250   $1.16    $290.00
   500   $1.13    $565.00
  1000   $0.89    $891.00</t>
        </r>
      </text>
    </comment>
    <comment ref="O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$0.59      $0.59
    10   $0.50      $4.95
    50   $0.45     $22.28
   100   $0.40     $39.60
   250   $0.37     $93.09
   500   $0.35    $176.86
   750   $0.33    $244.35
  1250   $0.30    $372.34
  2500   $0.28    $698.15
  6250   $0.27  $1,687.19
 12500   $0.26  $3,258.00</t>
        </r>
      </text>
    </comment>
    <comment ref="AD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10   $0.45      $4.50
    50   $0.41     $20.30
   100   $0.36     $36.00
   500   $0.32    $158.00
  1000   $0.29    $288.00</t>
        </r>
      </text>
    </comment>
    <comment ref="F5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5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54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<sst xmlns="http://schemas.openxmlformats.org/spreadsheetml/2006/main" count="425" uniqueCount="222">
  <si>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</si>
  <si>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</si>
  <si>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</si>
  <si>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</si>
  <si>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</si>
  <si>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</si>
  <si>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</si>
  <si>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</si>
  <si>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ANT1</t>
  </si>
  <si>
    <t>WAN2012</t>
  </si>
  <si>
    <t>C1,C30,C31</t>
  </si>
  <si>
    <t>10uF</t>
  </si>
  <si>
    <t>C_0402</t>
  </si>
  <si>
    <t>C0402C106M9PAC7867</t>
  </si>
  <si>
    <t>C10,C11,C39</t>
  </si>
  <si>
    <t>4.7uF</t>
  </si>
  <si>
    <t>CM05X5R475M10AH</t>
  </si>
  <si>
    <t>C17</t>
  </si>
  <si>
    <t>C_0401</t>
  </si>
  <si>
    <t>0402ZD106MAT2A</t>
  </si>
  <si>
    <t>C19,C21</t>
  </si>
  <si>
    <t>0.1uF</t>
  </si>
  <si>
    <t>C_0201</t>
  </si>
  <si>
    <t>C0201C104K9PACTU</t>
  </si>
  <si>
    <t>C2,C5,C8,C9,C35-C37,C41</t>
  </si>
  <si>
    <t>C26,C29</t>
  </si>
  <si>
    <t>6.8pF</t>
  </si>
  <si>
    <t>UMK063CG6R8DTHF</t>
  </si>
  <si>
    <t>C27</t>
  </si>
  <si>
    <t>10nF</t>
  </si>
  <si>
    <t>GRM033R71A103KA01D</t>
  </si>
  <si>
    <t>C28</t>
  </si>
  <si>
    <t>NC/3.9pF</t>
  </si>
  <si>
    <t>NC</t>
  </si>
  <si>
    <t>C3,C4,C6,C7,C12-C16,C18,C20,C22-C25</t>
  </si>
  <si>
    <t>1uF</t>
  </si>
  <si>
    <t>GRM033R60J105ME11J</t>
  </si>
  <si>
    <t>C32</t>
  </si>
  <si>
    <t>1.2pF</t>
  </si>
  <si>
    <t>C005YK1R2QBSTR</t>
  </si>
  <si>
    <t>C34</t>
  </si>
  <si>
    <t>2.2uF</t>
  </si>
  <si>
    <t>GRM033R60J103KA01D</t>
  </si>
  <si>
    <t>C38,C40</t>
  </si>
  <si>
    <t>100pF</t>
  </si>
  <si>
    <t>D2</t>
  </si>
  <si>
    <t>18-225-B6R6C-C01/3T</t>
  </si>
  <si>
    <t>Y2016_SOT-883</t>
  </si>
  <si>
    <t>18-225/B6R6C-C01/3T</t>
  </si>
  <si>
    <t>D3-D5</t>
  </si>
  <si>
    <t>AZ5A25</t>
  </si>
  <si>
    <t>D_0603</t>
  </si>
  <si>
    <t>AZ5A25-01F</t>
  </si>
  <si>
    <t>FB1,FB2</t>
  </si>
  <si>
    <t>BK1005HM750-TV(TAIYO YUDEN)</t>
  </si>
  <si>
    <t>BK1005HM750-TV</t>
  </si>
  <si>
    <t>L1-L4</t>
  </si>
  <si>
    <t>2.2uH</t>
  </si>
  <si>
    <t>MLF1005G2R2KT000</t>
  </si>
  <si>
    <t>MIC1</t>
  </si>
  <si>
    <t>3SM102E4T13B</t>
  </si>
  <si>
    <t>3S_MIC</t>
  </si>
  <si>
    <t>R1,R2,R10</t>
  </si>
  <si>
    <t>10k</t>
  </si>
  <si>
    <t>R_0201</t>
  </si>
  <si>
    <t>RMCF0201FT10K0</t>
  </si>
  <si>
    <t>R12</t>
  </si>
  <si>
    <t>1.3k</t>
  </si>
  <si>
    <t>RC0201FR-071K3L</t>
  </si>
  <si>
    <t>R13</t>
  </si>
  <si>
    <t>1M</t>
  </si>
  <si>
    <t>RE0201BRE071ML</t>
  </si>
  <si>
    <t>R14</t>
  </si>
  <si>
    <t>330</t>
  </si>
  <si>
    <t>NFZ03SG331SN10D</t>
  </si>
  <si>
    <t>R15</t>
  </si>
  <si>
    <t>10K</t>
  </si>
  <si>
    <t>R16</t>
  </si>
  <si>
    <t>1k</t>
  </si>
  <si>
    <t>CRCW02011K00FNED</t>
  </si>
  <si>
    <t>R17</t>
  </si>
  <si>
    <t>0R</t>
  </si>
  <si>
    <t>R_0402</t>
  </si>
  <si>
    <t>ERJ-U010R00C</t>
  </si>
  <si>
    <t>R3,R4,R7-R9,R11</t>
  </si>
  <si>
    <t>R5</t>
  </si>
  <si>
    <t>47K</t>
  </si>
  <si>
    <t>RC0201JR-0747KL</t>
  </si>
  <si>
    <t>R6</t>
  </si>
  <si>
    <t>1K</t>
  </si>
  <si>
    <t>T1</t>
  </si>
  <si>
    <t>VCHGER</t>
  </si>
  <si>
    <t>pad_1x1mm</t>
  </si>
  <si>
    <t>T10</t>
  </si>
  <si>
    <t>I2C_CLK</t>
  </si>
  <si>
    <t>T11</t>
  </si>
  <si>
    <t>I2C_DATGND</t>
  </si>
  <si>
    <t>T12</t>
  </si>
  <si>
    <t>G5</t>
  </si>
  <si>
    <t>T13</t>
  </si>
  <si>
    <t>G6</t>
  </si>
  <si>
    <t>T14</t>
  </si>
  <si>
    <t>touch</t>
  </si>
  <si>
    <t>T2</t>
  </si>
  <si>
    <t>TX</t>
  </si>
  <si>
    <t>T3</t>
  </si>
  <si>
    <t>RX</t>
  </si>
  <si>
    <t>T4,T9</t>
  </si>
  <si>
    <t>GND</t>
  </si>
  <si>
    <t>T5</t>
  </si>
  <si>
    <t>BAT+</t>
  </si>
  <si>
    <t>T6</t>
  </si>
  <si>
    <t>BAT-</t>
  </si>
  <si>
    <t>T7</t>
  </si>
  <si>
    <t>LN</t>
  </si>
  <si>
    <t>T8</t>
  </si>
  <si>
    <t>LP</t>
  </si>
  <si>
    <t>U1</t>
  </si>
  <si>
    <t>TI_BQ25101</t>
  </si>
  <si>
    <t>Texas_DSBGA-6_2x3_0.9x1.4mm(2)</t>
  </si>
  <si>
    <t>BQ25101YFPR</t>
  </si>
  <si>
    <t>U2</t>
  </si>
  <si>
    <t>BES2300Z</t>
  </si>
  <si>
    <t>BES(2) BGA-80_6.2x4.5x1.3</t>
  </si>
  <si>
    <t>BES2300Z (Type E)</t>
  </si>
  <si>
    <t>U3</t>
  </si>
  <si>
    <t>TB6018D</t>
  </si>
  <si>
    <t>DFN-6-1EP_2x2mm_Pitch0.65mm</t>
  </si>
  <si>
    <t>Y1</t>
  </si>
  <si>
    <t>Y2016 26Mhz</t>
  </si>
  <si>
    <t>FA-128 26.0000MF10Z-AC3</t>
  </si>
  <si>
    <t>Total Purchase:</t>
  </si>
  <si>
    <t>Purchase description:</t>
  </si>
  <si>
    <t>Used currency rates:</t>
  </si>
  <si>
    <t>USD($)/GBP(£):</t>
  </si>
  <si>
    <t>Prj:</t>
  </si>
  <si>
    <t>MD201</t>
  </si>
  <si>
    <t>Co.:</t>
  </si>
  <si>
    <t>Prj date:</t>
  </si>
  <si>
    <t>2020/4/27 下午 01:54:45</t>
  </si>
  <si>
    <t>Board Qty:</t>
  </si>
  <si>
    <t>Total Cost:</t>
  </si>
  <si>
    <t>Unit Cost:</t>
  </si>
  <si>
    <t>$ date:</t>
  </si>
  <si>
    <t>2020-04-27 13:56:01</t>
  </si>
  <si>
    <t>Arrow</t>
  </si>
  <si>
    <t>Avail</t>
  </si>
  <si>
    <t>Purch</t>
  </si>
  <si>
    <t>Cat#</t>
  </si>
  <si>
    <t>Digi-Key</t>
  </si>
  <si>
    <t>399-13069-1-ND</t>
  </si>
  <si>
    <t>1253-CM05X5R475M10AHCT-ND</t>
  </si>
  <si>
    <t>NonStk</t>
  </si>
  <si>
    <t>478-10052-1-ND</t>
  </si>
  <si>
    <t>399-7743-1-ND</t>
  </si>
  <si>
    <t>587-5356-1-ND</t>
  </si>
  <si>
    <t>490-3194-1-ND</t>
  </si>
  <si>
    <t>490-GRM033R60J105ME11JTR-ND</t>
  </si>
  <si>
    <t>478-7096-1-ND</t>
  </si>
  <si>
    <t>490-5403-1-ND</t>
  </si>
  <si>
    <t>587-3867-1-ND</t>
  </si>
  <si>
    <t>445-15690-1-ND</t>
  </si>
  <si>
    <t>RMCF0201FT10K0CT-ND</t>
  </si>
  <si>
    <t>YAG2333CT-ND</t>
  </si>
  <si>
    <t>490-18080-1-ND</t>
  </si>
  <si>
    <t>541-1.00KABCT-ND</t>
  </si>
  <si>
    <t>10-ERJ-U010R00CTR-ND</t>
  </si>
  <si>
    <t>311-47KNCT-ND</t>
  </si>
  <si>
    <t>296-39933-1-ND</t>
  </si>
  <si>
    <t>SER3679CT-ND</t>
  </si>
  <si>
    <t>Farnell</t>
  </si>
  <si>
    <t>2507061</t>
  </si>
  <si>
    <t>3340826</t>
  </si>
  <si>
    <t>1907036</t>
  </si>
  <si>
    <t>1776000</t>
  </si>
  <si>
    <t>2999190</t>
  </si>
  <si>
    <t>2871604</t>
  </si>
  <si>
    <t>2140065</t>
  </si>
  <si>
    <t>3313382</t>
  </si>
  <si>
    <t>1458888</t>
  </si>
  <si>
    <t>LCSC</t>
  </si>
  <si>
    <t>C76941</t>
  </si>
  <si>
    <t>C478468</t>
  </si>
  <si>
    <t>Mouser</t>
  </si>
  <si>
    <t>80C0402C106M9P</t>
  </si>
  <si>
    <t>5810402ZD106MAT2A</t>
  </si>
  <si>
    <t>80C0201C104K9P</t>
  </si>
  <si>
    <t>963UMK063CG6R8DTHF</t>
  </si>
  <si>
    <t>81GRM033R71A103KA1D</t>
  </si>
  <si>
    <t>81GRM033R60J105ME1J</t>
  </si>
  <si>
    <t>81GRM033R60J103KA1D</t>
  </si>
  <si>
    <t>963BK1005HM750TV</t>
  </si>
  <si>
    <t>810MLF1005G2R2KT000</t>
  </si>
  <si>
    <t>603RC0201FR071K3L</t>
  </si>
  <si>
    <t>603RE0201BRE071ML</t>
  </si>
  <si>
    <t>81NFZ03SG331SN10D</t>
  </si>
  <si>
    <t>71CRCW02011K00FNED</t>
  </si>
  <si>
    <t>667ERJU010R00C</t>
  </si>
  <si>
    <t>603RC0201JR0747KL</t>
  </si>
  <si>
    <t>595BQ25101YFPR</t>
  </si>
  <si>
    <t>732FA12826F10ZAC3</t>
  </si>
  <si>
    <t>Newark</t>
  </si>
  <si>
    <t>75Y0593</t>
  </si>
  <si>
    <t>50AH3274</t>
  </si>
  <si>
    <t>50AC8400</t>
  </si>
  <si>
    <t>51R6562</t>
  </si>
  <si>
    <t>65AH6948</t>
  </si>
  <si>
    <t>32AC2438</t>
  </si>
  <si>
    <t>66R0616</t>
  </si>
  <si>
    <t>57AC7141</t>
  </si>
  <si>
    <t>89M6577</t>
  </si>
  <si>
    <t>44X7874</t>
  </si>
  <si>
    <t>67R9875</t>
  </si>
  <si>
    <t>RS Components</t>
  </si>
  <si>
    <t>1213870</t>
  </si>
  <si>
    <t>8015110P</t>
  </si>
  <si>
    <t>7235143</t>
  </si>
  <si>
    <t>8200646</t>
  </si>
  <si>
    <t>TME</t>
  </si>
  <si>
    <t>C0402C106M9PAC</t>
  </si>
  <si>
    <t>C0201C104K9PAC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</si>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</sst>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sheet.octopart.com/C0402C106M9PACTU-Kemet-datasheet-61276316.pdf" TargetMode="External"/><Relationship Id="rId2" Type="http://schemas.openxmlformats.org/officeDocument/2006/relationships/hyperlink" Target="https://octopart.com/click/track?ai=8078&amp;sig=0dd378e&amp;sid=459&amp;ppid=65485665&amp;vpid=241695739&amp;ct=offers" TargetMode="External"/><Relationship Id="rId3" Type="http://schemas.openxmlformats.org/officeDocument/2006/relationships/hyperlink" Target="https://octopart.com/click/track?ai=8078&amp;sig=0da85de&amp;sid=819&amp;ppid=65485665&amp;vpid=244905700&amp;ct=offers" TargetMode="External"/><Relationship Id="rId4" Type="http://schemas.openxmlformats.org/officeDocument/2006/relationships/hyperlink" Target="https://octopart.com/click/track?ai=8078&amp;sig=0e96bd4&amp;sid=2401&amp;ppid=65485665&amp;vpid=242223150&amp;ct=offers" TargetMode="External"/><Relationship Id="rId5" Type="http://schemas.openxmlformats.org/officeDocument/2006/relationships/hyperlink" Target="https://octopart.com/click/track?ai=8078&amp;sig=0f6acfd&amp;sid=2402&amp;ppid=65485665&amp;vpid=247913069&amp;ct=offers" TargetMode="External"/><Relationship Id="rId6" Type="http://schemas.openxmlformats.org/officeDocument/2006/relationships/hyperlink" Target="https://octopart.com/click/track?ai=8078&amp;sig=0631340&amp;sid=10022&amp;ppid=65485665&amp;vpid=271389194&amp;ct=offers" TargetMode="External"/><Relationship Id="rId7" Type="http://schemas.openxmlformats.org/officeDocument/2006/relationships/hyperlink" Target="https://octopart.com/click/track?ai=8078&amp;sig=0a8330c&amp;sid=1532&amp;ppid=65485665&amp;vpid=449010382&amp;ct=offers" TargetMode="External"/><Relationship Id="rId8" Type="http://schemas.openxmlformats.org/officeDocument/2006/relationships/hyperlink" Target="http://datasheet.octopart.com/CM05X5R475M10AH-Kyocera-datasheet-137044750.pdf" TargetMode="External"/><Relationship Id="rId9" Type="http://schemas.openxmlformats.org/officeDocument/2006/relationships/hyperlink" Target="https://octopart.com/click/track?c=1&amp;ai=8078&amp;sig=06e2f18&amp;sid=459&amp;ppid=105938542&amp;vpid=603739842&amp;ct=offers" TargetMode="External"/><Relationship Id="rId10" Type="http://schemas.openxmlformats.org/officeDocument/2006/relationships/hyperlink" Target="http://datasheet.octopart.com/0402ZD106MAT2A-AVX-datasheet-13516023.pdf" TargetMode="External"/><Relationship Id="rId11" Type="http://schemas.openxmlformats.org/officeDocument/2006/relationships/hyperlink" Target="https://octopart.com/click/track?ai=8078&amp;sig=09519b0&amp;sid=459&amp;ppid=75287946&amp;vpid=278065890&amp;ct=offers" TargetMode="External"/><Relationship Id="rId12" Type="http://schemas.openxmlformats.org/officeDocument/2006/relationships/hyperlink" Target="https://octopart.com/click/track?ai=8078&amp;sig=0d10419&amp;sid=11744&amp;ppid=75287946&amp;vpid=611022736&amp;ct=offers" TargetMode="External"/><Relationship Id="rId13" Type="http://schemas.openxmlformats.org/officeDocument/2006/relationships/hyperlink" Target="https://octopart.com/click/track?ai=8078&amp;sig=0b13da3&amp;sid=2401&amp;ppid=75287946&amp;vpid=269003570&amp;ct=offers" TargetMode="External"/><Relationship Id="rId14" Type="http://schemas.openxmlformats.org/officeDocument/2006/relationships/hyperlink" Target="https://octopart.com/click/track?ai=8078&amp;sig=0bd040e&amp;sid=2402&amp;ppid=75287946&amp;vpid=598283101&amp;ct=offers" TargetMode="External"/><Relationship Id="rId15" Type="http://schemas.openxmlformats.org/officeDocument/2006/relationships/hyperlink" Target="http://datasheet.octopart.com/C0201C104K9PACTU-Kemet-datasheet-22084244.pdf" TargetMode="External"/><Relationship Id="rId16" Type="http://schemas.openxmlformats.org/officeDocument/2006/relationships/hyperlink" Target="https://octopart.com/click/track?ai=8078&amp;sig=0ba498f&amp;sid=459&amp;ppid=11104907&amp;vpid=51925782&amp;ct=offers" TargetMode="External"/><Relationship Id="rId17" Type="http://schemas.openxmlformats.org/officeDocument/2006/relationships/hyperlink" Target="https://octopart.com/click/track?ai=8078&amp;sig=0f9f347&amp;sid=819&amp;ppid=11104907&amp;vpid=138965915&amp;ct=offers" TargetMode="External"/><Relationship Id="rId18" Type="http://schemas.openxmlformats.org/officeDocument/2006/relationships/hyperlink" Target="https://octopart.com/click/track?ai=8078&amp;sig=04ad2b9&amp;sid=2401&amp;ppid=11104907&amp;vpid=44736893&amp;ct=offers" TargetMode="External"/><Relationship Id="rId19" Type="http://schemas.openxmlformats.org/officeDocument/2006/relationships/hyperlink" Target="https://octopart.com/click/track?ai=8078&amp;sig=0f11235&amp;sid=2402&amp;ppid=11104907&amp;vpid=477457544&amp;ct=offers" TargetMode="External"/><Relationship Id="rId20" Type="http://schemas.openxmlformats.org/officeDocument/2006/relationships/hyperlink" Target="https://octopart.com/click/track?ai=8078&amp;sig=02897af&amp;sid=10022&amp;ppid=11104907&amp;vpid=437488737&amp;ct=offers" TargetMode="External"/><Relationship Id="rId21" Type="http://schemas.openxmlformats.org/officeDocument/2006/relationships/hyperlink" Target="https://octopart.com/click/track?ai=8078&amp;sig=0313435&amp;sid=1532&amp;ppid=11104907&amp;vpid=318426086&amp;ct=offers" TargetMode="External"/><Relationship Id="rId22" Type="http://schemas.openxmlformats.org/officeDocument/2006/relationships/hyperlink" Target="http://datasheet.octopart.com/0402ZD106MAT2A-AVX-datasheet-13516023.pdf" TargetMode="External"/><Relationship Id="rId23" Type="http://schemas.openxmlformats.org/officeDocument/2006/relationships/hyperlink" Target="https://octopart.com/click/track?ai=8078&amp;sig=09519b0&amp;sid=459&amp;ppid=75287946&amp;vpid=278065890&amp;ct=offers" TargetMode="External"/><Relationship Id="rId24" Type="http://schemas.openxmlformats.org/officeDocument/2006/relationships/hyperlink" Target="https://octopart.com/click/track?ai=8078&amp;sig=0d10419&amp;sid=11744&amp;ppid=75287946&amp;vpid=611022736&amp;ct=offers" TargetMode="External"/><Relationship Id="rId25" Type="http://schemas.openxmlformats.org/officeDocument/2006/relationships/hyperlink" Target="https://octopart.com/click/track?ai=8078&amp;sig=0b13da3&amp;sid=2401&amp;ppid=75287946&amp;vpid=269003570&amp;ct=offers" TargetMode="External"/><Relationship Id="rId26" Type="http://schemas.openxmlformats.org/officeDocument/2006/relationships/hyperlink" Target="https://octopart.com/click/track?ai=8078&amp;sig=0bd040e&amp;sid=2402&amp;ppid=75287946&amp;vpid=598283101&amp;ct=offers" TargetMode="External"/><Relationship Id="rId27" Type="http://schemas.openxmlformats.org/officeDocument/2006/relationships/hyperlink" Target="https://octopart.com/click/track?c=1&amp;ai=8078&amp;sig=08e3d00&amp;sid=459&amp;ppid=81252478&amp;vpid=420859480&amp;ct=offers" TargetMode="External"/><Relationship Id="rId28" Type="http://schemas.openxmlformats.org/officeDocument/2006/relationships/hyperlink" Target="https://octopart.com/click/track?ai=8078&amp;sig=0d99170&amp;sid=2401&amp;ppid=81252478&amp;vpid=419152510&amp;ct=offers" TargetMode="External"/><Relationship Id="rId29" Type="http://schemas.openxmlformats.org/officeDocument/2006/relationships/hyperlink" Target="http://datasheet.octopart.com/GRM033R71A103KA01D-Murata-datasheet-138738542.pdf" TargetMode="External"/><Relationship Id="rId30" Type="http://schemas.openxmlformats.org/officeDocument/2006/relationships/hyperlink" Target="https://octopart.com/click/track?ai=8078&amp;sig=0a33777&amp;sid=459&amp;ppid=196814&amp;vpid=1958665&amp;ct=offers" TargetMode="External"/><Relationship Id="rId31" Type="http://schemas.openxmlformats.org/officeDocument/2006/relationships/hyperlink" Target="https://octopart.com/click/track?ai=8078&amp;sig=0abf6df&amp;sid=819&amp;ppid=196814&amp;vpid=139136036&amp;ct=offers" TargetMode="External"/><Relationship Id="rId32" Type="http://schemas.openxmlformats.org/officeDocument/2006/relationships/hyperlink" Target="https://octopart.com/click/track?ai=8078&amp;sig=0ac4d0b&amp;sid=27971&amp;ppid=196814&amp;vpid=445986859&amp;ct=offers" TargetMode="External"/><Relationship Id="rId33" Type="http://schemas.openxmlformats.org/officeDocument/2006/relationships/hyperlink" Target="https://octopart.com/click/track?ai=8078&amp;sig=045be76&amp;sid=2401&amp;ppid=196814&amp;vpid=37684068&amp;ct=offers" TargetMode="External"/><Relationship Id="rId34" Type="http://schemas.openxmlformats.org/officeDocument/2006/relationships/hyperlink" Target="https://octopart.com/click/track?ai=8078&amp;sig=05c148b&amp;sid=2402&amp;ppid=196814&amp;vpid=20869756&amp;ct=offers" TargetMode="External"/><Relationship Id="rId35" Type="http://schemas.openxmlformats.org/officeDocument/2006/relationships/hyperlink" Target="https://octopart.com/click/track?ai=8078&amp;sig=009c3c9&amp;sid=10022&amp;ppid=196814&amp;vpid=199071735&amp;ct=offers" TargetMode="External"/><Relationship Id="rId36" Type="http://schemas.openxmlformats.org/officeDocument/2006/relationships/hyperlink" Target="https://octopart.com/click/track?ai=8078&amp;sig=0314937&amp;sid=1532&amp;ppid=196814&amp;vpid=419121228&amp;ct=offers" TargetMode="External"/><Relationship Id="rId37" Type="http://schemas.openxmlformats.org/officeDocument/2006/relationships/hyperlink" Target="http://datasheet.octopart.com/GRM033R60J105ME11J-Murata-datasheet-138738337.pdf" TargetMode="External"/><Relationship Id="rId38" Type="http://schemas.openxmlformats.org/officeDocument/2006/relationships/hyperlink" Target="https://octopart.com/click/track?c=1&amp;ai=8078&amp;sig=068dcd1&amp;sid=459&amp;ppid=88442110&amp;vpid=594833491&amp;ct=offers" TargetMode="External"/><Relationship Id="rId39" Type="http://schemas.openxmlformats.org/officeDocument/2006/relationships/hyperlink" Target="https://octopart.com/click/track?ai=8078&amp;sig=0ac166b&amp;sid=2401&amp;ppid=88442110&amp;vpid=458395746&amp;ct=offers" TargetMode="External"/><Relationship Id="rId40" Type="http://schemas.openxmlformats.org/officeDocument/2006/relationships/hyperlink" Target="https://octopart.com/click/track?c=1&amp;ai=8078&amp;sig=068a65e&amp;sid=459&amp;ppid=24157826&amp;vpid=52854932&amp;ct=offers" TargetMode="External"/><Relationship Id="rId41" Type="http://schemas.openxmlformats.org/officeDocument/2006/relationships/hyperlink" Target="http://datasheet.octopart.com/GRM033R60J103KA01D-Murata-datasheet-138738331.pdf" TargetMode="External"/><Relationship Id="rId42" Type="http://schemas.openxmlformats.org/officeDocument/2006/relationships/hyperlink" Target="https://octopart.com/click/track?ai=8078&amp;sig=0eb3513&amp;sid=459&amp;ppid=17705771&amp;vpid=34233074&amp;ct=offers" TargetMode="External"/><Relationship Id="rId43" Type="http://schemas.openxmlformats.org/officeDocument/2006/relationships/hyperlink" Target="https://octopart.com/click/track?c=1&amp;ai=8078&amp;sig=0c96cd0&amp;sid=11744&amp;ppid=17705771&amp;vpid=613602115&amp;ct=offers" TargetMode="External"/><Relationship Id="rId44" Type="http://schemas.openxmlformats.org/officeDocument/2006/relationships/hyperlink" Target="https://octopart.com/click/track?ai=8078&amp;sig=049a764&amp;sid=2401&amp;ppid=17705771&amp;vpid=37711093&amp;ct=offers" TargetMode="External"/><Relationship Id="rId45" Type="http://schemas.openxmlformats.org/officeDocument/2006/relationships/hyperlink" Target="https://octopart.com/click/track?c=1&amp;ai=8078&amp;sig=0c468b3&amp;sid=2402&amp;ppid=17705771&amp;vpid=614276540&amp;ct=offers" TargetMode="External"/><Relationship Id="rId46" Type="http://schemas.openxmlformats.org/officeDocument/2006/relationships/hyperlink" Target="https://octopart.com/click/track?ai=8078&amp;sig=06ebc2a&amp;sid=10022&amp;ppid=17705771&amp;vpid=199071726&amp;ct=offers" TargetMode="External"/><Relationship Id="rId47" Type="http://schemas.openxmlformats.org/officeDocument/2006/relationships/hyperlink" Target="http://datasheet.octopart.com/GRM033R60J103KA01D-Murata-datasheet-138738331.pdf" TargetMode="External"/><Relationship Id="rId48" Type="http://schemas.openxmlformats.org/officeDocument/2006/relationships/hyperlink" Target="https://octopart.com/click/track?ai=8078&amp;sig=0eb3513&amp;sid=459&amp;ppid=17705771&amp;vpid=34233074&amp;ct=offers" TargetMode="External"/><Relationship Id="rId49" Type="http://schemas.openxmlformats.org/officeDocument/2006/relationships/hyperlink" Target="https://octopart.com/click/track?c=1&amp;ai=8078&amp;sig=0c96cd0&amp;sid=11744&amp;ppid=17705771&amp;vpid=613602115&amp;ct=offers" TargetMode="External"/><Relationship Id="rId50" Type="http://schemas.openxmlformats.org/officeDocument/2006/relationships/hyperlink" Target="https://octopart.com/click/track?ai=8078&amp;sig=049a764&amp;sid=2401&amp;ppid=17705771&amp;vpid=37711093&amp;ct=offers" TargetMode="External"/><Relationship Id="rId51" Type="http://schemas.openxmlformats.org/officeDocument/2006/relationships/hyperlink" Target="https://octopart.com/click/track?c=1&amp;ai=8078&amp;sig=0c468b3&amp;sid=2402&amp;ppid=17705771&amp;vpid=614276540&amp;ct=offers" TargetMode="External"/><Relationship Id="rId52" Type="http://schemas.openxmlformats.org/officeDocument/2006/relationships/hyperlink" Target="https://octopart.com/click/track?ai=8078&amp;sig=06ebc2a&amp;sid=10022&amp;ppid=17705771&amp;vpid=199071726&amp;ct=offers" TargetMode="External"/><Relationship Id="rId53" Type="http://schemas.openxmlformats.org/officeDocument/2006/relationships/hyperlink" Target="http://datasheet.octopart.com/18-225-B6R6C-C01-3T-Everlight-datasheet-104314451.pdf" TargetMode="External"/><Relationship Id="rId54" Type="http://schemas.openxmlformats.org/officeDocument/2006/relationships/hyperlink" Target="https://octopart.com/click/track?ai=8078&amp;sig=018c962&amp;sid=459&amp;ppid=46993909&amp;vpid=120615122&amp;ct=offers" TargetMode="External"/><Relationship Id="rId55" Type="http://schemas.openxmlformats.org/officeDocument/2006/relationships/hyperlink" Target="https://octopart.com/click/track?ai=8078&amp;sig=0902d4d&amp;sid=2401&amp;ppid=46993909&amp;vpid=165572263&amp;ct=offers" TargetMode="External"/><Relationship Id="rId56" Type="http://schemas.openxmlformats.org/officeDocument/2006/relationships/hyperlink" Target="https://octopart.com/click/track?ai=8078&amp;sig=0c3e3fb&amp;sid=459&amp;ppid=34828895&amp;vpid=104704857&amp;ct=offers" TargetMode="External"/><Relationship Id="rId57" Type="http://schemas.openxmlformats.org/officeDocument/2006/relationships/hyperlink" Target="https://octopart.com/click/track?ai=8078&amp;sig=0ef8ed4&amp;sid=2401&amp;ppid=34828895&amp;vpid=213292744&amp;ct=offers" TargetMode="External"/><Relationship Id="rId58" Type="http://schemas.openxmlformats.org/officeDocument/2006/relationships/hyperlink" Target="http://datasheet.octopart.com/RMCF0201FT10K0-Stackpole-Electronics-datasheet-10788263.pdf" TargetMode="External"/><Relationship Id="rId59" Type="http://schemas.openxmlformats.org/officeDocument/2006/relationships/hyperlink" Target="https://octopart.com/click/track?ai=8078&amp;sig=04fe709&amp;sid=459&amp;ppid=19212177&amp;vpid=71837687&amp;ct=offers" TargetMode="External"/><Relationship Id="rId60" Type="http://schemas.openxmlformats.org/officeDocument/2006/relationships/hyperlink" Target="https://octopart.com/click/track?c=1&amp;ai=8078&amp;sig=0909d20&amp;sid=2402&amp;ppid=19212177&amp;vpid=508766593&amp;ct=offers" TargetMode="External"/><Relationship Id="rId61" Type="http://schemas.openxmlformats.org/officeDocument/2006/relationships/hyperlink" Target="http://datasheet.octopart.com/RC0201FR-071K3L-Yageo-datasheet-73766026.pdf" TargetMode="External"/><Relationship Id="rId62" Type="http://schemas.openxmlformats.org/officeDocument/2006/relationships/hyperlink" Target="https://octopart.com/click/track?ai=8078&amp;sig=07148c3&amp;sid=459&amp;ppid=20648321&amp;vpid=211680908&amp;ct=offers" TargetMode="External"/><Relationship Id="rId63" Type="http://schemas.openxmlformats.org/officeDocument/2006/relationships/hyperlink" Target="https://octopart.com/click/track?ai=8078&amp;sig=0e8f68f&amp;sid=2401&amp;ppid=20648321&amp;vpid=269060181&amp;ct=offers" TargetMode="External"/><Relationship Id="rId64" Type="http://schemas.openxmlformats.org/officeDocument/2006/relationships/hyperlink" Target="https://octopart.com/click/track?c=1&amp;ai=8078&amp;sig=07b476c&amp;sid=2402&amp;ppid=20648321&amp;vpid=538269879&amp;ct=offers" TargetMode="External"/><Relationship Id="rId65" Type="http://schemas.openxmlformats.org/officeDocument/2006/relationships/hyperlink" Target="http://datasheet.octopart.com/RE0201BRE071ML-Yageo-datasheet-86798388.pdf" TargetMode="External"/><Relationship Id="rId66" Type="http://schemas.openxmlformats.org/officeDocument/2006/relationships/hyperlink" Target="https://octopart.com/click/track?ai=8078&amp;sig=03ec6e9&amp;sid=2401&amp;ppid=88184115&amp;vpid=456373092&amp;ct=offers" TargetMode="External"/><Relationship Id="rId67" Type="http://schemas.openxmlformats.org/officeDocument/2006/relationships/hyperlink" Target="http://datasheet.octopart.com/NFZ03SG331SN10D-Murata-datasheet-138710441.pdf" TargetMode="External"/><Relationship Id="rId68" Type="http://schemas.openxmlformats.org/officeDocument/2006/relationships/hyperlink" Target="https://octopart.com/click/track?ai=8078&amp;sig=072f071&amp;sid=459&amp;ppid=91401024&amp;vpid=494496929&amp;ct=offers" TargetMode="External"/><Relationship Id="rId69" Type="http://schemas.openxmlformats.org/officeDocument/2006/relationships/hyperlink" Target="https://octopart.com/click/track?c=1&amp;ai=8078&amp;sig=0419e9a&amp;sid=11744&amp;ppid=91401024&amp;vpid=490010522&amp;ct=offers" TargetMode="External"/><Relationship Id="rId70" Type="http://schemas.openxmlformats.org/officeDocument/2006/relationships/hyperlink" Target="https://octopart.com/click/track?ai=8078&amp;sig=02ad8d8&amp;sid=2401&amp;ppid=91401024&amp;vpid=477100857&amp;ct=offers" TargetMode="External"/><Relationship Id="rId71" Type="http://schemas.openxmlformats.org/officeDocument/2006/relationships/hyperlink" Target="https://octopart.com/click/track?c=1&amp;ai=8078&amp;sig=0059fa3&amp;sid=2402&amp;ppid=91401024&amp;vpid=489660752&amp;ct=offers" TargetMode="External"/><Relationship Id="rId72" Type="http://schemas.openxmlformats.org/officeDocument/2006/relationships/hyperlink" Target="http://datasheet.octopart.com/RMCF0201FT10K0-Stackpole-Electronics-datasheet-10788263.pdf" TargetMode="External"/><Relationship Id="rId73" Type="http://schemas.openxmlformats.org/officeDocument/2006/relationships/hyperlink" Target="https://octopart.com/click/track?ai=8078&amp;sig=04fe709&amp;sid=459&amp;ppid=19212177&amp;vpid=71837687&amp;ct=offers" TargetMode="External"/><Relationship Id="rId74" Type="http://schemas.openxmlformats.org/officeDocument/2006/relationships/hyperlink" Target="https://octopart.com/click/track?c=1&amp;ai=8078&amp;sig=0909d20&amp;sid=2402&amp;ppid=19212177&amp;vpid=508766593&amp;ct=offers" TargetMode="External"/><Relationship Id="rId75" Type="http://schemas.openxmlformats.org/officeDocument/2006/relationships/hyperlink" Target="http://datasheet.octopart.com/CRCW02011K00FNED-Vishay-datasheet-12509741.pdf" TargetMode="External"/><Relationship Id="rId76" Type="http://schemas.openxmlformats.org/officeDocument/2006/relationships/hyperlink" Target="https://octopart.com/click/track?ai=8078&amp;sig=08543cd&amp;sid=459&amp;ppid=39803573&amp;vpid=115676802&amp;ct=offers" TargetMode="External"/><Relationship Id="rId77" Type="http://schemas.openxmlformats.org/officeDocument/2006/relationships/hyperlink" Target="https://octopart.com/click/track?ai=8078&amp;sig=0ba6081&amp;sid=11744&amp;ppid=39803573&amp;vpid=250204528&amp;ct=offers" TargetMode="External"/><Relationship Id="rId78" Type="http://schemas.openxmlformats.org/officeDocument/2006/relationships/hyperlink" Target="https://octopart.com/click/track?ai=8078&amp;sig=000b814&amp;sid=2401&amp;ppid=39803573&amp;vpid=116319440&amp;ct=offers" TargetMode="External"/><Relationship Id="rId79" Type="http://schemas.openxmlformats.org/officeDocument/2006/relationships/hyperlink" Target="https://octopart.com/click/track?ai=8078&amp;sig=024bdf0&amp;sid=2402&amp;ppid=39803573&amp;vpid=115414104&amp;ct=offers" TargetMode="External"/><Relationship Id="rId80" Type="http://schemas.openxmlformats.org/officeDocument/2006/relationships/hyperlink" Target="http://datasheet.octopart.com/ERJ-U010R00C-Panasonic-datasheet-21631811.pdf" TargetMode="External"/><Relationship Id="rId81" Type="http://schemas.openxmlformats.org/officeDocument/2006/relationships/hyperlink" Target="https://octopart.com/click/track?c=1&amp;ai=8078&amp;sig=0c88e49&amp;sid=459&amp;ppid=22290968&amp;vpid=611034752&amp;ct=offers" TargetMode="External"/><Relationship Id="rId82" Type="http://schemas.openxmlformats.org/officeDocument/2006/relationships/hyperlink" Target="https://octopart.com/click/track?c=1&amp;ai=8078&amp;sig=0aa6f27&amp;sid=819&amp;ppid=22290968&amp;vpid=603710653&amp;ct=offers" TargetMode="External"/><Relationship Id="rId83" Type="http://schemas.openxmlformats.org/officeDocument/2006/relationships/hyperlink" Target="https://octopart.com/click/track?ai=8078&amp;sig=0e7f313&amp;sid=2401&amp;ppid=22290968&amp;vpid=120448282&amp;ct=offers" TargetMode="External"/><Relationship Id="rId84" Type="http://schemas.openxmlformats.org/officeDocument/2006/relationships/hyperlink" Target="https://octopart.com/click/track?c=1&amp;ai=8078&amp;sig=0981148&amp;sid=2402&amp;ppid=22290968&amp;vpid=120935133&amp;ct=offers" TargetMode="External"/><Relationship Id="rId85" Type="http://schemas.openxmlformats.org/officeDocument/2006/relationships/hyperlink" Target="http://datasheet.octopart.com/ERJ-U010R00C-Panasonic-datasheet-21631811.pdf" TargetMode="External"/><Relationship Id="rId86" Type="http://schemas.openxmlformats.org/officeDocument/2006/relationships/hyperlink" Target="https://octopart.com/click/track?c=1&amp;ai=8078&amp;sig=0c88e49&amp;sid=459&amp;ppid=22290968&amp;vpid=611034752&amp;ct=offers" TargetMode="External"/><Relationship Id="rId87" Type="http://schemas.openxmlformats.org/officeDocument/2006/relationships/hyperlink" Target="https://octopart.com/click/track?c=1&amp;ai=8078&amp;sig=0aa6f27&amp;sid=819&amp;ppid=22290968&amp;vpid=603710653&amp;ct=offers" TargetMode="External"/><Relationship Id="rId88" Type="http://schemas.openxmlformats.org/officeDocument/2006/relationships/hyperlink" Target="https://octopart.com/click/track?ai=8078&amp;sig=0e7f313&amp;sid=2401&amp;ppid=22290968&amp;vpid=120448282&amp;ct=offers" TargetMode="External"/><Relationship Id="rId89" Type="http://schemas.openxmlformats.org/officeDocument/2006/relationships/hyperlink" Target="https://octopart.com/click/track?c=1&amp;ai=8078&amp;sig=0981148&amp;sid=2402&amp;ppid=22290968&amp;vpid=120935133&amp;ct=offers" TargetMode="External"/><Relationship Id="rId90" Type="http://schemas.openxmlformats.org/officeDocument/2006/relationships/hyperlink" Target="http://datasheet.octopart.com/RC0201JR-0747KL-Yageo-datasheet-62067350.pdf" TargetMode="External"/><Relationship Id="rId91" Type="http://schemas.openxmlformats.org/officeDocument/2006/relationships/hyperlink" Target="https://octopart.com/click/track?ai=8078&amp;sig=0b8ef87&amp;sid=459&amp;ppid=43171987&amp;vpid=115263450&amp;ct=offers" TargetMode="External"/><Relationship Id="rId92" Type="http://schemas.openxmlformats.org/officeDocument/2006/relationships/hyperlink" Target="https://octopart.com/click/track?c=1&amp;ai=8078&amp;sig=058377e&amp;sid=819&amp;ppid=43171987&amp;vpid=540533440&amp;ct=offers" TargetMode="External"/><Relationship Id="rId93" Type="http://schemas.openxmlformats.org/officeDocument/2006/relationships/hyperlink" Target="https://octopart.com/click/track?ai=8078&amp;sig=031d9d1&amp;sid=2401&amp;ppid=43171987&amp;vpid=198950426&amp;ct=offers" TargetMode="External"/><Relationship Id="rId94" Type="http://schemas.openxmlformats.org/officeDocument/2006/relationships/hyperlink" Target="https://octopart.com/click/track?c=1&amp;ai=8078&amp;sig=02be658&amp;sid=2402&amp;ppid=43171987&amp;vpid=166706572&amp;ct=offers" TargetMode="External"/><Relationship Id="rId95" Type="http://schemas.openxmlformats.org/officeDocument/2006/relationships/hyperlink" Target="http://datasheet.octopart.com/CRCW02011K00FNED-Vishay-datasheet-12509741.pdf" TargetMode="External"/><Relationship Id="rId96" Type="http://schemas.openxmlformats.org/officeDocument/2006/relationships/hyperlink" Target="https://octopart.com/click/track?ai=8078&amp;sig=08543cd&amp;sid=459&amp;ppid=39803573&amp;vpid=115676802&amp;ct=offers" TargetMode="External"/><Relationship Id="rId97" Type="http://schemas.openxmlformats.org/officeDocument/2006/relationships/hyperlink" Target="https://octopart.com/click/track?ai=8078&amp;sig=0ba6081&amp;sid=11744&amp;ppid=39803573&amp;vpid=250204528&amp;ct=offers" TargetMode="External"/><Relationship Id="rId98" Type="http://schemas.openxmlformats.org/officeDocument/2006/relationships/hyperlink" Target="https://octopart.com/click/track?ai=8078&amp;sig=000b814&amp;sid=2401&amp;ppid=39803573&amp;vpid=116319440&amp;ct=offers" TargetMode="External"/><Relationship Id="rId99" Type="http://schemas.openxmlformats.org/officeDocument/2006/relationships/hyperlink" Target="https://octopart.com/click/track?ai=8078&amp;sig=024bdf0&amp;sid=2402&amp;ppid=39803573&amp;vpid=115414104&amp;ct=offers" TargetMode="External"/><Relationship Id="rId100" Type="http://schemas.openxmlformats.org/officeDocument/2006/relationships/hyperlink" Target="https://octopart.com/click/track?ai=8078&amp;sig=0125646&amp;sid=459&amp;ppid=50982667&amp;vpid=192868718&amp;ct=offers" TargetMode="External"/><Relationship Id="rId101" Type="http://schemas.openxmlformats.org/officeDocument/2006/relationships/hyperlink" Target="https://octopart.com/click/track?ai=8078&amp;sig=05fe0d6&amp;sid=27971&amp;ppid=50982667&amp;vpid=609065658&amp;ct=offers" TargetMode="External"/><Relationship Id="rId102" Type="http://schemas.openxmlformats.org/officeDocument/2006/relationships/hyperlink" Target="https://octopart.com/click/track?ai=8078&amp;sig=08be5d4&amp;sid=2401&amp;ppid=50982667&amp;vpid=203304953&amp;ct=offers" TargetMode="External"/><Relationship Id="rId103" Type="http://schemas.openxmlformats.org/officeDocument/2006/relationships/hyperlink" Target="http://datasheet.octopart.com/FA-128-26.0000MF10Z-AC3-Epson-datasheet-61206169.pdf" TargetMode="External"/><Relationship Id="rId104" Type="http://schemas.openxmlformats.org/officeDocument/2006/relationships/hyperlink" Target="https://octopart.com/click/track?c=1&amp;ai=8078&amp;sig=0ae2703&amp;sid=459&amp;ppid=44407709&amp;vpid=116166161&amp;ct=offers" TargetMode="External"/><Relationship Id="rId105" Type="http://schemas.openxmlformats.org/officeDocument/2006/relationships/hyperlink" Target="https://octopart.com/click/track?ai=8078&amp;sig=0db4289&amp;sid=2401&amp;ppid=44407709&amp;vpid=456130088&amp;ct=offers" TargetMode="External"/><Relationship Id="rId106" Type="http://schemas.openxmlformats.org/officeDocument/2006/relationships/vmlDrawing" Target="../drawings/vmlDrawing1.vml"/><Relationship Id="rId10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99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  <col min="43" max="43" width="9.140625" outlineLevel="1"/>
    <col min="44" max="44" width="9.140625" outlineLevel="2"/>
    <col min="45" max="45" width="9.140625" outlineLevel="2"/>
    <col min="46" max="46" width="15.7109375" customWidth="1"/>
    <col min="47" max="47" width="15.7109375" customWidth="1" outlineLevel="2"/>
  </cols>
  <sheetData>
    <row r="1" spans="1:47">
      <c r="A1" s="1" t="s">
        <v>135</v>
      </c>
      <c r="B1" s="2" t="s">
        <v>136</v>
      </c>
      <c r="F1" s="3" t="s">
        <v>140</v>
      </c>
      <c r="G1" s="3">
        <v>100</v>
      </c>
    </row>
    <row r="2" spans="1:47">
      <c r="A2" s="1" t="s">
        <v>137</v>
      </c>
      <c r="B2" s="2"/>
      <c r="F2" s="1" t="s">
        <v>142</v>
      </c>
      <c r="G2" s="4">
        <f>TotalCost/BoardQty</f>
        <v>0</v>
      </c>
    </row>
    <row r="3" spans="1:47">
      <c r="A3" s="1" t="s">
        <v>138</v>
      </c>
      <c r="B3" s="2" t="s">
        <v>139</v>
      </c>
      <c r="F3" s="1" t="s">
        <v>141</v>
      </c>
      <c r="G3" s="5">
        <f>SUM(G7:G51)</f>
        <v>0</v>
      </c>
      <c r="K3" s="5">
        <f>SUM(K7:K51)</f>
        <v>0</v>
      </c>
      <c r="L3" s="6">
        <f>(COUNTA(K7:K51)&amp;" of "&amp;ROWS(K7:K51)&amp;" parts found"</f>
        <v>0</v>
      </c>
      <c r="P3" s="5">
        <f>SUM(P7:P51)</f>
        <v>0</v>
      </c>
      <c r="Q3" s="6">
        <f>(COUNTA(P7:P51)&amp;" of "&amp;ROWS(P7:P51)&amp;" parts found"</f>
        <v>0</v>
      </c>
      <c r="U3" s="5">
        <f>SUM(U7:U51)</f>
        <v>0</v>
      </c>
      <c r="V3" s="6">
        <f>(COUNTA(U7:U51)&amp;" of "&amp;ROWS(U7:U51)&amp;" parts found"</f>
        <v>0</v>
      </c>
      <c r="Z3" s="5">
        <f>SUM(Z7:Z51)</f>
        <v>0</v>
      </c>
      <c r="AA3" s="6">
        <f>(COUNTA(Z7:Z51)&amp;" of "&amp;ROWS(Z7:Z51)&amp;" parts found"</f>
        <v>0</v>
      </c>
      <c r="AE3" s="5">
        <f>SUM(AE7:AE51)</f>
        <v>0</v>
      </c>
      <c r="AF3" s="6">
        <f>(COUNTA(AE7:AE51)&amp;" of "&amp;ROWS(AE7:AE51)&amp;" parts found"</f>
        <v>0</v>
      </c>
      <c r="AJ3" s="5">
        <f>SUM(AJ7:AJ51)</f>
        <v>0</v>
      </c>
      <c r="AK3" s="6">
        <f>(COUNTA(AJ7:AJ51)&amp;" of "&amp;ROWS(AJ7:AJ51)&amp;" parts found"</f>
        <v>0</v>
      </c>
      <c r="AO3" s="5">
        <f>SUM(AO7:AO51)</f>
        <v>0</v>
      </c>
      <c r="AP3" s="6">
        <f>(COUNTA(AO7:AO51)&amp;" of "&amp;ROWS(AO7:AO51)&amp;" parts found"</f>
        <v>0</v>
      </c>
      <c r="AT3" s="5">
        <f>SUM(AT7:AT51)</f>
        <v>0</v>
      </c>
      <c r="AU3" s="6">
        <f>(COUNTA(AT7:AT51)&amp;" of "&amp;ROWS(AT7:AT51)&amp;" parts found"</f>
        <v>0</v>
      </c>
    </row>
    <row r="4" spans="1:47">
      <c r="A4" s="1" t="s">
        <v>143</v>
      </c>
      <c r="B4" s="2" t="s">
        <v>144</v>
      </c>
    </row>
    <row r="5" spans="1:47">
      <c r="A5" s="7" t="s">
        <v>0</v>
      </c>
      <c r="B5" s="7"/>
      <c r="C5" s="7"/>
      <c r="D5" s="7"/>
      <c r="E5" s="7"/>
      <c r="F5" s="7"/>
      <c r="G5" s="7"/>
      <c r="H5" s="8" t="s">
        <v>145</v>
      </c>
      <c r="I5" s="8"/>
      <c r="J5" s="8"/>
      <c r="K5" s="8"/>
      <c r="L5" s="8"/>
      <c r="M5" s="9" t="s">
        <v>149</v>
      </c>
      <c r="N5" s="9"/>
      <c r="O5" s="9"/>
      <c r="P5" s="9"/>
      <c r="Q5" s="9"/>
      <c r="R5" s="10" t="s">
        <v>170</v>
      </c>
      <c r="S5" s="10"/>
      <c r="T5" s="10"/>
      <c r="U5" s="10"/>
      <c r="V5" s="10"/>
      <c r="W5" s="11" t="s">
        <v>180</v>
      </c>
      <c r="X5" s="11"/>
      <c r="Y5" s="11"/>
      <c r="Z5" s="11"/>
      <c r="AA5" s="11"/>
      <c r="AB5" s="12" t="s">
        <v>183</v>
      </c>
      <c r="AC5" s="12"/>
      <c r="AD5" s="12"/>
      <c r="AE5" s="12"/>
      <c r="AF5" s="12"/>
      <c r="AG5" s="13" t="s">
        <v>201</v>
      </c>
      <c r="AH5" s="13"/>
      <c r="AI5" s="13"/>
      <c r="AJ5" s="13"/>
      <c r="AK5" s="13"/>
      <c r="AL5" s="14" t="s">
        <v>213</v>
      </c>
      <c r="AM5" s="14"/>
      <c r="AN5" s="14"/>
      <c r="AO5" s="14"/>
      <c r="AP5" s="14"/>
      <c r="AQ5" s="15" t="s">
        <v>218</v>
      </c>
      <c r="AR5" s="15"/>
      <c r="AS5" s="15"/>
      <c r="AT5" s="15"/>
      <c r="AU5" s="15"/>
    </row>
    <row r="6" spans="1:47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146</v>
      </c>
      <c r="I6" s="16" t="s">
        <v>147</v>
      </c>
      <c r="J6" s="16" t="s">
        <v>6</v>
      </c>
      <c r="K6" s="16" t="s">
        <v>7</v>
      </c>
      <c r="L6" s="16" t="s">
        <v>148</v>
      </c>
      <c r="M6" s="16" t="s">
        <v>146</v>
      </c>
      <c r="N6" s="16" t="s">
        <v>147</v>
      </c>
      <c r="O6" s="16" t="s">
        <v>6</v>
      </c>
      <c r="P6" s="16" t="s">
        <v>7</v>
      </c>
      <c r="Q6" s="16" t="s">
        <v>148</v>
      </c>
      <c r="R6" s="16" t="s">
        <v>146</v>
      </c>
      <c r="S6" s="16" t="s">
        <v>147</v>
      </c>
      <c r="T6" s="16" t="s">
        <v>6</v>
      </c>
      <c r="U6" s="16" t="s">
        <v>7</v>
      </c>
      <c r="V6" s="16" t="s">
        <v>148</v>
      </c>
      <c r="W6" s="16" t="s">
        <v>146</v>
      </c>
      <c r="X6" s="16" t="s">
        <v>147</v>
      </c>
      <c r="Y6" s="16" t="s">
        <v>6</v>
      </c>
      <c r="Z6" s="16" t="s">
        <v>7</v>
      </c>
      <c r="AA6" s="16" t="s">
        <v>148</v>
      </c>
      <c r="AB6" s="16" t="s">
        <v>146</v>
      </c>
      <c r="AC6" s="16" t="s">
        <v>147</v>
      </c>
      <c r="AD6" s="16" t="s">
        <v>6</v>
      </c>
      <c r="AE6" s="16" t="s">
        <v>7</v>
      </c>
      <c r="AF6" s="16" t="s">
        <v>148</v>
      </c>
      <c r="AG6" s="16" t="s">
        <v>146</v>
      </c>
      <c r="AH6" s="16" t="s">
        <v>147</v>
      </c>
      <c r="AI6" s="16" t="s">
        <v>6</v>
      </c>
      <c r="AJ6" s="16" t="s">
        <v>7</v>
      </c>
      <c r="AK6" s="16" t="s">
        <v>148</v>
      </c>
      <c r="AL6" s="16" t="s">
        <v>146</v>
      </c>
      <c r="AM6" s="16" t="s">
        <v>147</v>
      </c>
      <c r="AN6" s="16" t="s">
        <v>6</v>
      </c>
      <c r="AO6" s="16" t="s">
        <v>7</v>
      </c>
      <c r="AP6" s="16" t="s">
        <v>148</v>
      </c>
      <c r="AQ6" s="16" t="s">
        <v>146</v>
      </c>
      <c r="AR6" s="16" t="s">
        <v>147</v>
      </c>
      <c r="AS6" s="16" t="s">
        <v>6</v>
      </c>
      <c r="AT6" s="16" t="s">
        <v>7</v>
      </c>
      <c r="AU6" s="16" t="s">
        <v>148</v>
      </c>
    </row>
    <row r="7" spans="1:47">
      <c r="A7" s="17" t="s">
        <v>8</v>
      </c>
      <c r="B7" s="17" t="s">
        <v>9</v>
      </c>
      <c r="C7" s="17" t="s">
        <v>9</v>
      </c>
      <c r="D7" s="17" t="s">
        <v>9</v>
      </c>
      <c r="E7" s="17">
        <f>BoardQty*1</f>
        <v>0</v>
      </c>
      <c r="F7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7" s="18">
        <f>iferror(E7*F7,"")</f>
        <v>0</v>
      </c>
    </row>
    <row r="8" spans="1:47">
      <c r="A8" s="17" t="s">
        <v>10</v>
      </c>
      <c r="B8" s="17" t="s">
        <v>11</v>
      </c>
      <c r="C8" s="17" t="s">
        <v>12</v>
      </c>
      <c r="D8" s="17" t="s">
        <v>13</v>
      </c>
      <c r="E8" s="17">
        <f>BoardQty*3</f>
        <v>0</v>
      </c>
      <c r="F8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8" s="18">
        <f>iferror(E8*F8,"")</f>
        <v>0</v>
      </c>
      <c r="M8" s="17">
        <v>187611</v>
      </c>
      <c r="O8" s="18">
        <f>iferror(lookup(if(N8="",E8,N8),{0,1,10,100,500,1000,2500,5000,10000,20000},{0.0,0.63,0.448,0.2948,0.21836,0.1856,0.17468,0.16376,0.1329,0.13053}),"")</f>
        <v>0</v>
      </c>
      <c r="P8" s="18">
        <f>iferror(if(N8="",E8,N8)*O8,"")</f>
        <v>0</v>
      </c>
      <c r="Q8" s="19" t="s">
        <v>150</v>
      </c>
      <c r="R8" s="17">
        <v>168160</v>
      </c>
      <c r="T8" s="18">
        <f>iferror(USD_GBP*lookup(if(S8="",E8,S8),{0,1,10,100,150,500,2500,5000,10000,50000},{0.0,0.428,0.428,0.236,0.236,0.151,0.132,0.131,0.101,0.095}),"")</f>
        <v>0</v>
      </c>
      <c r="U8" s="18">
        <f>iferror(if(S8="",E8,S8)*T8,"")</f>
        <v>0</v>
      </c>
      <c r="V8" s="19" t="s">
        <v>171</v>
      </c>
      <c r="AB8" s="17">
        <v>72356</v>
      </c>
      <c r="AD8" s="18">
        <f>iferror(lookup(if(AC8="",E8,AC8),{0,1,10,100,500,1000,2000,10000,20000,50000},{0.0,0.63,0.448,0.294,0.218,0.185,0.163,0.132,0.13,0.123}),"")</f>
        <v>0</v>
      </c>
      <c r="AE8" s="18">
        <f>iferror(if(AC8="",E8,AC8)*AD8,"")</f>
        <v>0</v>
      </c>
      <c r="AF8" s="19" t="s">
        <v>184</v>
      </c>
      <c r="AG8" s="17">
        <v>147174</v>
      </c>
      <c r="AI8" s="18">
        <f>iferror(lookup(if(AH8="",E8,AH8),{0,1,10,25,50,100,250,500,1000,10000,20000,30000,40000,50000,60000},{0.0,0.168,0.56,0.496,0.431,0.368,0.32,0.273,0.231,0.167,0.163,0.135,0.159,0.123,0.154}),"")</f>
        <v>0</v>
      </c>
      <c r="AJ8" s="18">
        <f>iferror(if(AH8="",E8,AH8)*AI8,"")</f>
        <v>0</v>
      </c>
      <c r="AK8" s="19" t="s">
        <v>202</v>
      </c>
      <c r="AL8" s="17">
        <v>57600</v>
      </c>
      <c r="AN8" s="18">
        <f>iferror(USD_GBP*lookup(if(AM8="",E8,AM8),{0,1,50,100,500,2500,5000,10000},{0.0,0.345,0.345,0.18,0.129,0.102,0.098,0.112}),"")</f>
        <v>0</v>
      </c>
      <c r="AO8" s="18">
        <f>iferror(if(AM8="",E8,AM8)*AN8,"")</f>
        <v>0</v>
      </c>
      <c r="AP8" s="19" t="s">
        <v>214</v>
      </c>
      <c r="AQ8" s="17">
        <v>9331</v>
      </c>
      <c r="AU8" s="19" t="s">
        <v>219</v>
      </c>
    </row>
    <row r="9" spans="1:47">
      <c r="A9" s="17" t="s">
        <v>14</v>
      </c>
      <c r="B9" s="17" t="s">
        <v>15</v>
      </c>
      <c r="C9" s="17" t="s">
        <v>12</v>
      </c>
      <c r="D9" s="17" t="s">
        <v>16</v>
      </c>
      <c r="E9" s="17">
        <f>BoardQty*3</f>
        <v>0</v>
      </c>
      <c r="F9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9" s="18">
        <f>iferror(E9*F9,"")</f>
        <v>0</v>
      </c>
      <c r="M9" s="20" t="s">
        <v>152</v>
      </c>
      <c r="O9" s="18">
        <f>iferror(lookup(if(N9="",E9,N9),{0,1,10,100,500,1000,2500,5000,10000,20000},{0.0,0.16,0.117,0.055,0.03858,0.03194,0.02973,0.0272,0.022,0.0209}),"")</f>
        <v>0</v>
      </c>
      <c r="P9" s="18">
        <f>iferror(if(N9="",E9,N9)*O9,"")</f>
        <v>0</v>
      </c>
      <c r="Q9" s="19" t="s">
        <v>151</v>
      </c>
    </row>
    <row r="10" spans="1:47">
      <c r="A10" s="17" t="s">
        <v>17</v>
      </c>
      <c r="B10" s="17" t="s">
        <v>11</v>
      </c>
      <c r="C10" s="17" t="s">
        <v>18</v>
      </c>
      <c r="D10" s="17" t="s">
        <v>19</v>
      </c>
      <c r="E10" s="17">
        <f>BoardQty*1</f>
        <v>0</v>
      </c>
      <c r="F10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10" s="18">
        <f>iferror(E10*F10,"")</f>
        <v>0</v>
      </c>
      <c r="M10" s="17">
        <v>54103</v>
      </c>
      <c r="O10" s="18">
        <f>iferror(lookup(if(N10="",E10,N10),{0,1,10,100,500,1000,2500,5000,10000,20000},{0.0,0.88,0.666,0.4765,0.36888,0.31764,0.29715,0.28178,0.24057,0.23701}),"")</f>
        <v>0</v>
      </c>
      <c r="P10" s="18">
        <f>iferror(if(N10="",E10,N10)*O10,"")</f>
        <v>0</v>
      </c>
      <c r="Q10" s="19" t="s">
        <v>153</v>
      </c>
      <c r="R10" s="17">
        <v>29790</v>
      </c>
      <c r="T10" s="18">
        <f>iferror(USD_GBP*lookup(if(S10="",E10,S10),{0,1,10000},{0.0,0.223,0.223}),"")</f>
        <v>0</v>
      </c>
      <c r="U10" s="18">
        <f>iferror(if(S10="",E10,S10)*T10,"")</f>
        <v>0</v>
      </c>
      <c r="V10" s="19" t="s">
        <v>172</v>
      </c>
      <c r="AB10" s="17">
        <v>132515</v>
      </c>
      <c r="AD10" s="18">
        <f>iferror(lookup(if(AC10="",E10,AC10),{0,1,10,100,500,1000,2500},{0.0,1.04,0.798,0.506,0.442,0.38,0.322}),"")</f>
        <v>0</v>
      </c>
      <c r="AE10" s="18">
        <f>iferror(if(AC10="",E10,AC10)*AD10,"")</f>
        <v>0</v>
      </c>
      <c r="AF10" s="19" t="s">
        <v>185</v>
      </c>
      <c r="AG10" s="17">
        <v>19790</v>
      </c>
      <c r="AI10" s="18">
        <f>iferror(lookup(if(AH10="",E10,AH10),{0,1,25,100,250,500,1000,2500,5000,10000,20000,30000,50000},{0.0,0.279,0.798,0.571,0.506,0.442,0.38,0.322,0.273,0.252,0.235,0.219,0.209}),"")</f>
        <v>0</v>
      </c>
      <c r="AJ10" s="18">
        <f>iferror(if(AH10="",E10,AH10)*AI10,"")</f>
        <v>0</v>
      </c>
      <c r="AK10" s="19" t="s">
        <v>203</v>
      </c>
    </row>
    <row r="11" spans="1:47">
      <c r="A11" s="17" t="s">
        <v>20</v>
      </c>
      <c r="B11" s="17" t="s">
        <v>21</v>
      </c>
      <c r="C11" s="17" t="s">
        <v>22</v>
      </c>
      <c r="D11" s="17" t="s">
        <v>23</v>
      </c>
      <c r="E11" s="17">
        <f>BoardQty*2</f>
        <v>0</v>
      </c>
      <c r="F11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11" s="18">
        <f>iferror(E11*F11,"")</f>
        <v>0</v>
      </c>
      <c r="M11" s="17">
        <v>366647</v>
      </c>
      <c r="O11" s="18">
        <f>iferror(lookup(if(N11="",E11,N11),{0,1,10,100,500,1000,2500,5000,15000,30000},{0.0,0.11,0.078,0.0347,0.0248,0.01948,0.01771,0.01629,0.0112,0.01064}),"")</f>
        <v>0</v>
      </c>
      <c r="P11" s="18">
        <f>iferror(if(N11="",E11,N11)*O11,"")</f>
        <v>0</v>
      </c>
      <c r="Q11" s="19" t="s">
        <v>154</v>
      </c>
      <c r="R11" s="17">
        <v>135000</v>
      </c>
      <c r="T11" s="18">
        <f>iferror(USD_GBP*lookup(if(S11="",E11,S11),{0,1,10,100,150,500,2500,7500,15000,75000},{0.0,0.0447,0.0447,0.026,0.026,0.0128,0.0116,0.0095,0.006,0.0059}),"")</f>
        <v>0</v>
      </c>
      <c r="U11" s="18">
        <f>iferror(if(S11="",E11,S11)*T11,"")</f>
        <v>0</v>
      </c>
      <c r="V11" s="19" t="s">
        <v>173</v>
      </c>
      <c r="AB11" s="17">
        <v>820531</v>
      </c>
      <c r="AD11" s="18">
        <f>iferror(lookup(if(AC11="",E11,AC11),{0,1,10,100,500,1000,2000,15000,45000},{0.0,0.11,0.078,0.034,0.024,0.019,0.016,0.01,0.008}),"")</f>
        <v>0</v>
      </c>
      <c r="AE11" s="18">
        <f>iferror(if(AC11="",E11,AC11)*AD11,"")</f>
        <v>0</v>
      </c>
      <c r="AF11" s="19" t="s">
        <v>186</v>
      </c>
      <c r="AG11" s="17">
        <v>210000</v>
      </c>
      <c r="AI11" s="18">
        <f>iferror(lookup(if(AH11="",E11,AH11),{0,1,25,100,250,500,1000,2500,15000},{0.0,0.013,0.048,0.029,0.026,0.024,0.018,0.016,0.013}),"")</f>
        <v>0</v>
      </c>
      <c r="AJ11" s="18">
        <f>iferror(if(AH11="",E11,AH11)*AI11,"")</f>
        <v>0</v>
      </c>
      <c r="AK11" s="19" t="s">
        <v>204</v>
      </c>
      <c r="AL11" s="17">
        <v>26500</v>
      </c>
      <c r="AN11" s="18">
        <f>iferror(USD_GBP*lookup(if(AM11="",E11,AM11),{0,1,2500,5000,15000,45000,75000,150000},{0.0,0.145,0.145,0.141,0.009,0.007,0.005,0.005}),"")</f>
        <v>0</v>
      </c>
      <c r="AO11" s="18">
        <f>iferror(if(AM11="",E11,AM11)*AN11,"")</f>
        <v>0</v>
      </c>
      <c r="AP11" s="19" t="s">
        <v>215</v>
      </c>
      <c r="AQ11" s="17">
        <v>69900</v>
      </c>
      <c r="AU11" s="19" t="s">
        <v>220</v>
      </c>
    </row>
    <row r="12" spans="1:47">
      <c r="A12" s="17" t="s">
        <v>24</v>
      </c>
      <c r="B12" s="17" t="s">
        <v>11</v>
      </c>
      <c r="C12" s="17" t="s">
        <v>12</v>
      </c>
      <c r="D12" s="17" t="s">
        <v>19</v>
      </c>
      <c r="E12" s="17">
        <f>BoardQty*8</f>
        <v>0</v>
      </c>
      <c r="F12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12" s="18">
        <f>iferror(E12*F12,"")</f>
        <v>0</v>
      </c>
      <c r="M12" s="17">
        <v>54103</v>
      </c>
      <c r="O12" s="18">
        <f>iferror(lookup(if(N12="",E12,N12),{0,1,10,100,500,1000,2500,5000,10000,20000},{0.0,0.88,0.666,0.4765,0.36888,0.31764,0.29715,0.28178,0.24057,0.23701}),"")</f>
        <v>0</v>
      </c>
      <c r="P12" s="18">
        <f>iferror(if(N12="",E12,N12)*O12,"")</f>
        <v>0</v>
      </c>
      <c r="Q12" s="19" t="s">
        <v>153</v>
      </c>
      <c r="R12" s="17">
        <v>29790</v>
      </c>
      <c r="T12" s="18">
        <f>iferror(USD_GBP*lookup(if(S12="",E12,S12),{0,1,10000},{0.0,0.223,0.223}),"")</f>
        <v>0</v>
      </c>
      <c r="U12" s="18">
        <f>iferror(if(S12="",E12,S12)*T12,"")</f>
        <v>0</v>
      </c>
      <c r="V12" s="19" t="s">
        <v>172</v>
      </c>
      <c r="AB12" s="17">
        <v>132515</v>
      </c>
      <c r="AD12" s="18">
        <f>iferror(lookup(if(AC12="",E12,AC12),{0,1,10,100,500,1000,2500},{0.0,1.04,0.798,0.506,0.442,0.38,0.322}),"")</f>
        <v>0</v>
      </c>
      <c r="AE12" s="18">
        <f>iferror(if(AC12="",E12,AC12)*AD12,"")</f>
        <v>0</v>
      </c>
      <c r="AF12" s="19" t="s">
        <v>185</v>
      </c>
      <c r="AG12" s="17">
        <v>19790</v>
      </c>
      <c r="AI12" s="18">
        <f>iferror(lookup(if(AH12="",E12,AH12),{0,1,25,100,250,500,1000,2500,5000,10000,20000,30000,50000},{0.0,0.279,0.798,0.571,0.506,0.442,0.38,0.322,0.273,0.252,0.235,0.219,0.209}),"")</f>
        <v>0</v>
      </c>
      <c r="AJ12" s="18">
        <f>iferror(if(AH12="",E12,AH12)*AI12,"")</f>
        <v>0</v>
      </c>
      <c r="AK12" s="19" t="s">
        <v>203</v>
      </c>
    </row>
    <row r="13" spans="1:47">
      <c r="A13" s="17" t="s">
        <v>25</v>
      </c>
      <c r="B13" s="17" t="s">
        <v>26</v>
      </c>
      <c r="C13" s="17" t="s">
        <v>22</v>
      </c>
      <c r="D13" s="17" t="s">
        <v>27</v>
      </c>
      <c r="E13" s="17">
        <f>BoardQty*2</f>
        <v>0</v>
      </c>
      <c r="F13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13" s="18">
        <f>iferror(E13*F13,"")</f>
        <v>0</v>
      </c>
      <c r="M13" s="17">
        <v>9767</v>
      </c>
      <c r="O13" s="18">
        <f>iferror(lookup(if(N13="",E13,N13),{0,1,10,100,500,1000,2500,5000,15000},{0.0,0.1,0.036,0.016,0.01142,0.00898,0.00816,0.00751,0.00567}),"")</f>
        <v>0</v>
      </c>
      <c r="P13" s="18">
        <f>iferror(if(N13="",E13,N13)*O13,"")</f>
        <v>0</v>
      </c>
      <c r="Q13" s="19" t="s">
        <v>155</v>
      </c>
      <c r="AB13" s="17">
        <v>43745</v>
      </c>
      <c r="AD13" s="18">
        <f>iferror(lookup(if(AC13="",E13,AC13),{0,1,10,100,500,1000,5000},{0.0,0.1,0.018,0.012,0.01,0.008,0.007}),"")</f>
        <v>0</v>
      </c>
      <c r="AE13" s="18">
        <f>iferror(if(AC13="",E13,AC13)*AD13,"")</f>
        <v>0</v>
      </c>
      <c r="AF13" s="19" t="s">
        <v>187</v>
      </c>
    </row>
    <row r="14" spans="1:47">
      <c r="A14" s="17" t="s">
        <v>28</v>
      </c>
      <c r="B14" s="17" t="s">
        <v>29</v>
      </c>
      <c r="C14" s="17" t="s">
        <v>22</v>
      </c>
      <c r="D14" s="17" t="s">
        <v>30</v>
      </c>
      <c r="E14" s="17">
        <f>BoardQty*1</f>
        <v>0</v>
      </c>
      <c r="F14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14" s="18">
        <f>iferror(E14*F14,"")</f>
        <v>0</v>
      </c>
      <c r="M14" s="17">
        <v>7479528</v>
      </c>
      <c r="O14" s="18">
        <f>iferror(lookup(if(N14="",E14,N14),{0,1,10,100,500,1000,2500,5000,15000,30000},{0.0,0.1,0.029,0.013,0.00932,0.00732,0.00666,0.00612,0.0032,0.00304}),"")</f>
        <v>0</v>
      </c>
      <c r="P14" s="18">
        <f>iferror(if(N14="",E14,N14)*O14,"")</f>
        <v>0</v>
      </c>
      <c r="Q14" s="19" t="s">
        <v>156</v>
      </c>
      <c r="R14" s="17">
        <v>390000</v>
      </c>
      <c r="T14" s="18">
        <f>iferror(USD_GBP*lookup(if(S14="",E14,S14),{0,1,10,100,150,500,2500,7500,15000,75000},{0.0,0.0418,0.0418,0.0271,0.0271,0.0177,0.0131,0.0112,0.006,0.0022}),"")</f>
        <v>0</v>
      </c>
      <c r="U14" s="18">
        <f>iferror(if(S14="",E14,S14)*T14,"")</f>
        <v>0</v>
      </c>
      <c r="V14" s="19" t="s">
        <v>174</v>
      </c>
      <c r="W14" s="17">
        <v>10300</v>
      </c>
      <c r="Y14" s="18">
        <f>iferror(lookup(if(X14="",E14,X14),{0,1,100,1000,3000,10000,50000,100000},{0.0,0.00164,0.00164,0.00122,0.00114,0.00106,0.00103,0.00101}),"")</f>
        <v>0</v>
      </c>
      <c r="Z14" s="18">
        <f>iferror(if(X14="",E14,X14)*Y14,"")</f>
        <v>0</v>
      </c>
      <c r="AA14" s="19" t="s">
        <v>181</v>
      </c>
      <c r="AB14" s="17">
        <v>639358</v>
      </c>
      <c r="AD14" s="18">
        <f>iferror(lookup(if(AC14="",E14,AC14),{0,1,10,100,500,1000,2500},{0.0,0.1,0.029,0.013,0.009,0.007,0.006}),"")</f>
        <v>0</v>
      </c>
      <c r="AE14" s="18">
        <f>iferror(if(AC14="",E14,AC14)*AD14,"")</f>
        <v>0</v>
      </c>
      <c r="AF14" s="19" t="s">
        <v>188</v>
      </c>
      <c r="AG14" s="17">
        <v>30000</v>
      </c>
      <c r="AI14" s="18">
        <f>iferror(lookup(if(AH14="",E14,AH14),{0,1,10,25,50,100,250,500,1000,15000},{0.0,0.084,0.024,0.019,0.014,0.01,0.009,0.008,0.006,0.005}),"")</f>
        <v>0</v>
      </c>
      <c r="AJ14" s="18">
        <f>iferror(if(AH14="",E14,AH14)*AI14,"")</f>
        <v>0</v>
      </c>
      <c r="AK14" s="19" t="s">
        <v>205</v>
      </c>
      <c r="AL14" s="17">
        <v>291000</v>
      </c>
      <c r="AN14" s="18">
        <f>iferror(USD_GBP*lookup(if(AM14="",E14,AM14),{0,1,200,2000,15000},{0.0,0.009,0.009,0.008,0.003}),"")</f>
        <v>0</v>
      </c>
      <c r="AO14" s="18">
        <f>iferror(if(AM14="",E14,AM14)*AN14,"")</f>
        <v>0</v>
      </c>
      <c r="AP14" s="19" t="s">
        <v>216</v>
      </c>
      <c r="AQ14" s="17">
        <v>8200</v>
      </c>
      <c r="AU14" s="19" t="s">
        <v>30</v>
      </c>
    </row>
    <row r="15" spans="1:47">
      <c r="A15" s="17" t="s">
        <v>31</v>
      </c>
      <c r="B15" s="17" t="s">
        <v>32</v>
      </c>
      <c r="C15" s="17" t="s">
        <v>22</v>
      </c>
      <c r="D15" s="17" t="s">
        <v>33</v>
      </c>
      <c r="E15" s="17">
        <f>BoardQty*1</f>
        <v>0</v>
      </c>
      <c r="F15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15" s="18">
        <f>iferror(E15*F15,"")</f>
        <v>0</v>
      </c>
    </row>
    <row r="16" spans="1:47">
      <c r="A16" s="17" t="s">
        <v>34</v>
      </c>
      <c r="B16" s="17" t="s">
        <v>35</v>
      </c>
      <c r="C16" s="17" t="s">
        <v>22</v>
      </c>
      <c r="D16" s="17" t="s">
        <v>36</v>
      </c>
      <c r="E16" s="17">
        <f>BoardQty*15</f>
        <v>0</v>
      </c>
      <c r="F16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16" s="18">
        <f>iferror(E16*F16,"")</f>
        <v>0</v>
      </c>
      <c r="M16" s="20" t="s">
        <v>152</v>
      </c>
      <c r="O16" s="18">
        <f>iferror(lookup(if(N16="",E16,N16),{0,1,50000},{0.0,0.00493,0.00493}),"")</f>
        <v>0</v>
      </c>
      <c r="P16" s="18">
        <f>iferror(if(N16="",E16,N16)*O16,"")</f>
        <v>0</v>
      </c>
      <c r="Q16" s="19" t="s">
        <v>157</v>
      </c>
      <c r="AB16" s="17">
        <v>47953</v>
      </c>
      <c r="AD16" s="18">
        <f>iferror(lookup(if(AC16="",E16,AC16),{0,1,10,100,500,1000,2500},{0.0,0.1,0.05,0.03,0.02,0.02,0.02}),"")</f>
        <v>0</v>
      </c>
      <c r="AE16" s="18">
        <f>iferror(if(AC16="",E16,AC16)*AD16,"")</f>
        <v>0</v>
      </c>
      <c r="AF16" s="19" t="s">
        <v>189</v>
      </c>
    </row>
    <row r="17" spans="1:42">
      <c r="A17" s="17" t="s">
        <v>37</v>
      </c>
      <c r="B17" s="17" t="s">
        <v>38</v>
      </c>
      <c r="C17" s="17" t="s">
        <v>12</v>
      </c>
      <c r="D17" s="17" t="s">
        <v>39</v>
      </c>
      <c r="E17" s="17">
        <f>BoardQty*1</f>
        <v>0</v>
      </c>
      <c r="F17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17" s="18">
        <f>iferror(E17*F17,"")</f>
        <v>0</v>
      </c>
      <c r="M17" s="17">
        <v>2403</v>
      </c>
      <c r="O17" s="18">
        <f>iferror(lookup(if(N17="",E17,N17),{0,1,10,100,500,1000,2500,5000,10000},{0.0,0.64,0.451,0.2971,0.22012,0.18709,0.17609,0.1305,0.1218}),"")</f>
        <v>0</v>
      </c>
      <c r="P17" s="18">
        <f>iferror(if(N17="",E17,N17)*O17,"")</f>
        <v>0</v>
      </c>
      <c r="Q17" s="19" t="s">
        <v>158</v>
      </c>
    </row>
    <row r="18" spans="1:42">
      <c r="A18" s="17" t="s">
        <v>40</v>
      </c>
      <c r="B18" s="17" t="s">
        <v>41</v>
      </c>
      <c r="C18" s="17" t="s">
        <v>22</v>
      </c>
      <c r="D18" s="17" t="s">
        <v>42</v>
      </c>
      <c r="E18" s="17">
        <f>BoardQty*1</f>
        <v>0</v>
      </c>
      <c r="F18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18" s="18">
        <f>iferror(E18*F18,"")</f>
        <v>0</v>
      </c>
      <c r="M18" s="17">
        <v>9065</v>
      </c>
      <c r="O18" s="18">
        <f>iferror(lookup(if(N18="",E18,N18),{0,1,10,100,500,1000,2500,5000,15000,30000},{0.0,0.1,0.029,0.013,0.00932,0.00732,0.00666,0.00612,0.0042,0.00399}),"")</f>
        <v>0</v>
      </c>
      <c r="P18" s="18">
        <f>iferror(if(N18="",E18,N18)*O18,"")</f>
        <v>0</v>
      </c>
      <c r="Q18" s="19" t="s">
        <v>159</v>
      </c>
      <c r="R18" s="20" t="s">
        <v>152</v>
      </c>
      <c r="T18" s="18">
        <f>iferror(USD_GBP*lookup(if(S18="",E18,S18),{0,1,15000},{0.0,0.0014,0.0014}),"")</f>
        <v>0</v>
      </c>
      <c r="U18" s="18">
        <f>iferror(if(S18="",E18,S18)*T18,"")</f>
        <v>0</v>
      </c>
      <c r="V18" s="19" t="s">
        <v>175</v>
      </c>
      <c r="AB18" s="17">
        <v>36610</v>
      </c>
      <c r="AD18" s="18">
        <f>iferror(lookup(if(AC18="",E18,AC18),{0,1,10,100,500,1000,2500},{0.0,0.1,0.027,0.011,0.008,0.006,0.006}),"")</f>
        <v>0</v>
      </c>
      <c r="AE18" s="18">
        <f>iferror(if(AC18="",E18,AC18)*AD18,"")</f>
        <v>0</v>
      </c>
      <c r="AF18" s="19" t="s">
        <v>190</v>
      </c>
      <c r="AG18" s="20" t="s">
        <v>152</v>
      </c>
      <c r="AI18" s="18">
        <f>iferror(lookup(if(AH18="",E18,AH18),{0,1,15000},{0.0,0.003,0.003}),"")</f>
        <v>0</v>
      </c>
      <c r="AJ18" s="18">
        <f>iferror(if(AH18="",E18,AH18)*AI18,"")</f>
        <v>0</v>
      </c>
      <c r="AK18" s="19" t="s">
        <v>206</v>
      </c>
      <c r="AL18" s="17">
        <v>30000</v>
      </c>
      <c r="AN18" s="18">
        <f>iferror(USD_GBP*lookup(if(AM18="",E18,AM18),{0,1,500,2500},{0.0,0.006,0.006,0.005}),"")</f>
        <v>0</v>
      </c>
      <c r="AO18" s="18">
        <f>iferror(if(AM18="",E18,AM18)*AN18,"")</f>
        <v>0</v>
      </c>
      <c r="AP18" s="19" t="s">
        <v>217</v>
      </c>
    </row>
    <row r="19" spans="1:42">
      <c r="A19" s="17" t="s">
        <v>43</v>
      </c>
      <c r="B19" s="17" t="s">
        <v>44</v>
      </c>
      <c r="C19" s="17" t="s">
        <v>22</v>
      </c>
      <c r="D19" s="17" t="s">
        <v>42</v>
      </c>
      <c r="E19" s="17">
        <f>BoardQty*2</f>
        <v>0</v>
      </c>
      <c r="F19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19" s="18">
        <f>iferror(E19*F19,"")</f>
        <v>0</v>
      </c>
      <c r="M19" s="17">
        <v>9065</v>
      </c>
      <c r="O19" s="18">
        <f>iferror(lookup(if(N19="",E19,N19),{0,1,10,100,500,1000,2500,5000,15000,30000},{0.0,0.1,0.029,0.013,0.00932,0.00732,0.00666,0.00612,0.0042,0.00399}),"")</f>
        <v>0</v>
      </c>
      <c r="P19" s="18">
        <f>iferror(if(N19="",E19,N19)*O19,"")</f>
        <v>0</v>
      </c>
      <c r="Q19" s="19" t="s">
        <v>159</v>
      </c>
      <c r="R19" s="20" t="s">
        <v>152</v>
      </c>
      <c r="T19" s="18">
        <f>iferror(USD_GBP*lookup(if(S19="",E19,S19),{0,1,15000},{0.0,0.0014,0.0014}),"")</f>
        <v>0</v>
      </c>
      <c r="U19" s="18">
        <f>iferror(if(S19="",E19,S19)*T19,"")</f>
        <v>0</v>
      </c>
      <c r="V19" s="19" t="s">
        <v>175</v>
      </c>
      <c r="AB19" s="17">
        <v>36610</v>
      </c>
      <c r="AD19" s="18">
        <f>iferror(lookup(if(AC19="",E19,AC19),{0,1,10,100,500,1000,2500},{0.0,0.1,0.027,0.011,0.008,0.006,0.006}),"")</f>
        <v>0</v>
      </c>
      <c r="AE19" s="18">
        <f>iferror(if(AC19="",E19,AC19)*AD19,"")</f>
        <v>0</v>
      </c>
      <c r="AF19" s="19" t="s">
        <v>190</v>
      </c>
      <c r="AG19" s="20" t="s">
        <v>152</v>
      </c>
      <c r="AI19" s="18">
        <f>iferror(lookup(if(AH19="",E19,AH19),{0,1,15000},{0.0,0.003,0.003}),"")</f>
        <v>0</v>
      </c>
      <c r="AJ19" s="18">
        <f>iferror(if(AH19="",E19,AH19)*AI19,"")</f>
        <v>0</v>
      </c>
      <c r="AK19" s="19" t="s">
        <v>206</v>
      </c>
      <c r="AL19" s="17">
        <v>30000</v>
      </c>
      <c r="AN19" s="18">
        <f>iferror(USD_GBP*lookup(if(AM19="",E19,AM19),{0,1,500,2500},{0.0,0.006,0.006,0.005}),"")</f>
        <v>0</v>
      </c>
      <c r="AO19" s="18">
        <f>iferror(if(AM19="",E19,AM19)*AN19,"")</f>
        <v>0</v>
      </c>
      <c r="AP19" s="19" t="s">
        <v>217</v>
      </c>
    </row>
    <row r="20" spans="1:42">
      <c r="A20" s="17" t="s">
        <v>45</v>
      </c>
      <c r="B20" s="17" t="s">
        <v>46</v>
      </c>
      <c r="C20" s="17" t="s">
        <v>47</v>
      </c>
      <c r="D20" s="17" t="s">
        <v>48</v>
      </c>
      <c r="E20" s="17">
        <f>BoardQty*1</f>
        <v>0</v>
      </c>
      <c r="F20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20" s="18">
        <f>iferror(E20*F20,"")</f>
        <v>0</v>
      </c>
    </row>
    <row r="21" spans="1:42">
      <c r="A21" s="17" t="s">
        <v>49</v>
      </c>
      <c r="B21" s="17" t="s">
        <v>50</v>
      </c>
      <c r="C21" s="17" t="s">
        <v>51</v>
      </c>
      <c r="D21" s="17" t="s">
        <v>52</v>
      </c>
      <c r="E21" s="17">
        <f>BoardQty*3</f>
        <v>0</v>
      </c>
      <c r="F21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21" s="18">
        <f>iferror(E21*F21,"")</f>
        <v>0</v>
      </c>
    </row>
    <row r="22" spans="1:42">
      <c r="A22" s="17" t="s">
        <v>53</v>
      </c>
      <c r="B22" s="17" t="s">
        <v>54</v>
      </c>
      <c r="C22" s="17" t="s">
        <v>54</v>
      </c>
      <c r="D22" s="17" t="s">
        <v>55</v>
      </c>
      <c r="E22" s="17">
        <f>BoardQty*2</f>
        <v>0</v>
      </c>
      <c r="F22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22" s="18">
        <f>iferror(E22*F22,"")</f>
        <v>0</v>
      </c>
      <c r="M22" s="17">
        <v>455</v>
      </c>
      <c r="O22" s="18">
        <f>iferror(lookup(if(N22="",E22,N22),{0,1,10,25,50,100,250,500,1000,5000,10000,20000,30000,50000},{0.0,0.12,0.099,0.0772,0.0638,0.055,0.044,0.0396,0.033,0.0308,0.01595,0.0154,0.0143,0.01414}),"")</f>
        <v>0</v>
      </c>
      <c r="P22" s="18">
        <f>iferror(if(N22="",E22,N22)*O22,"")</f>
        <v>0</v>
      </c>
      <c r="Q22" s="19" t="s">
        <v>160</v>
      </c>
      <c r="AB22" s="17">
        <v>8000</v>
      </c>
      <c r="AD22" s="18">
        <f>iferror(lookup(if(AC22="",E22,AC22),{0,1,10,100,500,1000,2500},{0.0,0.1,0.054,0.029,0.026,0.022,0.019}),"")</f>
        <v>0</v>
      </c>
      <c r="AE22" s="18">
        <f>iferror(if(AC22="",E22,AC22)*AD22,"")</f>
        <v>0</v>
      </c>
      <c r="AF22" s="19" t="s">
        <v>191</v>
      </c>
    </row>
    <row r="23" spans="1:42">
      <c r="A23" s="17" t="s">
        <v>56</v>
      </c>
      <c r="B23" s="17" t="s">
        <v>57</v>
      </c>
      <c r="C23" s="17" t="s">
        <v>12</v>
      </c>
      <c r="D23" s="17" t="s">
        <v>58</v>
      </c>
      <c r="E23" s="17">
        <f>BoardQty*4</f>
        <v>0</v>
      </c>
      <c r="F23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23" s="18">
        <f>iferror(E23*F23,"")</f>
        <v>0</v>
      </c>
      <c r="M23" s="17">
        <v>9217</v>
      </c>
      <c r="O23" s="18">
        <f>iferror(lookup(if(N23="",E23,N23),{0,1,10,100,500,1000,2500,10000,30000,50000,100000},{0.0,0.28,0.253,0.1739,0.14864,0.11385,0.10752,0.08525,0.0825,0.07975,0.077}),"")</f>
        <v>0</v>
      </c>
      <c r="P23" s="18">
        <f>iferror(if(N23="",E23,N23)*O23,"")</f>
        <v>0</v>
      </c>
      <c r="Q23" s="19" t="s">
        <v>161</v>
      </c>
      <c r="AB23" s="17">
        <v>15865</v>
      </c>
      <c r="AD23" s="18">
        <f>iferror(lookup(if(AC23="",E23,AC23),{0,1,10,100,500,1000,2500},{0.0,0.28,0.192,0.178,0.156,0.126,0.088}),"")</f>
        <v>0</v>
      </c>
      <c r="AE23" s="18">
        <f>iferror(if(AC23="",E23,AC23)*AD23,"")</f>
        <v>0</v>
      </c>
      <c r="AF23" s="19" t="s">
        <v>192</v>
      </c>
    </row>
    <row r="24" spans="1:42">
      <c r="A24" s="17" t="s">
        <v>59</v>
      </c>
      <c r="B24" s="17" t="s">
        <v>60</v>
      </c>
      <c r="C24" s="17" t="s">
        <v>61</v>
      </c>
      <c r="D24" s="17" t="s">
        <v>60</v>
      </c>
      <c r="E24" s="17">
        <f>BoardQty*1</f>
        <v>0</v>
      </c>
      <c r="F24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24" s="18">
        <f>iferror(E24*F24,"")</f>
        <v>0</v>
      </c>
    </row>
    <row r="25" spans="1:42">
      <c r="A25" s="17" t="s">
        <v>62</v>
      </c>
      <c r="B25" s="17" t="s">
        <v>63</v>
      </c>
      <c r="C25" s="17" t="s">
        <v>64</v>
      </c>
      <c r="D25" s="17" t="s">
        <v>65</v>
      </c>
      <c r="E25" s="17">
        <f>BoardQty*3</f>
        <v>0</v>
      </c>
      <c r="F25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25" s="18">
        <f>iferror(E25*F25,"")</f>
        <v>0</v>
      </c>
      <c r="M25" s="17">
        <v>1207237</v>
      </c>
      <c r="O25" s="18">
        <f>iferror(lookup(if(N25="",E25,N25),{0,1,10,100,1000,2500,5000,10000},{0.0,0.1,0.026,0.0104,0.00466,0.00405,0.00334,0.00264}),"")</f>
        <v>0</v>
      </c>
      <c r="P25" s="18">
        <f>iferror(if(N25="",E25,N25)*O25,"")</f>
        <v>0</v>
      </c>
      <c r="Q25" s="19" t="s">
        <v>162</v>
      </c>
      <c r="AG25" s="20" t="s">
        <v>152</v>
      </c>
      <c r="AI25" s="18">
        <f>iferror(lookup(if(AH25="",E25,AH25),{0,1,10000,20000,60000,100000},{0.0,0.003,0.003,0.003,0.003,0.003}),"")</f>
        <v>0</v>
      </c>
      <c r="AJ25" s="18">
        <f>iferror(if(AH25="",E25,AH25)*AI25,"")</f>
        <v>0</v>
      </c>
      <c r="AK25" s="19" t="s">
        <v>207</v>
      </c>
    </row>
    <row r="26" spans="1:42">
      <c r="A26" s="17" t="s">
        <v>66</v>
      </c>
      <c r="B26" s="17" t="s">
        <v>67</v>
      </c>
      <c r="C26" s="17" t="s">
        <v>64</v>
      </c>
      <c r="D26" s="17" t="s">
        <v>68</v>
      </c>
      <c r="E26" s="17">
        <f>BoardQty*1</f>
        <v>0</v>
      </c>
      <c r="F26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26" s="18">
        <f>iferror(E26*F26,"")</f>
        <v>0</v>
      </c>
      <c r="M26" s="17">
        <v>43082</v>
      </c>
      <c r="O26" s="18">
        <f>iferror(lookup(if(N26="",E26,N26),{0,1,10,100,1000,2500,5000,10000},{0.0,0.1,0.04,0.0165,0.00739,0.00642,0.0053,0.00419}),"")</f>
        <v>0</v>
      </c>
      <c r="P26" s="18">
        <f>iferror(if(N26="",E26,N26)*O26,"")</f>
        <v>0</v>
      </c>
      <c r="Q26" s="19" t="s">
        <v>163</v>
      </c>
      <c r="AB26" s="17">
        <v>38295</v>
      </c>
      <c r="AD26" s="18">
        <f>iferror(lookup(if(AC26="",E26,AC26),{0,1,10,100,1000,2500,10000},{0.0,0.1,0.041,0.017,0.007,0.005,0.005}),"")</f>
        <v>0</v>
      </c>
      <c r="AE26" s="18">
        <f>iferror(if(AC26="",E26,AC26)*AD26,"")</f>
        <v>0</v>
      </c>
      <c r="AF26" s="19" t="s">
        <v>193</v>
      </c>
      <c r="AG26" s="20" t="s">
        <v>152</v>
      </c>
      <c r="AK26" s="19" t="s">
        <v>208</v>
      </c>
    </row>
    <row r="27" spans="1:42">
      <c r="A27" s="17" t="s">
        <v>69</v>
      </c>
      <c r="B27" s="17" t="s">
        <v>70</v>
      </c>
      <c r="C27" s="17" t="s">
        <v>64</v>
      </c>
      <c r="D27" s="17" t="s">
        <v>71</v>
      </c>
      <c r="E27" s="17">
        <f>BoardQty*1</f>
        <v>0</v>
      </c>
      <c r="F27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27" s="18">
        <f>iferror(E27*F27,"")</f>
        <v>0</v>
      </c>
      <c r="AB27" s="17">
        <v>4215</v>
      </c>
      <c r="AD27" s="18">
        <f>iferror(lookup(if(AC27="",E27,AC27),{0,1,10,100,1000,2500,10000},{0.0,0.56,0.316,0.146,0.114,0.098,0.094}),"")</f>
        <v>0</v>
      </c>
      <c r="AE27" s="18">
        <f>iferror(if(AC27="",E27,AC27)*AD27,"")</f>
        <v>0</v>
      </c>
      <c r="AF27" s="19" t="s">
        <v>194</v>
      </c>
    </row>
    <row r="28" spans="1:42">
      <c r="A28" s="17" t="s">
        <v>72</v>
      </c>
      <c r="B28" s="17" t="s">
        <v>73</v>
      </c>
      <c r="C28" s="17" t="s">
        <v>64</v>
      </c>
      <c r="D28" s="17" t="s">
        <v>74</v>
      </c>
      <c r="E28" s="17">
        <f>BoardQty*1</f>
        <v>0</v>
      </c>
      <c r="F28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28" s="18">
        <f>iferror(E28*F28,"")</f>
        <v>0</v>
      </c>
      <c r="M28" s="17">
        <v>30820</v>
      </c>
      <c r="O28" s="18">
        <f>iferror(lookup(if(N28="",E28,N28),{0,1,10,25,50,100,250,500,1000,5000,15000},{0.0,0.2,0.154,0.1276,0.11,0.099,0.0836,0.0748,0.0638,0.0594,0.05}),"")</f>
        <v>0</v>
      </c>
      <c r="P28" s="18">
        <f>iferror(if(N28="",E28,N28)*O28,"")</f>
        <v>0</v>
      </c>
      <c r="Q28" s="19" t="s">
        <v>164</v>
      </c>
      <c r="R28" s="20" t="s">
        <v>152</v>
      </c>
      <c r="T28" s="18">
        <f>iferror(USD_GBP*lookup(if(S28="",E28,S28),{0,1,10,100,150,500,2500,7500,15000,75000},{0.0,0.0968,0.0968,0.0625,0.0625,0.0469,0.0341,0.0268,0.0253,0.0238}),"")</f>
        <v>0</v>
      </c>
      <c r="U28" s="18">
        <f>iferror(if(S28="",E28,S28)*T28,"")</f>
        <v>0</v>
      </c>
      <c r="V28" s="19" t="s">
        <v>176</v>
      </c>
      <c r="AB28" s="17">
        <v>30909</v>
      </c>
      <c r="AD28" s="18">
        <f>iferror(lookup(if(AC28="",E28,AC28),{0,1,10,100,500,1000,2500,5000,10000,15000},{0.0,0.2,0.11,0.083,0.072,0.063,0.061,0.059,0.054,0.05}),"")</f>
        <v>0</v>
      </c>
      <c r="AE28" s="18">
        <f>iferror(if(AC28="",E28,AC28)*AD28,"")</f>
        <v>0</v>
      </c>
      <c r="AF28" s="19" t="s">
        <v>195</v>
      </c>
      <c r="AG28" s="20" t="s">
        <v>152</v>
      </c>
      <c r="AI28" s="18">
        <f>iferror(lookup(if(AH28="",E28,AH28),{0,1,10,25,50,100,250,500,1000},{0.0,0.2,0.11,0.101,0.092,0.083,0.078,0.072,0.063}),"")</f>
        <v>0</v>
      </c>
      <c r="AJ28" s="18">
        <f>iferror(if(AH28="",E28,AH28)*AI28,"")</f>
        <v>0</v>
      </c>
      <c r="AK28" s="19" t="s">
        <v>209</v>
      </c>
    </row>
    <row r="29" spans="1:42">
      <c r="A29" s="17" t="s">
        <v>75</v>
      </c>
      <c r="B29" s="17" t="s">
        <v>76</v>
      </c>
      <c r="C29" s="17" t="s">
        <v>64</v>
      </c>
      <c r="D29" s="17" t="s">
        <v>65</v>
      </c>
      <c r="E29" s="17">
        <f>BoardQty*1</f>
        <v>0</v>
      </c>
      <c r="F29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29" s="18">
        <f>iferror(E29*F29,"")</f>
        <v>0</v>
      </c>
      <c r="M29" s="17">
        <v>1207237</v>
      </c>
      <c r="O29" s="18">
        <f>iferror(lookup(if(N29="",E29,N29),{0,1,10,100,1000,2500,5000,10000},{0.0,0.1,0.026,0.0104,0.00466,0.00405,0.00334,0.00264}),"")</f>
        <v>0</v>
      </c>
      <c r="P29" s="18">
        <f>iferror(if(N29="",E29,N29)*O29,"")</f>
        <v>0</v>
      </c>
      <c r="Q29" s="19" t="s">
        <v>162</v>
      </c>
      <c r="AG29" s="20" t="s">
        <v>152</v>
      </c>
      <c r="AI29" s="18">
        <f>iferror(lookup(if(AH29="",E29,AH29),{0,1,10000,20000,60000,100000},{0.0,0.003,0.003,0.003,0.003,0.003}),"")</f>
        <v>0</v>
      </c>
      <c r="AJ29" s="18">
        <f>iferror(if(AH29="",E29,AH29)*AI29,"")</f>
        <v>0</v>
      </c>
      <c r="AK29" s="19" t="s">
        <v>207</v>
      </c>
    </row>
    <row r="30" spans="1:42">
      <c r="A30" s="17" t="s">
        <v>77</v>
      </c>
      <c r="B30" s="17" t="s">
        <v>78</v>
      </c>
      <c r="C30" s="17" t="s">
        <v>64</v>
      </c>
      <c r="D30" s="17" t="s">
        <v>79</v>
      </c>
      <c r="E30" s="17">
        <f>BoardQty*1</f>
        <v>0</v>
      </c>
      <c r="F30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30" s="18">
        <f>iferror(E30*F30,"")</f>
        <v>0</v>
      </c>
      <c r="M30" s="17">
        <v>1421</v>
      </c>
      <c r="O30" s="18">
        <f>iferror(lookup(if(N30="",E30,N30),{0,1,10,100,1000,2500,5000,10000},{0.0,0.1,0.062,0.0253,0.01137,0.00987,0.00815,0.00644}),"")</f>
        <v>0</v>
      </c>
      <c r="P30" s="18">
        <f>iferror(if(N30="",E30,N30)*O30,"")</f>
        <v>0</v>
      </c>
      <c r="Q30" s="19" t="s">
        <v>165</v>
      </c>
      <c r="R30" s="17">
        <v>20000</v>
      </c>
      <c r="T30" s="18">
        <f>iferror(USD_GBP*lookup(if(S30="",E30,S30),{0,1,10,100,150,500,2500,5000,10000,50000},{0.0,0.0621,0.0621,0.0251,0.0251,0.0099,0.0083,0.0065,0.0045,0.0043}),"")</f>
        <v>0</v>
      </c>
      <c r="U30" s="18">
        <f>iferror(if(S30="",E30,S30)*T30,"")</f>
        <v>0</v>
      </c>
      <c r="V30" s="19" t="s">
        <v>177</v>
      </c>
      <c r="AB30" s="17">
        <v>306358</v>
      </c>
      <c r="AD30" s="18">
        <f>iferror(lookup(if(AC30="",E30,AC30),{0,1,10,100,500,1000,2500},{0.0,0.1,0.059,0.049,0.022,0.01,0.008}),"")</f>
        <v>0</v>
      </c>
      <c r="AE30" s="18">
        <f>iferror(if(AC30="",E30,AC30)*AD30,"")</f>
        <v>0</v>
      </c>
      <c r="AF30" s="19" t="s">
        <v>196</v>
      </c>
      <c r="AG30" s="17">
        <v>20000</v>
      </c>
      <c r="AI30" s="18">
        <f>iferror(lookup(if(AH30="",E30,AH30),{0,1,25,100,250,500,1000,2500,5000,10000,20000},{0.0,0.006,0.006,0.006,0.006,0.006,0.006,0.006,0.008,0.008,0.006}),"")</f>
        <v>0</v>
      </c>
      <c r="AJ30" s="18">
        <f>iferror(if(AH30="",E30,AH30)*AI30,"")</f>
        <v>0</v>
      </c>
      <c r="AK30" s="19" t="s">
        <v>210</v>
      </c>
    </row>
    <row r="31" spans="1:42">
      <c r="A31" s="17" t="s">
        <v>80</v>
      </c>
      <c r="B31" s="17" t="s">
        <v>81</v>
      </c>
      <c r="C31" s="17" t="s">
        <v>82</v>
      </c>
      <c r="D31" s="17" t="s">
        <v>83</v>
      </c>
      <c r="E31" s="17">
        <f>BoardQty*1</f>
        <v>0</v>
      </c>
      <c r="F31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31" s="18">
        <f>iferror(E31*F31,"")</f>
        <v>0</v>
      </c>
      <c r="M31" s="20" t="s">
        <v>152</v>
      </c>
      <c r="O31" s="18">
        <f>iferror(lookup(if(N31="",E31,N31),{0,1,15000},{0.0,0.0308,0.0308}),"")</f>
        <v>0</v>
      </c>
      <c r="P31" s="18">
        <f>iferror(if(N31="",E31,N31)*O31,"")</f>
        <v>0</v>
      </c>
      <c r="Q31" s="19" t="s">
        <v>166</v>
      </c>
      <c r="R31" s="20" t="s">
        <v>152</v>
      </c>
      <c r="T31" s="18">
        <f>iferror(USD_GBP*lookup(if(S31="",E31,S31),{0,1,15000},{0.0,0.109,0.109}),"")</f>
        <v>0</v>
      </c>
      <c r="U31" s="18">
        <f>iferror(if(S31="",E31,S31)*T31,"")</f>
        <v>0</v>
      </c>
      <c r="V31" s="19" t="s">
        <v>178</v>
      </c>
      <c r="AB31" s="17">
        <v>14775</v>
      </c>
      <c r="AD31" s="18">
        <f>iferror(lookup(if(AC31="",E31,AC31),{0,1,10,100,1000,2500,10000},{0.0,0.28,0.193,0.078,0.047,0.046,0.03}),"")</f>
        <v>0</v>
      </c>
      <c r="AE31" s="18">
        <f>iferror(if(AC31="",E31,AC31)*AD31,"")</f>
        <v>0</v>
      </c>
      <c r="AF31" s="19" t="s">
        <v>197</v>
      </c>
      <c r="AG31" s="20" t="s">
        <v>152</v>
      </c>
      <c r="AI31" s="18">
        <f>iferror(lookup(if(AH31="",E31,AH31),{0,1,25,100,250,500,1000,2500,5000,15000,30000,60000,90000,150000,300000},{0.0,0.296,0.259,0.231,0.143,0.118,0.1,0.082,0.066,0.066,0.027,0.026,0.026,0.026,0.026}),"")</f>
        <v>0</v>
      </c>
      <c r="AJ31" s="18">
        <f>iferror(if(AH31="",E31,AH31)*AI31,"")</f>
        <v>0</v>
      </c>
      <c r="AK31" s="19" t="s">
        <v>211</v>
      </c>
    </row>
    <row r="32" spans="1:42">
      <c r="A32" s="17" t="s">
        <v>84</v>
      </c>
      <c r="B32" s="17" t="s">
        <v>81</v>
      </c>
      <c r="C32" s="17" t="s">
        <v>64</v>
      </c>
      <c r="D32" s="17" t="s">
        <v>83</v>
      </c>
      <c r="E32" s="17">
        <f>BoardQty*6</f>
        <v>0</v>
      </c>
      <c r="F32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32" s="18">
        <f>iferror(E32*F32,"")</f>
        <v>0</v>
      </c>
      <c r="M32" s="20" t="s">
        <v>152</v>
      </c>
      <c r="O32" s="18">
        <f>iferror(lookup(if(N32="",E32,N32),{0,1,15000},{0.0,0.0308,0.0308}),"")</f>
        <v>0</v>
      </c>
      <c r="P32" s="18">
        <f>iferror(if(N32="",E32,N32)*O32,"")</f>
        <v>0</v>
      </c>
      <c r="Q32" s="19" t="s">
        <v>166</v>
      </c>
      <c r="R32" s="20" t="s">
        <v>152</v>
      </c>
      <c r="T32" s="18">
        <f>iferror(USD_GBP*lookup(if(S32="",E32,S32),{0,1,15000},{0.0,0.109,0.109}),"")</f>
        <v>0</v>
      </c>
      <c r="U32" s="18">
        <f>iferror(if(S32="",E32,S32)*T32,"")</f>
        <v>0</v>
      </c>
      <c r="V32" s="19" t="s">
        <v>178</v>
      </c>
      <c r="AB32" s="17">
        <v>14775</v>
      </c>
      <c r="AD32" s="18">
        <f>iferror(lookup(if(AC32="",E32,AC32),{0,1,10,100,1000,2500,10000},{0.0,0.28,0.193,0.078,0.047,0.046,0.03}),"")</f>
        <v>0</v>
      </c>
      <c r="AE32" s="18">
        <f>iferror(if(AC32="",E32,AC32)*AD32,"")</f>
        <v>0</v>
      </c>
      <c r="AF32" s="19" t="s">
        <v>197</v>
      </c>
      <c r="AG32" s="20" t="s">
        <v>152</v>
      </c>
      <c r="AI32" s="18">
        <f>iferror(lookup(if(AH32="",E32,AH32),{0,1,25,100,250,500,1000,2500,5000,15000,30000,60000,90000,150000,300000},{0.0,0.296,0.259,0.231,0.143,0.118,0.1,0.082,0.066,0.066,0.027,0.026,0.026,0.026,0.026}),"")</f>
        <v>0</v>
      </c>
      <c r="AJ32" s="18">
        <f>iferror(if(AH32="",E32,AH32)*AI32,"")</f>
        <v>0</v>
      </c>
      <c r="AK32" s="19" t="s">
        <v>211</v>
      </c>
    </row>
    <row r="33" spans="1:37">
      <c r="A33" s="17" t="s">
        <v>85</v>
      </c>
      <c r="B33" s="17" t="s">
        <v>86</v>
      </c>
      <c r="C33" s="17" t="s">
        <v>64</v>
      </c>
      <c r="D33" s="17" t="s">
        <v>87</v>
      </c>
      <c r="E33" s="17">
        <f>BoardQty*1</f>
        <v>0</v>
      </c>
      <c r="F33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33" s="18">
        <f>iferror(E33*F33,"")</f>
        <v>0</v>
      </c>
      <c r="M33" s="17">
        <v>68899</v>
      </c>
      <c r="O33" s="18">
        <f>iferror(lookup(if(N33="",E33,N33),{0,1,10,100,1000,2500,5000,10000},{0.0,0.1,0.028,0.0115,0.00517,0.00448,0.00371,0.00294}),"")</f>
        <v>0</v>
      </c>
      <c r="P33" s="18">
        <f>iferror(if(N33="",E33,N33)*O33,"")</f>
        <v>0</v>
      </c>
      <c r="Q33" s="19" t="s">
        <v>167</v>
      </c>
      <c r="R33" s="20" t="s">
        <v>152</v>
      </c>
      <c r="T33" s="18">
        <f>iferror(USD_GBP*lookup(if(S33="",E33,S33),{0,1,50,1000,5000,15000},{0.0,0.047,0.047,0.016,0.01,0.006}),"")</f>
        <v>0</v>
      </c>
      <c r="U33" s="18">
        <f>iferror(if(S33="",E33,S33)*T33,"")</f>
        <v>0</v>
      </c>
      <c r="V33" s="19" t="s">
        <v>179</v>
      </c>
      <c r="AB33" s="17">
        <v>13658</v>
      </c>
      <c r="AD33" s="18">
        <f>iferror(lookup(if(AC33="",E33,AC33),{0,1,10,100,1000,2500,10000},{0.0,0.1,0.022,0.008,0.006,0.004,0.004}),"")</f>
        <v>0</v>
      </c>
      <c r="AE33" s="18">
        <f>iferror(if(AC33="",E33,AC33)*AD33,"")</f>
        <v>0</v>
      </c>
      <c r="AF33" s="19" t="s">
        <v>198</v>
      </c>
      <c r="AG33" s="20" t="s">
        <v>152</v>
      </c>
      <c r="AI33" s="18">
        <f>iferror(lookup(if(AH33="",E33,AH33),{0,1,25,100,250,500,1000,2500,5000,10000},{0.0,0.105,0.023,0.008,0.008,0.007,0.006,0.004,0.007,0.005}),"")</f>
        <v>0</v>
      </c>
      <c r="AJ33" s="18">
        <f>iferror(if(AH33="",E33,AH33)*AI33,"")</f>
        <v>0</v>
      </c>
      <c r="AK33" s="19" t="s">
        <v>212</v>
      </c>
    </row>
    <row r="34" spans="1:37">
      <c r="A34" s="17" t="s">
        <v>88</v>
      </c>
      <c r="B34" s="17" t="s">
        <v>89</v>
      </c>
      <c r="C34" s="17" t="s">
        <v>64</v>
      </c>
      <c r="D34" s="17" t="s">
        <v>79</v>
      </c>
      <c r="E34" s="17">
        <f>BoardQty*1</f>
        <v>0</v>
      </c>
      <c r="F34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34" s="18">
        <f>iferror(E34*F34,"")</f>
        <v>0</v>
      </c>
      <c r="M34" s="17">
        <v>1421</v>
      </c>
      <c r="O34" s="18">
        <f>iferror(lookup(if(N34="",E34,N34),{0,1,10,100,1000,2500,5000,10000},{0.0,0.1,0.062,0.0253,0.01137,0.00987,0.00815,0.00644}),"")</f>
        <v>0</v>
      </c>
      <c r="P34" s="18">
        <f>iferror(if(N34="",E34,N34)*O34,"")</f>
        <v>0</v>
      </c>
      <c r="Q34" s="19" t="s">
        <v>165</v>
      </c>
      <c r="R34" s="17">
        <v>20000</v>
      </c>
      <c r="T34" s="18">
        <f>iferror(USD_GBP*lookup(if(S34="",E34,S34),{0,1,10,100,150,500,2500,5000,10000,50000},{0.0,0.0621,0.0621,0.0251,0.0251,0.0099,0.0083,0.0065,0.0045,0.0043}),"")</f>
        <v>0</v>
      </c>
      <c r="U34" s="18">
        <f>iferror(if(S34="",E34,S34)*T34,"")</f>
        <v>0</v>
      </c>
      <c r="V34" s="19" t="s">
        <v>177</v>
      </c>
      <c r="AB34" s="17">
        <v>306358</v>
      </c>
      <c r="AD34" s="18">
        <f>iferror(lookup(if(AC34="",E34,AC34),{0,1,10,100,500,1000,2500},{0.0,0.1,0.059,0.049,0.022,0.01,0.008}),"")</f>
        <v>0</v>
      </c>
      <c r="AE34" s="18">
        <f>iferror(if(AC34="",E34,AC34)*AD34,"")</f>
        <v>0</v>
      </c>
      <c r="AF34" s="19" t="s">
        <v>196</v>
      </c>
      <c r="AG34" s="17">
        <v>20000</v>
      </c>
      <c r="AI34" s="18">
        <f>iferror(lookup(if(AH34="",E34,AH34),{0,1,25,100,250,500,1000,2500,5000,10000,20000},{0.0,0.006,0.006,0.006,0.006,0.006,0.006,0.006,0.008,0.008,0.006}),"")</f>
        <v>0</v>
      </c>
      <c r="AJ34" s="18">
        <f>iferror(if(AH34="",E34,AH34)*AI34,"")</f>
        <v>0</v>
      </c>
      <c r="AK34" s="19" t="s">
        <v>210</v>
      </c>
    </row>
    <row r="35" spans="1:37">
      <c r="A35" s="17" t="s">
        <v>90</v>
      </c>
      <c r="B35" s="17" t="s">
        <v>91</v>
      </c>
      <c r="C35" s="17" t="s">
        <v>92</v>
      </c>
      <c r="E35" s="17">
        <f>BoardQty*1</f>
        <v>0</v>
      </c>
      <c r="F35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35" s="18">
        <f>iferror(E35*F35,"")</f>
        <v>0</v>
      </c>
    </row>
    <row r="36" spans="1:37">
      <c r="A36" s="17" t="s">
        <v>93</v>
      </c>
      <c r="B36" s="17" t="s">
        <v>94</v>
      </c>
      <c r="C36" s="17" t="s">
        <v>92</v>
      </c>
      <c r="E36" s="17">
        <f>BoardQty*1</f>
        <v>0</v>
      </c>
      <c r="F36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36" s="18">
        <f>iferror(E36*F36,"")</f>
        <v>0</v>
      </c>
    </row>
    <row r="37" spans="1:37">
      <c r="A37" s="17" t="s">
        <v>95</v>
      </c>
      <c r="B37" s="17" t="s">
        <v>96</v>
      </c>
      <c r="C37" s="17" t="s">
        <v>92</v>
      </c>
      <c r="E37" s="17">
        <f>BoardQty*1</f>
        <v>0</v>
      </c>
      <c r="F37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37" s="18">
        <f>iferror(E37*F37,"")</f>
        <v>0</v>
      </c>
    </row>
    <row r="38" spans="1:37">
      <c r="A38" s="17" t="s">
        <v>97</v>
      </c>
      <c r="B38" s="17" t="s">
        <v>98</v>
      </c>
      <c r="C38" s="17" t="s">
        <v>92</v>
      </c>
      <c r="E38" s="17">
        <f>BoardQty*1</f>
        <v>0</v>
      </c>
      <c r="F38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38" s="18">
        <f>iferror(E38*F38,"")</f>
        <v>0</v>
      </c>
    </row>
    <row r="39" spans="1:37">
      <c r="A39" s="17" t="s">
        <v>99</v>
      </c>
      <c r="B39" s="17" t="s">
        <v>100</v>
      </c>
      <c r="C39" s="17" t="s">
        <v>92</v>
      </c>
      <c r="E39" s="17">
        <f>BoardQty*1</f>
        <v>0</v>
      </c>
      <c r="F39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39" s="18">
        <f>iferror(E39*F39,"")</f>
        <v>0</v>
      </c>
    </row>
    <row r="40" spans="1:37">
      <c r="A40" s="17" t="s">
        <v>101</v>
      </c>
      <c r="B40" s="17" t="s">
        <v>102</v>
      </c>
      <c r="C40" s="17" t="s">
        <v>92</v>
      </c>
      <c r="E40" s="17">
        <f>BoardQty*1</f>
        <v>0</v>
      </c>
      <c r="F40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40" s="18">
        <f>iferror(E40*F40,"")</f>
        <v>0</v>
      </c>
    </row>
    <row r="41" spans="1:37">
      <c r="A41" s="17" t="s">
        <v>103</v>
      </c>
      <c r="B41" s="17" t="s">
        <v>104</v>
      </c>
      <c r="C41" s="17" t="s">
        <v>92</v>
      </c>
      <c r="E41" s="17">
        <f>BoardQty*1</f>
        <v>0</v>
      </c>
      <c r="F41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41" s="18">
        <f>iferror(E41*F41,"")</f>
        <v>0</v>
      </c>
    </row>
    <row r="42" spans="1:37">
      <c r="A42" s="17" t="s">
        <v>105</v>
      </c>
      <c r="B42" s="17" t="s">
        <v>106</v>
      </c>
      <c r="C42" s="17" t="s">
        <v>92</v>
      </c>
      <c r="E42" s="17">
        <f>BoardQty*1</f>
        <v>0</v>
      </c>
      <c r="F42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42" s="18">
        <f>iferror(E42*F42,"")</f>
        <v>0</v>
      </c>
    </row>
    <row r="43" spans="1:37">
      <c r="A43" s="17" t="s">
        <v>107</v>
      </c>
      <c r="B43" s="17" t="s">
        <v>108</v>
      </c>
      <c r="C43" s="17" t="s">
        <v>92</v>
      </c>
      <c r="E43" s="17">
        <f>BoardQty*2</f>
        <v>0</v>
      </c>
      <c r="F43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43" s="18">
        <f>iferror(E43*F43,"")</f>
        <v>0</v>
      </c>
    </row>
    <row r="44" spans="1:37">
      <c r="A44" s="17" t="s">
        <v>109</v>
      </c>
      <c r="B44" s="17" t="s">
        <v>110</v>
      </c>
      <c r="C44" s="17" t="s">
        <v>92</v>
      </c>
      <c r="E44" s="17">
        <f>BoardQty*1</f>
        <v>0</v>
      </c>
      <c r="F44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44" s="18">
        <f>iferror(E44*F44,"")</f>
        <v>0</v>
      </c>
    </row>
    <row r="45" spans="1:37">
      <c r="A45" s="17" t="s">
        <v>111</v>
      </c>
      <c r="B45" s="17" t="s">
        <v>112</v>
      </c>
      <c r="C45" s="17" t="s">
        <v>92</v>
      </c>
      <c r="E45" s="17">
        <f>BoardQty*1</f>
        <v>0</v>
      </c>
      <c r="F45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45" s="18">
        <f>iferror(E45*F45,"")</f>
        <v>0</v>
      </c>
    </row>
    <row r="46" spans="1:37">
      <c r="A46" s="17" t="s">
        <v>113</v>
      </c>
      <c r="B46" s="17" t="s">
        <v>114</v>
      </c>
      <c r="C46" s="17" t="s">
        <v>92</v>
      </c>
      <c r="E46" s="17">
        <f>BoardQty*1</f>
        <v>0</v>
      </c>
      <c r="F46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46" s="18">
        <f>iferror(E46*F46,"")</f>
        <v>0</v>
      </c>
    </row>
    <row r="47" spans="1:37">
      <c r="A47" s="17" t="s">
        <v>115</v>
      </c>
      <c r="B47" s="17" t="s">
        <v>116</v>
      </c>
      <c r="C47" s="17" t="s">
        <v>92</v>
      </c>
      <c r="E47" s="17">
        <f>BoardQty*1</f>
        <v>0</v>
      </c>
      <c r="F47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47" s="18">
        <f>iferror(E47*F47,"")</f>
        <v>0</v>
      </c>
    </row>
    <row r="48" spans="1:37">
      <c r="A48" s="17" t="s">
        <v>117</v>
      </c>
      <c r="B48" s="17" t="s">
        <v>118</v>
      </c>
      <c r="C48" s="17" t="s">
        <v>119</v>
      </c>
      <c r="D48" s="17" t="s">
        <v>120</v>
      </c>
      <c r="E48" s="17">
        <f>BoardQty*1</f>
        <v>0</v>
      </c>
      <c r="F48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48" s="18">
        <f>iferror(E48*F48,"")</f>
        <v>0</v>
      </c>
      <c r="M48" s="17">
        <v>19790</v>
      </c>
      <c r="O48" s="18">
        <f>iferror(lookup(if(N48="",E48,N48),{0,1,10,25,100,250,500,1000,3000,6000},{0.0,1.95,1.749,1.65,1.32,1.155,1.122,0.891,0.858,0.825}),"")</f>
        <v>0</v>
      </c>
      <c r="P48" s="18">
        <f>iferror(if(N48="",E48,N48)*O48,"")</f>
        <v>0</v>
      </c>
      <c r="Q48" s="19" t="s">
        <v>168</v>
      </c>
      <c r="W48" s="17">
        <v>3</v>
      </c>
      <c r="Y48" s="18">
        <f>iferror(lookup(if(X48="",E48,X48),{0,1,10,30,100,500},{0.0,2.21455,2.15568,2.11591,2.07614,2.07614}),"")</f>
        <v>0</v>
      </c>
      <c r="Z48" s="18">
        <f>iferror(if(X48="",E48,X48)*Y48,"")</f>
        <v>0</v>
      </c>
      <c r="AA48" s="19" t="s">
        <v>182</v>
      </c>
      <c r="AB48" s="17">
        <v>6014</v>
      </c>
      <c r="AD48" s="18">
        <f>iferror(lookup(if(AC48="",E48,AC48),{0,1,10,100,250,500,1000},{0.0,1.95,1.65,1.32,1.16,1.13,0.891}),"")</f>
        <v>0</v>
      </c>
      <c r="AE48" s="18">
        <f>iferror(if(AC48="",E48,AC48)*AD48,"")</f>
        <v>0</v>
      </c>
      <c r="AF48" s="19" t="s">
        <v>199</v>
      </c>
    </row>
    <row r="49" spans="1:46">
      <c r="A49" s="17" t="s">
        <v>121</v>
      </c>
      <c r="B49" s="17" t="s">
        <v>122</v>
      </c>
      <c r="C49" s="17" t="s">
        <v>123</v>
      </c>
      <c r="D49" s="17" t="s">
        <v>124</v>
      </c>
      <c r="E49" s="17">
        <f>BoardQty*1</f>
        <v>0</v>
      </c>
      <c r="F49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49" s="18">
        <f>iferror(E49*F49,"")</f>
        <v>0</v>
      </c>
    </row>
    <row r="50" spans="1:46">
      <c r="A50" s="17" t="s">
        <v>125</v>
      </c>
      <c r="B50" s="17" t="s">
        <v>126</v>
      </c>
      <c r="C50" s="17" t="s">
        <v>127</v>
      </c>
      <c r="D50" s="17" t="s">
        <v>126</v>
      </c>
      <c r="E50" s="17">
        <f>BoardQty*1</f>
        <v>0</v>
      </c>
      <c r="F50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50" s="18">
        <f>iferror(E50*F50,"")</f>
        <v>0</v>
      </c>
    </row>
    <row r="51" spans="1:46">
      <c r="A51" s="17" t="s">
        <v>128</v>
      </c>
      <c r="B51" s="17" t="s">
        <v>129</v>
      </c>
      <c r="C51" s="17" t="s">
        <v>47</v>
      </c>
      <c r="D51" s="17" t="s">
        <v>130</v>
      </c>
      <c r="E51" s="17">
        <f>BoardQty*1</f>
        <v>0</v>
      </c>
      <c r="F51" s="18">
        <f>MINA(INDIRECT(ADDRESS(ROW(),COLUMN(arrow_part_data)+2)),INDIRECT(ADDRESS(ROW(),COLUMN(digikey_part_data)+2)),INDIRECT(ADDRESS(ROW(),COLUMN(mouser_part_data)+2)),INDIRECT(ADDRESS(ROW(),COLUMN(farnell_part_data)+2)),INDIRECT(ADDRESS(ROW(),COLUMN(newark_part_data)+2)),INDIRECT(ADDRESS(ROW(),COLUMN(rs_part_data)+2)),INDIRECT(ADDRESS(ROW(),COLUMN(tme_part_data)+2)),INDIRECT(ADDRESS(ROW(),COLUMN(lcsc_part_data)+2)))</f>
        <v>0</v>
      </c>
      <c r="G51" s="18">
        <f>iferror(E51*F51,"")</f>
        <v>0</v>
      </c>
      <c r="M51" s="17">
        <v>5424</v>
      </c>
      <c r="O51" s="18">
        <f>iferror(lookup(if(N51="",E51,N51),{0,1,10,50,100,250,500,750,1250,2500,6250,12500},{0.0,0.59,0.495,0.4456,0.396,0.37236,0.35372,0.3258,0.29787,0.27926,0.26995,0.26064}),"")</f>
        <v>0</v>
      </c>
      <c r="P51" s="18">
        <f>iferror(if(N51="",E51,N51)*O51,"")</f>
        <v>0</v>
      </c>
      <c r="Q51" s="19" t="s">
        <v>169</v>
      </c>
      <c r="AB51" s="17">
        <v>817</v>
      </c>
      <c r="AD51" s="18">
        <f>iferror(lookup(if(AC51="",E51,AC51),{0,1,10,50,100,500,1000},{0.0,0.55,0.45,0.406,0.36,0.316,0.288}),"")</f>
        <v>0</v>
      </c>
      <c r="AE51" s="18">
        <f>iferror(if(AC51="",E51,AC51)*AD51,"")</f>
        <v>0</v>
      </c>
      <c r="AF51" s="19" t="s">
        <v>200</v>
      </c>
    </row>
    <row r="53" spans="1:46">
      <c r="B53" s="21" t="s">
        <v>133</v>
      </c>
      <c r="F53" s="1" t="s">
        <v>131</v>
      </c>
      <c r="G53" s="5">
        <f>SUM(INDIRECT(ADDRESS(ROW(),COLUMN(arrow_part_data)+3)),INDIRECT(ADDRESS(ROW(),COLUMN(digikey_part_data)+3)),INDIRECT(ADDRESS(ROW(),COLUMN(mouser_part_data)+3)),INDIRECT(ADDRESS(ROW(),COLUMN(farnell_part_data)+3)),INDIRECT(ADDRESS(ROW(),COLUMN(newark_part_data)+3)),INDIRECT(ADDRESS(ROW(),COLUMN(rs_part_data)+3)),INDIRECT(ADDRESS(ROW(),COLUMN(tme_part_data)+3)),INDIRECT(ADDRESS(ROW(),COLUMN(lcsc_part_data)+3)))</f>
        <v>0</v>
      </c>
      <c r="I53" s="6">
        <f>IFERROR(IF(OR(I7:I51),COUNTIFS(I7:I51,"&gt;0",K7:K51,"&lt;&gt;")&amp;" of "&amp;(ROWS(K7:K51)-COUNTBLANK(K7:K51))&amp;" parts purchased",""),"")</f>
        <v>0</v>
      </c>
      <c r="K53" s="5">
        <f>SUMIF(I7:I51,"&gt;0",K7:K51)</f>
        <v>0</v>
      </c>
      <c r="N53" s="6">
        <f>IFERROR(IF(OR(N7:N51),COUNTIFS(N7:N51,"&gt;0",P7:P51,"&lt;&gt;")&amp;" of "&amp;(ROWS(P7:P51)-COUNTBLANK(P7:P51))&amp;" parts purchased",""),"")</f>
        <v>0</v>
      </c>
      <c r="P53" s="5">
        <f>SUMIF(N7:N51,"&gt;0",P7:P51)</f>
        <v>0</v>
      </c>
      <c r="S53" s="6">
        <f>IFERROR(IF(OR(S7:S51),COUNTIFS(S7:S51,"&gt;0",U7:U51,"&lt;&gt;")&amp;" of "&amp;(ROWS(U7:U51)-COUNTBLANK(U7:U51))&amp;" parts purchased",""),"")</f>
        <v>0</v>
      </c>
      <c r="U53" s="5">
        <f>SUMIF(S7:S51,"&gt;0",U7:U51)</f>
        <v>0</v>
      </c>
      <c r="X53" s="6">
        <f>IFERROR(IF(OR(X7:X51),COUNTIFS(X7:X51,"&gt;0",Z7:Z51,"&lt;&gt;")&amp;" of "&amp;(ROWS(Z7:Z51)-COUNTBLANK(Z7:Z51))&amp;" parts purchased",""),"")</f>
        <v>0</v>
      </c>
      <c r="Z53" s="5">
        <f>SUMIF(X7:X51,"&gt;0",Z7:Z51)</f>
        <v>0</v>
      </c>
      <c r="AC53" s="6">
        <f>IFERROR(IF(OR(AC7:AC51),COUNTIFS(AC7:AC51,"&gt;0",AE7:AE51,"&lt;&gt;")&amp;" of "&amp;(ROWS(AE7:AE51)-COUNTBLANK(AE7:AE51))&amp;" parts purchased",""),"")</f>
        <v>0</v>
      </c>
      <c r="AE53" s="5">
        <f>SUMIF(AC7:AC51,"&gt;0",AE7:AE51)</f>
        <v>0</v>
      </c>
      <c r="AH53" s="6">
        <f>IFERROR(IF(OR(AH7:AH51),COUNTIFS(AH7:AH51,"&gt;0",AJ7:AJ51,"&lt;&gt;")&amp;" of "&amp;(ROWS(AJ7:AJ51)-COUNTBLANK(AJ7:AJ51))&amp;" parts purchased",""),"")</f>
        <v>0</v>
      </c>
      <c r="AJ53" s="5">
        <f>SUMIF(AH7:AH51,"&gt;0",AJ7:AJ51)</f>
        <v>0</v>
      </c>
      <c r="AM53" s="6">
        <f>IFERROR(IF(OR(AM7:AM51),COUNTIFS(AM7:AM51,"&gt;0",AO7:AO51,"&lt;&gt;")&amp;" of "&amp;(ROWS(AO7:AO51)-COUNTBLANK(AO7:AO51))&amp;" parts purchased",""),"")</f>
        <v>0</v>
      </c>
      <c r="AO53" s="5">
        <f>SUMIF(AM7:AM51,"&gt;0",AO7:AO51)</f>
        <v>0</v>
      </c>
      <c r="AR53" s="6">
        <f>IFERROR(IF(OR(AR7:AR51),COUNTIFS(AR7:AR51,"&gt;0",AT7:AT51,"&lt;&gt;")&amp;" of "&amp;(ROWS(AT7:AT51)-COUNTBLANK(AT7:AT51))&amp;" parts purchased",""),"")</f>
        <v>0</v>
      </c>
      <c r="AT53" s="5">
        <f>SUMIF(AR7:AR51,"&gt;0",AT7:AT51)</f>
        <v>0</v>
      </c>
    </row>
    <row r="54" spans="1:46">
      <c r="B54" s="21" t="s">
        <v>134</v>
      </c>
      <c r="C54">
        <v>1.293378038558257</v>
      </c>
      <c r="F54" s="21" t="s">
        <v>132</v>
      </c>
      <c r="I54">
        <f t="array" ref="I54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54">
        <f t="array" ref="N54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54">
        <f t="array" ref="S54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54" s="6">
        <f>IFERROR(IF(COUNTIFS(X7:X51,"&gt;0",Z7:Z51,"&lt;&gt;")&gt;0,"Quantity,Comment,Designator,Footprint,LCSC Part #(optional)",""),"")</f>
        <v>0</v>
      </c>
      <c r="AC54">
        <f t="array" ref="AC54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54">
        <f t="array" ref="AH54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54">
        <f t="array" ref="AM54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54">
        <f t="array" ref="AR54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55" spans="1:46">
      <c r="I55">
        <f t="array" ref="I55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55">
        <f t="array" ref="N55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55">
        <f t="array" ref="S55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55">
        <f t="array" ref="X55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55">
        <f t="array" ref="AC55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55">
        <f t="array" ref="AH55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55">
        <f t="array" ref="AM55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55">
        <f t="array" ref="AR55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56" spans="1:46">
      <c r="A56" s="2" t="s">
        <v>221</v>
      </c>
      <c r="I56">
        <f t="array" ref="I56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56">
        <f t="array" ref="N56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56">
        <f t="array" ref="S56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56">
        <f t="array" ref="X56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56">
        <f t="array" ref="AC56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56">
        <f t="array" ref="AH56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56">
        <f t="array" ref="AM56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56">
        <f t="array" ref="AR56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57" spans="1:46">
      <c r="I57">
        <f t="array" ref="I57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57">
        <f t="array" ref="N57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57">
        <f t="array" ref="S57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57">
        <f t="array" ref="X57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57">
        <f t="array" ref="AC57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57">
        <f t="array" ref="AH57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57">
        <f t="array" ref="AM57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57">
        <f t="array" ref="AR57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58" spans="1:46">
      <c r="I58">
        <f t="array" ref="I58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58">
        <f t="array" ref="N58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58">
        <f t="array" ref="S58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58">
        <f t="array" ref="X58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58">
        <f t="array" ref="AC58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58">
        <f t="array" ref="AH58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58">
        <f t="array" ref="AM58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58">
        <f t="array" ref="AR58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59" spans="1:46">
      <c r="I59">
        <f t="array" ref="I59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59">
        <f t="array" ref="N59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59">
        <f t="array" ref="S59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59">
        <f t="array" ref="X59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59">
        <f t="array" ref="AC59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59">
        <f t="array" ref="AH59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59">
        <f t="array" ref="AM59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59">
        <f t="array" ref="AR59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60" spans="1:46">
      <c r="I60">
        <f t="array" ref="I60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60">
        <f t="array" ref="N60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60">
        <f t="array" ref="S60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60">
        <f t="array" ref="X60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60">
        <f t="array" ref="AC60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60">
        <f t="array" ref="AH60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60">
        <f t="array" ref="AM60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60">
        <f t="array" ref="AR60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61" spans="1:46">
      <c r="I61">
        <f t="array" ref="I61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61">
        <f t="array" ref="N61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61">
        <f t="array" ref="S61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61">
        <f t="array" ref="X61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61">
        <f t="array" ref="AC61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61">
        <f t="array" ref="AH61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61">
        <f t="array" ref="AM61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61">
        <f t="array" ref="AR61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62" spans="1:46">
      <c r="I62">
        <f t="array" ref="I62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62">
        <f t="array" ref="N62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62">
        <f t="array" ref="S62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62">
        <f t="array" ref="X62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62">
        <f t="array" ref="AC62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62">
        <f t="array" ref="AH62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62">
        <f t="array" ref="AM62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62">
        <f t="array" ref="AR62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63" spans="1:46">
      <c r="I63">
        <f t="array" ref="I63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63">
        <f t="array" ref="N63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63">
        <f t="array" ref="S63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63">
        <f t="array" ref="X63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63">
        <f t="array" ref="AC63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63">
        <f t="array" ref="AH63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63">
        <f t="array" ref="AM63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63">
        <f t="array" ref="AR63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64" spans="1:46">
      <c r="I64">
        <f t="array" ref="I64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64">
        <f t="array" ref="N64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64">
        <f t="array" ref="S64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64">
        <f t="array" ref="X64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64">
        <f t="array" ref="AC64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64">
        <f t="array" ref="AH64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64">
        <f t="array" ref="AM64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64">
        <f t="array" ref="AR64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65" spans="9:44">
      <c r="I65">
        <f t="array" ref="I65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65">
        <f t="array" ref="N65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65">
        <f t="array" ref="S65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65">
        <f t="array" ref="X65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65">
        <f t="array" ref="AC65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65">
        <f t="array" ref="AH65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65">
        <f t="array" ref="AM65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65">
        <f t="array" ref="AR65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66" spans="9:44">
      <c r="I66">
        <f t="array" ref="I66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66">
        <f t="array" ref="N66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66">
        <f t="array" ref="S66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66">
        <f t="array" ref="X66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66">
        <f t="array" ref="AC66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66">
        <f t="array" ref="AH66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66">
        <f t="array" ref="AM66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66">
        <f t="array" ref="AR66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67" spans="9:44">
      <c r="I67">
        <f t="array" ref="I67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67">
        <f t="array" ref="N67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67">
        <f t="array" ref="S67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67">
        <f t="array" ref="X67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67">
        <f t="array" ref="AC67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67">
        <f t="array" ref="AH67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67">
        <f t="array" ref="AM67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67">
        <f t="array" ref="AR67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68" spans="9:44">
      <c r="I68">
        <f t="array" ref="I68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68">
        <f t="array" ref="N68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68">
        <f t="array" ref="S68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68">
        <f t="array" ref="X68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68">
        <f t="array" ref="AC68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68">
        <f t="array" ref="AH68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68">
        <f t="array" ref="AM68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68">
        <f t="array" ref="AR68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69" spans="9:44">
      <c r="I69">
        <f t="array" ref="I69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69">
        <f t="array" ref="N69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69">
        <f t="array" ref="S69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69">
        <f t="array" ref="X69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69">
        <f t="array" ref="AC69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69">
        <f t="array" ref="AH69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69">
        <f t="array" ref="AM69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69">
        <f t="array" ref="AR69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70" spans="9:44">
      <c r="I70">
        <f t="array" ref="I70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70">
        <f t="array" ref="N70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70">
        <f t="array" ref="S70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70">
        <f t="array" ref="X70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70">
        <f t="array" ref="AC70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70">
        <f t="array" ref="AH70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70">
        <f t="array" ref="AM70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70">
        <f t="array" ref="AR70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71" spans="9:44">
      <c r="I71">
        <f t="array" ref="I71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71">
        <f t="array" ref="N71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71">
        <f t="array" ref="S71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71">
        <f t="array" ref="X71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71">
        <f t="array" ref="AC71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71">
        <f t="array" ref="AH71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71">
        <f t="array" ref="AM71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71">
        <f t="array" ref="AR71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72" spans="9:44">
      <c r="I72">
        <f t="array" ref="I72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72">
        <f t="array" ref="N72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72">
        <f t="array" ref="S72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72">
        <f t="array" ref="X72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72">
        <f t="array" ref="AC72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72">
        <f t="array" ref="AH72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72">
        <f t="array" ref="AM72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72">
        <f t="array" ref="AR72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73" spans="9:44">
      <c r="I73">
        <f t="array" ref="I73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73">
        <f t="array" ref="N73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73">
        <f t="array" ref="S73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73">
        <f t="array" ref="X73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73">
        <f t="array" ref="AC73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73">
        <f t="array" ref="AH73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73">
        <f t="array" ref="AM73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73">
        <f t="array" ref="AR73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74" spans="9:44">
      <c r="I74">
        <f t="array" ref="I74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74">
        <f t="array" ref="N74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74">
        <f t="array" ref="S74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74">
        <f t="array" ref="X74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74">
        <f t="array" ref="AC74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74">
        <f t="array" ref="AH74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74">
        <f t="array" ref="AM74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74">
        <f t="array" ref="AR74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75" spans="9:44">
      <c r="I75">
        <f t="array" ref="I75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75">
        <f t="array" ref="N75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75">
        <f t="array" ref="S75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75">
        <f t="array" ref="X75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75">
        <f t="array" ref="AC75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75">
        <f t="array" ref="AH75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75">
        <f t="array" ref="AM75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75">
        <f t="array" ref="AR75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76" spans="9:44">
      <c r="I76">
        <f t="array" ref="I76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76">
        <f t="array" ref="N76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76">
        <f t="array" ref="S76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76">
        <f t="array" ref="X76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76">
        <f t="array" ref="AC76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76">
        <f t="array" ref="AH76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76">
        <f t="array" ref="AM76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76">
        <f t="array" ref="AR76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77" spans="9:44">
      <c r="I77">
        <f t="array" ref="I77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77">
        <f t="array" ref="N77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77">
        <f t="array" ref="S77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77">
        <f t="array" ref="X77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77">
        <f t="array" ref="AC77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77">
        <f t="array" ref="AH77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77">
        <f t="array" ref="AM77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77">
        <f t="array" ref="AR77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78" spans="9:44">
      <c r="I78">
        <f t="array" ref="I78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78">
        <f t="array" ref="N78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78">
        <f t="array" ref="S78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78">
        <f t="array" ref="X78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78">
        <f t="array" ref="AC78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78">
        <f t="array" ref="AH78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78">
        <f t="array" ref="AM78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78">
        <f t="array" ref="AR78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79" spans="9:44">
      <c r="I79">
        <f t="array" ref="I79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79">
        <f t="array" ref="N79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79">
        <f t="array" ref="S79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79">
        <f t="array" ref="X79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79">
        <f t="array" ref="AC79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79">
        <f t="array" ref="AH79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79">
        <f t="array" ref="AM79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79">
        <f t="array" ref="AR79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80" spans="9:44">
      <c r="I80">
        <f t="array" ref="I80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80">
        <f t="array" ref="N80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80">
        <f t="array" ref="S80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80">
        <f t="array" ref="X80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80">
        <f t="array" ref="AC80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80">
        <f t="array" ref="AH80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80">
        <f t="array" ref="AM80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80">
        <f t="array" ref="AR80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81" spans="9:44">
      <c r="I81">
        <f t="array" ref="I81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81">
        <f t="array" ref="N81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81">
        <f t="array" ref="S81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81">
        <f t="array" ref="X81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81">
        <f t="array" ref="AC81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81">
        <f t="array" ref="AH81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81">
        <f t="array" ref="AM81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81">
        <f t="array" ref="AR81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82" spans="9:44">
      <c r="I82">
        <f t="array" ref="I82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82">
        <f t="array" ref="N82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82">
        <f t="array" ref="S82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82">
        <f t="array" ref="X82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82">
        <f t="array" ref="AC82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82">
        <f t="array" ref="AH82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82">
        <f t="array" ref="AM82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82">
        <f t="array" ref="AR82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83" spans="9:44">
      <c r="I83">
        <f t="array" ref="I83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83">
        <f t="array" ref="N83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83">
        <f t="array" ref="S83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83">
        <f t="array" ref="X83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83">
        <f t="array" ref="AC83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83">
        <f t="array" ref="AH83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83">
        <f t="array" ref="AM83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83">
        <f t="array" ref="AR83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84" spans="9:44">
      <c r="I84">
        <f t="array" ref="I84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84">
        <f t="array" ref="N84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84">
        <f t="array" ref="S84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84">
        <f t="array" ref="X84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84">
        <f t="array" ref="AC84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84">
        <f t="array" ref="AH84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84">
        <f t="array" ref="AM84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84">
        <f t="array" ref="AR84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85" spans="9:44">
      <c r="I85">
        <f t="array" ref="I85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85">
        <f t="array" ref="N85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85">
        <f t="array" ref="S85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85">
        <f t="array" ref="X85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85">
        <f t="array" ref="AC85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85">
        <f t="array" ref="AH85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85">
        <f t="array" ref="AM85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85">
        <f t="array" ref="AR85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86" spans="9:44">
      <c r="I86">
        <f t="array" ref="I86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86">
        <f t="array" ref="N86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86">
        <f t="array" ref="S86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86">
        <f t="array" ref="X86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86">
        <f t="array" ref="AC86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86">
        <f t="array" ref="AH86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86">
        <f t="array" ref="AM86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86">
        <f t="array" ref="AR86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87" spans="9:44">
      <c r="I87">
        <f t="array" ref="I87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87">
        <f t="array" ref="N87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87">
        <f t="array" ref="S87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87">
        <f t="array" ref="X87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87">
        <f t="array" ref="AC87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87">
        <f t="array" ref="AH87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87">
        <f t="array" ref="AM87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87">
        <f t="array" ref="AR87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88" spans="9:44">
      <c r="I88">
        <f t="array" ref="I88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88">
        <f t="array" ref="N88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88">
        <f t="array" ref="S88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88">
        <f t="array" ref="X88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88">
        <f t="array" ref="AC88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88">
        <f t="array" ref="AH88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88">
        <f t="array" ref="AM88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88">
        <f t="array" ref="AR88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89" spans="9:44">
      <c r="I89">
        <f t="array" ref="I89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89">
        <f t="array" ref="N89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89">
        <f t="array" ref="S89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89">
        <f t="array" ref="X89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89">
        <f t="array" ref="AC89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89">
        <f t="array" ref="AH89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89">
        <f t="array" ref="AM89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89">
        <f t="array" ref="AR89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90" spans="9:44">
      <c r="I90">
        <f t="array" ref="I90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90">
        <f t="array" ref="N90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90">
        <f t="array" ref="S90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90">
        <f t="array" ref="X90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90">
        <f t="array" ref="AC90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90">
        <f t="array" ref="AH90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90">
        <f t="array" ref="AM90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90">
        <f t="array" ref="AR90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91" spans="9:44">
      <c r="I91">
        <f t="array" ref="I91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91">
        <f t="array" ref="N91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91">
        <f t="array" ref="S91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91">
        <f t="array" ref="X91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91">
        <f t="array" ref="AC91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91">
        <f t="array" ref="AH91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91">
        <f t="array" ref="AM91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91">
        <f t="array" ref="AR91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92" spans="9:44">
      <c r="I92">
        <f t="array" ref="I92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92">
        <f t="array" ref="N92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92">
        <f t="array" ref="S92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92">
        <f t="array" ref="X92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92">
        <f t="array" ref="AC92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92">
        <f t="array" ref="AH92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92">
        <f t="array" ref="AM92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92">
        <f t="array" ref="AR92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93" spans="9:44">
      <c r="I93">
        <f t="array" ref="I93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93">
        <f t="array" ref="N93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93">
        <f t="array" ref="S93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93">
        <f t="array" ref="X93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93">
        <f t="array" ref="AC93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93">
        <f t="array" ref="AH93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93">
        <f t="array" ref="AM93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93">
        <f t="array" ref="AR93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94" spans="9:44">
      <c r="I94">
        <f t="array" ref="I94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94">
        <f t="array" ref="N94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94">
        <f t="array" ref="S94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94">
        <f t="array" ref="X94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94">
        <f t="array" ref="AC94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94">
        <f t="array" ref="AH94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94">
        <f t="array" ref="AM94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94">
        <f t="array" ref="AR94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95" spans="9:44">
      <c r="I95">
        <f t="array" ref="I95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95">
        <f t="array" ref="N95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95">
        <f t="array" ref="S95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95">
        <f t="array" ref="X95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95">
        <f t="array" ref="AC95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95">
        <f t="array" ref="AH95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95">
        <f t="array" ref="AM95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95">
        <f t="array" ref="AR95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96" spans="9:44">
      <c r="I96">
        <f t="array" ref="I96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96">
        <f t="array" ref="N96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96">
        <f t="array" ref="S96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96">
        <f t="array" ref="X96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96">
        <f t="array" ref="AC96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96">
        <f t="array" ref="AH96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96">
        <f t="array" ref="AM96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96">
        <f t="array" ref="AR96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97" spans="9:44">
      <c r="I97">
        <f t="array" ref="I97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97">
        <f t="array" ref="N97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97">
        <f t="array" ref="S97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97">
        <f t="array" ref="X97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97">
        <f t="array" ref="AC97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97">
        <f t="array" ref="AH97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97">
        <f t="array" ref="AM97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97">
        <f t="array" ref="AR97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98" spans="9:44">
      <c r="I98">
        <f t="array" ref="I98">IFERROR(CONCATENATE(INDEX(L7:L51,SMALL(IF(ISNUMBER(I7:I51),IF(I7:I51&gt;0,IF(L7:L51&lt;&gt;"",ROW(I7:I51)-MIN(ROW(I7:I51))+1))),ROW()-ROW(A$54)+1)),",",TEXT(INDEX(I7:I51,SMALL(IF(ISNUMBER(I7:I51),IF(I7:I51&gt;0,IF(L7:L51&lt;&gt;"",ROW(I7:I51)-MIN(ROW(I7:I51))+1))),ROW()-ROW(A$54)+1)),"##0"),",",SUBSTITUTE(INDEX(IF(PURCHASE_DESCRIPTION&lt;&gt;"",PURCHASE_DESCRIPTION&amp;":","")&amp;A7:A51,SMALL(IF(ISNUMBER(I7:I51),IF(I7:I51&gt;0,IF(L7:L51&lt;&gt;"",ROW(I7:I51)-MIN(ROW(I7:I51))+1))),ROW()-ROW(A$54)+1)),",",";")),"")</f>
        <v>0</v>
      </c>
      <c r="N98">
        <f t="array" ref="N98">IFERROR(CONCATENATE(TEXT(INDEX(N7:N51,SMALL(IF(ISNUMBER(N7:N51),IF(N7:N51&gt;0,IF(Q7:Q51&lt;&gt;"",ROW(N7:N51)-MIN(ROW(N7:N51))+1))),ROW()-ROW(A$54)+1)),"##0"),",",INDEX(Q7:Q51,SMALL(IF(ISNUMBER(N7:N51),IF(N7:N51&gt;0,IF(Q7:Q51&lt;&gt;"",ROW(N7:N51)-MIN(ROW(N7:N51))+1))),ROW()-ROW(A$54)+1)),",",SUBSTITUTE(INDEX(IF(PURCHASE_DESCRIPTION&lt;&gt;"",PURCHASE_DESCRIPTION&amp;":","")&amp;A7:A51,SMALL(IF(ISNUMBER(N7:N51),IF(N7:N51&gt;0,IF(Q7:Q51&lt;&gt;"",ROW(N7:N51)-MIN(ROW(N7:N51))+1))),ROW()-ROW(A$54)+1)),",",";")),"")</f>
        <v>0</v>
      </c>
      <c r="S98">
        <f t="array" ref="S98">IFERROR(CONCATENATE(INDEX(V7:V51,SMALL(IF(ISNUMBER(S7:S51),IF(S7:S51&gt;0,IF(V7:V51&lt;&gt;"",ROW(S7:S51)-MIN(ROW(S7:S51))+1))),ROW()-ROW(A$54)+1))," ",TEXT(INDEX(S7:S51,SMALL(IF(ISNUMBER(S7:S51),IF(S7:S51&gt;0,IF(V7:V51&lt;&gt;"",ROW(S7:S51)-MIN(ROW(S7:S51))+1))),ROW()-ROW(A$54)+1)),"##0")," ",SUBSTITUTE(INDEX(IF(PURCHASE_DESCRIPTION&lt;&gt;"",PURCHASE_DESCRIPTION&amp;":","")&amp;A7:A51,SMALL(IF(ISNUMBER(S7:S51),IF(S7:S51&gt;0,IF(V7:V51&lt;&gt;"",ROW(S7:S51)-MIN(ROW(S7:S51))+1))),ROW()-ROW(A$54)+1))," ",";")),"")</f>
        <v>0</v>
      </c>
      <c r="X98">
        <f t="array" ref="X98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  <c r="AC98">
        <f t="array" ref="AC98">IFERROR(CONCATENATE(INDEX(AF7:AF51,SMALL(IF(ISNUMBER(AC7:AC51),IF(AC7:AC51&gt;0,IF(AF7:AF51&lt;&gt;"",ROW(AC7:AC51)-MIN(ROW(AC7:AC51))+1))),ROW()-ROW(A$54)+1)),"|",TEXT(INDEX(AC7:AC51,SMALL(IF(ISNUMBER(AC7:AC51),IF(AC7:AC51&gt;0,IF(AF7:AF51&lt;&gt;"",ROW(AC7:AC51)-MIN(ROW(AC7:AC51))+1))),ROW()-ROW(A$54)+1)),"##0"),"|",SUBSTITUTE(SUBSTITUTE(INDEX(IF(PURCHASE_DESCRIPTION&lt;&gt;"",PURCHASE_DESCRIPTION&amp;":","")&amp;A7:A51,SMALL(IF(ISNUMBER(AC7:AC51),IF(AC7:AC51&gt;0,IF(AF7:AF51&lt;&gt;"",ROW(AC7:AC51)-MIN(ROW(AC7:AC51))+1))),ROW()-ROW(A$54)+1)),"|",";")," ","_")),"")</f>
        <v>0</v>
      </c>
      <c r="AH98">
        <f t="array" ref="AH98">IFERROR(CONCATENATE(INDEX(AK7:AK51,SMALL(IF(ISNUMBER(AH7:AH51),IF(AH7:AH51&gt;0,IF(AK7:AK51&lt;&gt;"",ROW(AH7:AH51)-MIN(ROW(AH7:AH51))+1))),ROW()-ROW(A$54)+1)),",",TEXT(INDEX(AH7:AH51,SMALL(IF(ISNUMBER(AH7:AH51),IF(AH7:AH51&gt;0,IF(AK7:AK51&lt;&gt;"",ROW(AH7:AH51)-MIN(ROW(AH7:AH51))+1))),ROW()-ROW(A$54)+1)),"##0"),",",SUBSTITUTE(INDEX(IF(PURCHASE_DESCRIPTION&lt;&gt;"",PURCHASE_DESCRIPTION&amp;":","")&amp;A7:A51,SMALL(IF(ISNUMBER(AH7:AH51),IF(AH7:AH51&gt;0,IF(AK7:AK51&lt;&gt;"",ROW(AH7:AH51)-MIN(ROW(AH7:AH51))+1))),ROW()-ROW(A$54)+1)),",",";")),"")</f>
        <v>0</v>
      </c>
      <c r="AM98">
        <f t="array" ref="AM98">IFERROR(CONCATENATE(INDEX(AP7:AP51,SMALL(IF(ISNUMBER(AM7:AM51),IF(AM7:AM51&gt;0,IF(AP7:AP51&lt;&gt;"",ROW(AM7:AM51)-MIN(ROW(AM7:AM51))+1))),ROW()-ROW(A$54)+1))," ",TEXT(INDEX(AM7:AM51,SMALL(IF(ISNUMBER(AM7:AM51),IF(AM7:AM51&gt;0,IF(AP7:AP51&lt;&gt;"",ROW(AM7:AM51)-MIN(ROW(AM7:AM51))+1))),ROW()-ROW(A$54)+1)),"##0")," ",SUBSTITUTE(INDEX(IF(PURCHASE_DESCRIPTION&lt;&gt;"",PURCHASE_DESCRIPTION&amp;":","")&amp;A7:A51,SMALL(IF(ISNUMBER(AM7:AM51),IF(AM7:AM51&gt;0,IF(AP7:AP51&lt;&gt;"",ROW(AM7:AM51)-MIN(ROW(AM7:AM51))+1))),ROW()-ROW(A$54)+1))," ",";")),"")</f>
        <v>0</v>
      </c>
      <c r="AR98">
        <f t="array" ref="AR98">IFERROR(CONCATENATE(INDEX(AU7:AU51,SMALL(IF(ISNUMBER(AR7:AR51),IF(AR7:AR51&gt;0,IF(AU7:AU51&lt;&gt;"",ROW(AR7:AR51)-MIN(ROW(AR7:AR51))+1))),ROW()-ROW(A$54)+1))," ",TEXT(INDEX(AR7:AR51,SMALL(IF(ISNUMBER(AR7:AR51),IF(AR7:AR51&gt;0,IF(AU7:AU51&lt;&gt;"",ROW(AR7:AR51)-MIN(ROW(AR7:AR51))+1))),ROW()-ROW(A$54)+1)),"##0")," ",SUBSTITUTE(INDEX(IF(PURCHASE_DESCRIPTION&lt;&gt;"",PURCHASE_DESCRIPTION&amp;":","")&amp;A7:A51,SMALL(IF(ISNUMBER(AR7:AR51),IF(AR7:AR51&gt;0,IF(AU7:AU51&lt;&gt;"",ROW(AR7:AR51)-MIN(ROW(AR7:AR51))+1))),ROW()-ROW(A$54)+1))," ",";")),"")</f>
        <v>0</v>
      </c>
    </row>
    <row r="99" spans="9:44">
      <c r="X99">
        <f t="array" ref="X99">IFERROR(CONCATENATE(TEXT(INDEX(X7:X51,SMALL(IF(ISNUMBER(X7:X51),IF(X7:X51&gt;0,IF(AA7:AA51&lt;&gt;"",ROW(X7:X51)-MIN(ROW(X7:X51))+1))),ROW()-ROW(A$55)+1)),"##0"),",",SUBSTITUTE(INDEX(IF(PURCHASE_DESCRIPTION&lt;&gt;"",PURCHASE_DESCRIPTION&amp;":","")&amp;A7:A51,SMALL(IF(ISNUMBER(X7:X51),IF(X7:X51&gt;0,IF(AA7:AA51&lt;&gt;"",ROW(X7:X51)-MIN(ROW(X7:X51))+1))),ROW()-ROW(A$55)+1)),",",";"),",",SUBSTITUTE(INDEX(IF(PURCHASE_DESCRIPTION&lt;&gt;"",PURCHASE_DESCRIPTION&amp;":","")&amp;C7:C51,SMALL(IF(ISNUMBER(X7:X51),IF(X7:X51&gt;0,IF(AA7:AA51&lt;&gt;"",ROW(X7:X51)-MIN(ROW(X7:X51))+1))),ROW()-ROW(A$55)+1)),",",";"),",",INDEX(AA7:AA51,SMALL(IF(ISNUMBER(X7:X51),IF(X7:X51&gt;0,IF(AA7:AA51&lt;&gt;"",ROW(X7:X51)-MIN(ROW(X7:X51))+1))),ROW()-ROW(A$55)+1))),"")</f>
        <v>0</v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AB10">
    <cfRule type="cellIs" dxfId="1" priority="398" operator="equal">
      <formula>0</formula>
    </cfRule>
    <cfRule type="cellIs" dxfId="2" priority="399" operator="lessThan">
      <formula>E10</formula>
    </cfRule>
  </conditionalFormatting>
  <conditionalFormatting sqref="AB11">
    <cfRule type="cellIs" dxfId="1" priority="403" operator="equal">
      <formula>0</formula>
    </cfRule>
    <cfRule type="cellIs" dxfId="2" priority="404" operator="lessThan">
      <formula>E11</formula>
    </cfRule>
  </conditionalFormatting>
  <conditionalFormatting sqref="AB12">
    <cfRule type="cellIs" dxfId="1" priority="408" operator="equal">
      <formula>0</formula>
    </cfRule>
    <cfRule type="cellIs" dxfId="2" priority="409" operator="lessThan">
      <formula>E12</formula>
    </cfRule>
  </conditionalFormatting>
  <conditionalFormatting sqref="AB13">
    <cfRule type="cellIs" dxfId="1" priority="413" operator="equal">
      <formula>0</formula>
    </cfRule>
    <cfRule type="cellIs" dxfId="2" priority="414" operator="lessThan">
      <formula>E13</formula>
    </cfRule>
  </conditionalFormatting>
  <conditionalFormatting sqref="AB14">
    <cfRule type="cellIs" dxfId="1" priority="418" operator="equal">
      <formula>0</formula>
    </cfRule>
    <cfRule type="cellIs" dxfId="2" priority="419" operator="lessThan">
      <formula>E14</formula>
    </cfRule>
  </conditionalFormatting>
  <conditionalFormatting sqref="AB16">
    <cfRule type="cellIs" dxfId="1" priority="423" operator="equal">
      <formula>0</formula>
    </cfRule>
    <cfRule type="cellIs" dxfId="2" priority="424" operator="lessThan">
      <formula>E16</formula>
    </cfRule>
  </conditionalFormatting>
  <conditionalFormatting sqref="AB18">
    <cfRule type="cellIs" dxfId="1" priority="428" operator="equal">
      <formula>0</formula>
    </cfRule>
    <cfRule type="cellIs" dxfId="2" priority="429" operator="lessThan">
      <formula>E18</formula>
    </cfRule>
  </conditionalFormatting>
  <conditionalFormatting sqref="AB19">
    <cfRule type="cellIs" dxfId="1" priority="433" operator="equal">
      <formula>0</formula>
    </cfRule>
    <cfRule type="cellIs" dxfId="2" priority="434" operator="lessThan">
      <formula>E19</formula>
    </cfRule>
  </conditionalFormatting>
  <conditionalFormatting sqref="AB22">
    <cfRule type="cellIs" dxfId="1" priority="438" operator="equal">
      <formula>0</formula>
    </cfRule>
    <cfRule type="cellIs" dxfId="2" priority="439" operator="lessThan">
      <formula>E22</formula>
    </cfRule>
  </conditionalFormatting>
  <conditionalFormatting sqref="AB23">
    <cfRule type="cellIs" dxfId="1" priority="443" operator="equal">
      <formula>0</formula>
    </cfRule>
    <cfRule type="cellIs" dxfId="2" priority="444" operator="lessThan">
      <formula>E23</formula>
    </cfRule>
  </conditionalFormatting>
  <conditionalFormatting sqref="AB26">
    <cfRule type="cellIs" dxfId="1" priority="448" operator="equal">
      <formula>0</formula>
    </cfRule>
    <cfRule type="cellIs" dxfId="2" priority="449" operator="lessThan">
      <formula>E26</formula>
    </cfRule>
  </conditionalFormatting>
  <conditionalFormatting sqref="AB27">
    <cfRule type="cellIs" dxfId="1" priority="453" operator="equal">
      <formula>0</formula>
    </cfRule>
    <cfRule type="cellIs" dxfId="2" priority="454" operator="lessThan">
      <formula>E27</formula>
    </cfRule>
  </conditionalFormatting>
  <conditionalFormatting sqref="AB28">
    <cfRule type="cellIs" dxfId="1" priority="458" operator="equal">
      <formula>0</formula>
    </cfRule>
    <cfRule type="cellIs" dxfId="2" priority="459" operator="lessThan">
      <formula>E28</formula>
    </cfRule>
  </conditionalFormatting>
  <conditionalFormatting sqref="AB30">
    <cfRule type="cellIs" dxfId="1" priority="463" operator="equal">
      <formula>0</formula>
    </cfRule>
    <cfRule type="cellIs" dxfId="2" priority="464" operator="lessThan">
      <formula>E30</formula>
    </cfRule>
  </conditionalFormatting>
  <conditionalFormatting sqref="AB31">
    <cfRule type="cellIs" dxfId="1" priority="468" operator="equal">
      <formula>0</formula>
    </cfRule>
    <cfRule type="cellIs" dxfId="2" priority="469" operator="lessThan">
      <formula>E31</formula>
    </cfRule>
  </conditionalFormatting>
  <conditionalFormatting sqref="AB32">
    <cfRule type="cellIs" dxfId="1" priority="473" operator="equal">
      <formula>0</formula>
    </cfRule>
    <cfRule type="cellIs" dxfId="2" priority="474" operator="lessThan">
      <formula>E32</formula>
    </cfRule>
  </conditionalFormatting>
  <conditionalFormatting sqref="AB33">
    <cfRule type="cellIs" dxfId="1" priority="478" operator="equal">
      <formula>0</formula>
    </cfRule>
    <cfRule type="cellIs" dxfId="2" priority="479" operator="lessThan">
      <formula>E33</formula>
    </cfRule>
  </conditionalFormatting>
  <conditionalFormatting sqref="AB34">
    <cfRule type="cellIs" dxfId="1" priority="483" operator="equal">
      <formula>0</formula>
    </cfRule>
    <cfRule type="cellIs" dxfId="2" priority="484" operator="lessThan">
      <formula>E34</formula>
    </cfRule>
  </conditionalFormatting>
  <conditionalFormatting sqref="AB48">
    <cfRule type="cellIs" dxfId="1" priority="488" operator="equal">
      <formula>0</formula>
    </cfRule>
    <cfRule type="cellIs" dxfId="2" priority="489" operator="lessThan">
      <formula>E48</formula>
    </cfRule>
  </conditionalFormatting>
  <conditionalFormatting sqref="AB51">
    <cfRule type="cellIs" dxfId="1" priority="493" operator="equal">
      <formula>0</formula>
    </cfRule>
    <cfRule type="cellIs" dxfId="2" priority="494" operator="lessThan">
      <formula>E51</formula>
    </cfRule>
  </conditionalFormatting>
  <conditionalFormatting sqref="AB8">
    <cfRule type="cellIs" dxfId="1" priority="393" operator="equal">
      <formula>0</formula>
    </cfRule>
    <cfRule type="cellIs" dxfId="2" priority="394" operator="lessThan">
      <formula>E8</formula>
    </cfRule>
  </conditionalFormatting>
  <conditionalFormatting sqref="AC10">
    <cfRule type="cellIs" dxfId="1" priority="400" operator="greaterThan">
      <formula>AB10</formula>
    </cfRule>
  </conditionalFormatting>
  <conditionalFormatting sqref="AC11">
    <cfRule type="cellIs" dxfId="1" priority="405" operator="greaterThan">
      <formula>AB11</formula>
    </cfRule>
  </conditionalFormatting>
  <conditionalFormatting sqref="AC12">
    <cfRule type="cellIs" dxfId="1" priority="410" operator="greaterThan">
      <formula>AB12</formula>
    </cfRule>
  </conditionalFormatting>
  <conditionalFormatting sqref="AC13">
    <cfRule type="cellIs" dxfId="1" priority="415" operator="greaterThan">
      <formula>AB13</formula>
    </cfRule>
  </conditionalFormatting>
  <conditionalFormatting sqref="AC14">
    <cfRule type="cellIs" dxfId="1" priority="420" operator="greaterThan">
      <formula>AB14</formula>
    </cfRule>
  </conditionalFormatting>
  <conditionalFormatting sqref="AC16">
    <cfRule type="cellIs" dxfId="1" priority="425" operator="greaterThan">
      <formula>AB16</formula>
    </cfRule>
  </conditionalFormatting>
  <conditionalFormatting sqref="AC18">
    <cfRule type="cellIs" dxfId="1" priority="430" operator="greaterThan">
      <formula>AB18</formula>
    </cfRule>
  </conditionalFormatting>
  <conditionalFormatting sqref="AC19">
    <cfRule type="cellIs" dxfId="1" priority="435" operator="greaterThan">
      <formula>AB19</formula>
    </cfRule>
  </conditionalFormatting>
  <conditionalFormatting sqref="AC22">
    <cfRule type="cellIs" dxfId="1" priority="440" operator="greaterThan">
      <formula>AB22</formula>
    </cfRule>
  </conditionalFormatting>
  <conditionalFormatting sqref="AC23">
    <cfRule type="cellIs" dxfId="1" priority="445" operator="greaterThan">
      <formula>AB23</formula>
    </cfRule>
  </conditionalFormatting>
  <conditionalFormatting sqref="AC26">
    <cfRule type="cellIs" dxfId="1" priority="450" operator="greaterThan">
      <formula>AB26</formula>
    </cfRule>
  </conditionalFormatting>
  <conditionalFormatting sqref="AC27">
    <cfRule type="cellIs" dxfId="1" priority="455" operator="greaterThan">
      <formula>AB27</formula>
    </cfRule>
  </conditionalFormatting>
  <conditionalFormatting sqref="AC28">
    <cfRule type="cellIs" dxfId="1" priority="460" operator="greaterThan">
      <formula>AB28</formula>
    </cfRule>
  </conditionalFormatting>
  <conditionalFormatting sqref="AC30">
    <cfRule type="cellIs" dxfId="1" priority="465" operator="greaterThan">
      <formula>AB30</formula>
    </cfRule>
  </conditionalFormatting>
  <conditionalFormatting sqref="AC31">
    <cfRule type="cellIs" dxfId="1" priority="470" operator="greaterThan">
      <formula>AB31</formula>
    </cfRule>
  </conditionalFormatting>
  <conditionalFormatting sqref="AC32">
    <cfRule type="cellIs" dxfId="1" priority="475" operator="greaterThan">
      <formula>AB32</formula>
    </cfRule>
  </conditionalFormatting>
  <conditionalFormatting sqref="AC33">
    <cfRule type="cellIs" dxfId="1" priority="480" operator="greaterThan">
      <formula>AB33</formula>
    </cfRule>
  </conditionalFormatting>
  <conditionalFormatting sqref="AC34">
    <cfRule type="cellIs" dxfId="1" priority="485" operator="greaterThan">
      <formula>AB34</formula>
    </cfRule>
  </conditionalFormatting>
  <conditionalFormatting sqref="AC48">
    <cfRule type="cellIs" dxfId="1" priority="490" operator="greaterThan">
      <formula>AB48</formula>
    </cfRule>
  </conditionalFormatting>
  <conditionalFormatting sqref="AC51">
    <cfRule type="cellIs" dxfId="1" priority="495" operator="greaterThan">
      <formula>AB51</formula>
    </cfRule>
  </conditionalFormatting>
  <conditionalFormatting sqref="AC8">
    <cfRule type="cellIs" dxfId="1" priority="395" operator="greaterThan">
      <formula>AB8</formula>
    </cfRule>
  </conditionalFormatting>
  <conditionalFormatting sqref="AD10">
    <cfRule type="cellIs" dxfId="4" priority="402" operator="lessThanOrEqual">
      <formula>F10</formula>
    </cfRule>
  </conditionalFormatting>
  <conditionalFormatting sqref="AD11">
    <cfRule type="cellIs" dxfId="4" priority="407" operator="lessThanOrEqual">
      <formula>F11</formula>
    </cfRule>
  </conditionalFormatting>
  <conditionalFormatting sqref="AD12">
    <cfRule type="cellIs" dxfId="4" priority="412" operator="lessThanOrEqual">
      <formula>F12</formula>
    </cfRule>
  </conditionalFormatting>
  <conditionalFormatting sqref="AD13">
    <cfRule type="cellIs" dxfId="4" priority="417" operator="lessThanOrEqual">
      <formula>F13</formula>
    </cfRule>
  </conditionalFormatting>
  <conditionalFormatting sqref="AD14">
    <cfRule type="cellIs" dxfId="4" priority="422" operator="lessThanOrEqual">
      <formula>F14</formula>
    </cfRule>
  </conditionalFormatting>
  <conditionalFormatting sqref="AD16">
    <cfRule type="cellIs" dxfId="4" priority="427" operator="lessThanOrEqual">
      <formula>F16</formula>
    </cfRule>
  </conditionalFormatting>
  <conditionalFormatting sqref="AD18">
    <cfRule type="cellIs" dxfId="4" priority="432" operator="lessThanOrEqual">
      <formula>F18</formula>
    </cfRule>
  </conditionalFormatting>
  <conditionalFormatting sqref="AD19">
    <cfRule type="cellIs" dxfId="4" priority="437" operator="lessThanOrEqual">
      <formula>F19</formula>
    </cfRule>
  </conditionalFormatting>
  <conditionalFormatting sqref="AD22">
    <cfRule type="cellIs" dxfId="4" priority="442" operator="lessThanOrEqual">
      <formula>F22</formula>
    </cfRule>
  </conditionalFormatting>
  <conditionalFormatting sqref="AD23">
    <cfRule type="cellIs" dxfId="4" priority="447" operator="lessThanOrEqual">
      <formula>F23</formula>
    </cfRule>
  </conditionalFormatting>
  <conditionalFormatting sqref="AD26">
    <cfRule type="cellIs" dxfId="4" priority="452" operator="lessThanOrEqual">
      <formula>F26</formula>
    </cfRule>
  </conditionalFormatting>
  <conditionalFormatting sqref="AD27">
    <cfRule type="cellIs" dxfId="4" priority="457" operator="lessThanOrEqual">
      <formula>F27</formula>
    </cfRule>
  </conditionalFormatting>
  <conditionalFormatting sqref="AD28">
    <cfRule type="cellIs" dxfId="4" priority="462" operator="lessThanOrEqual">
      <formula>F28</formula>
    </cfRule>
  </conditionalFormatting>
  <conditionalFormatting sqref="AD30">
    <cfRule type="cellIs" dxfId="4" priority="467" operator="lessThanOrEqual">
      <formula>F30</formula>
    </cfRule>
  </conditionalFormatting>
  <conditionalFormatting sqref="AD31">
    <cfRule type="cellIs" dxfId="4" priority="472" operator="lessThanOrEqual">
      <formula>F31</formula>
    </cfRule>
  </conditionalFormatting>
  <conditionalFormatting sqref="AD32">
    <cfRule type="cellIs" dxfId="4" priority="477" operator="lessThanOrEqual">
      <formula>F32</formula>
    </cfRule>
  </conditionalFormatting>
  <conditionalFormatting sqref="AD33">
    <cfRule type="cellIs" dxfId="4" priority="482" operator="lessThanOrEqual">
      <formula>F33</formula>
    </cfRule>
  </conditionalFormatting>
  <conditionalFormatting sqref="AD34">
    <cfRule type="cellIs" dxfId="4" priority="487" operator="lessThanOrEqual">
      <formula>F34</formula>
    </cfRule>
  </conditionalFormatting>
  <conditionalFormatting sqref="AD48">
    <cfRule type="cellIs" dxfId="4" priority="492" operator="lessThanOrEqual">
      <formula>F48</formula>
    </cfRule>
  </conditionalFormatting>
  <conditionalFormatting sqref="AD51">
    <cfRule type="cellIs" dxfId="4" priority="497" operator="lessThanOrEqual">
      <formula>F51</formula>
    </cfRule>
  </conditionalFormatting>
  <conditionalFormatting sqref="AD8">
    <cfRule type="cellIs" dxfId="4" priority="397" operator="lessThanOrEqual">
      <formula>F8</formula>
    </cfRule>
  </conditionalFormatting>
  <conditionalFormatting sqref="AE10">
    <cfRule type="cellIs" dxfId="4" priority="401" operator="lessThanOrEqual">
      <formula>G10</formula>
    </cfRule>
  </conditionalFormatting>
  <conditionalFormatting sqref="AE11">
    <cfRule type="cellIs" dxfId="4" priority="406" operator="lessThanOrEqual">
      <formula>G11</formula>
    </cfRule>
  </conditionalFormatting>
  <conditionalFormatting sqref="AE12">
    <cfRule type="cellIs" dxfId="4" priority="411" operator="lessThanOrEqual">
      <formula>G12</formula>
    </cfRule>
  </conditionalFormatting>
  <conditionalFormatting sqref="AE13">
    <cfRule type="cellIs" dxfId="4" priority="416" operator="lessThanOrEqual">
      <formula>G13</formula>
    </cfRule>
  </conditionalFormatting>
  <conditionalFormatting sqref="AE14">
    <cfRule type="cellIs" dxfId="4" priority="421" operator="lessThanOrEqual">
      <formula>G14</formula>
    </cfRule>
  </conditionalFormatting>
  <conditionalFormatting sqref="AE16">
    <cfRule type="cellIs" dxfId="4" priority="426" operator="lessThanOrEqual">
      <formula>G16</formula>
    </cfRule>
  </conditionalFormatting>
  <conditionalFormatting sqref="AE18">
    <cfRule type="cellIs" dxfId="4" priority="431" operator="lessThanOrEqual">
      <formula>G18</formula>
    </cfRule>
  </conditionalFormatting>
  <conditionalFormatting sqref="AE19">
    <cfRule type="cellIs" dxfId="4" priority="436" operator="lessThanOrEqual">
      <formula>G19</formula>
    </cfRule>
  </conditionalFormatting>
  <conditionalFormatting sqref="AE22">
    <cfRule type="cellIs" dxfId="4" priority="441" operator="lessThanOrEqual">
      <formula>G22</formula>
    </cfRule>
  </conditionalFormatting>
  <conditionalFormatting sqref="AE23">
    <cfRule type="cellIs" dxfId="4" priority="446" operator="lessThanOrEqual">
      <formula>G23</formula>
    </cfRule>
  </conditionalFormatting>
  <conditionalFormatting sqref="AE26">
    <cfRule type="cellIs" dxfId="4" priority="451" operator="lessThanOrEqual">
      <formula>G26</formula>
    </cfRule>
  </conditionalFormatting>
  <conditionalFormatting sqref="AE27">
    <cfRule type="cellIs" dxfId="4" priority="456" operator="lessThanOrEqual">
      <formula>G27</formula>
    </cfRule>
  </conditionalFormatting>
  <conditionalFormatting sqref="AE28">
    <cfRule type="cellIs" dxfId="4" priority="461" operator="lessThanOrEqual">
      <formula>G28</formula>
    </cfRule>
  </conditionalFormatting>
  <conditionalFormatting sqref="AE30">
    <cfRule type="cellIs" dxfId="4" priority="466" operator="lessThanOrEqual">
      <formula>G30</formula>
    </cfRule>
  </conditionalFormatting>
  <conditionalFormatting sqref="AE31">
    <cfRule type="cellIs" dxfId="4" priority="471" operator="lessThanOrEqual">
      <formula>G31</formula>
    </cfRule>
  </conditionalFormatting>
  <conditionalFormatting sqref="AE32">
    <cfRule type="cellIs" dxfId="4" priority="476" operator="lessThanOrEqual">
      <formula>G32</formula>
    </cfRule>
  </conditionalFormatting>
  <conditionalFormatting sqref="AE33">
    <cfRule type="cellIs" dxfId="4" priority="481" operator="lessThanOrEqual">
      <formula>G33</formula>
    </cfRule>
  </conditionalFormatting>
  <conditionalFormatting sqref="AE34">
    <cfRule type="cellIs" dxfId="4" priority="486" operator="lessThanOrEqual">
      <formula>G34</formula>
    </cfRule>
  </conditionalFormatting>
  <conditionalFormatting sqref="AE48">
    <cfRule type="cellIs" dxfId="4" priority="491" operator="lessThanOrEqual">
      <formula>G48</formula>
    </cfRule>
  </conditionalFormatting>
  <conditionalFormatting sqref="AE51">
    <cfRule type="cellIs" dxfId="4" priority="496" operator="lessThanOrEqual">
      <formula>G51</formula>
    </cfRule>
  </conditionalFormatting>
  <conditionalFormatting sqref="AE8">
    <cfRule type="cellIs" dxfId="4" priority="396" operator="lessThanOrEqual">
      <formula>G8</formula>
    </cfRule>
  </conditionalFormatting>
  <conditionalFormatting sqref="AG10">
    <cfRule type="cellIs" dxfId="1" priority="503" operator="equal">
      <formula>0</formula>
    </cfRule>
    <cfRule type="cellIs" dxfId="2" priority="504" operator="lessThan">
      <formula>E10</formula>
    </cfRule>
  </conditionalFormatting>
  <conditionalFormatting sqref="AG11">
    <cfRule type="cellIs" dxfId="1" priority="508" operator="equal">
      <formula>0</formula>
    </cfRule>
    <cfRule type="cellIs" dxfId="2" priority="509" operator="lessThan">
      <formula>E11</formula>
    </cfRule>
  </conditionalFormatting>
  <conditionalFormatting sqref="AG12">
    <cfRule type="cellIs" dxfId="1" priority="513" operator="equal">
      <formula>0</formula>
    </cfRule>
    <cfRule type="cellIs" dxfId="2" priority="514" operator="lessThan">
      <formula>E12</formula>
    </cfRule>
  </conditionalFormatting>
  <conditionalFormatting sqref="AG14">
    <cfRule type="cellIs" dxfId="1" priority="518" operator="equal">
      <formula>0</formula>
    </cfRule>
    <cfRule type="cellIs" dxfId="2" priority="519" operator="lessThan">
      <formula>E14</formula>
    </cfRule>
  </conditionalFormatting>
  <conditionalFormatting sqref="AG18">
    <cfRule type="cellIs" dxfId="1" priority="523" operator="equal">
      <formula>0</formula>
    </cfRule>
    <cfRule type="cellIs" dxfId="2" priority="524" operator="lessThan">
      <formula>E18</formula>
    </cfRule>
  </conditionalFormatting>
  <conditionalFormatting sqref="AG19">
    <cfRule type="cellIs" dxfId="1" priority="528" operator="equal">
      <formula>0</formula>
    </cfRule>
    <cfRule type="cellIs" dxfId="2" priority="529" operator="lessThan">
      <formula>E19</formula>
    </cfRule>
  </conditionalFormatting>
  <conditionalFormatting sqref="AG25">
    <cfRule type="cellIs" dxfId="1" priority="533" operator="equal">
      <formula>0</formula>
    </cfRule>
    <cfRule type="cellIs" dxfId="2" priority="534" operator="lessThan">
      <formula>E25</formula>
    </cfRule>
  </conditionalFormatting>
  <conditionalFormatting sqref="AG28">
    <cfRule type="cellIs" dxfId="1" priority="538" operator="equal">
      <formula>0</formula>
    </cfRule>
    <cfRule type="cellIs" dxfId="2" priority="539" operator="lessThan">
      <formula>E28</formula>
    </cfRule>
  </conditionalFormatting>
  <conditionalFormatting sqref="AG29">
    <cfRule type="cellIs" dxfId="1" priority="543" operator="equal">
      <formula>0</formula>
    </cfRule>
    <cfRule type="cellIs" dxfId="2" priority="544" operator="lessThan">
      <formula>E29</formula>
    </cfRule>
  </conditionalFormatting>
  <conditionalFormatting sqref="AG30">
    <cfRule type="cellIs" dxfId="1" priority="548" operator="equal">
      <formula>0</formula>
    </cfRule>
    <cfRule type="cellIs" dxfId="2" priority="549" operator="lessThan">
      <formula>E30</formula>
    </cfRule>
  </conditionalFormatting>
  <conditionalFormatting sqref="AG31">
    <cfRule type="cellIs" dxfId="1" priority="553" operator="equal">
      <formula>0</formula>
    </cfRule>
    <cfRule type="cellIs" dxfId="2" priority="554" operator="lessThan">
      <formula>E31</formula>
    </cfRule>
  </conditionalFormatting>
  <conditionalFormatting sqref="AG32">
    <cfRule type="cellIs" dxfId="1" priority="558" operator="equal">
      <formula>0</formula>
    </cfRule>
    <cfRule type="cellIs" dxfId="2" priority="559" operator="lessThan">
      <formula>E32</formula>
    </cfRule>
  </conditionalFormatting>
  <conditionalFormatting sqref="AG33">
    <cfRule type="cellIs" dxfId="1" priority="563" operator="equal">
      <formula>0</formula>
    </cfRule>
    <cfRule type="cellIs" dxfId="2" priority="564" operator="lessThan">
      <formula>E33</formula>
    </cfRule>
  </conditionalFormatting>
  <conditionalFormatting sqref="AG34">
    <cfRule type="cellIs" dxfId="1" priority="568" operator="equal">
      <formula>0</formula>
    </cfRule>
    <cfRule type="cellIs" dxfId="2" priority="569" operator="lessThan">
      <formula>E34</formula>
    </cfRule>
  </conditionalFormatting>
  <conditionalFormatting sqref="AG8">
    <cfRule type="cellIs" dxfId="1" priority="498" operator="equal">
      <formula>0</formula>
    </cfRule>
    <cfRule type="cellIs" dxfId="2" priority="499" operator="lessThan">
      <formula>E8</formula>
    </cfRule>
  </conditionalFormatting>
  <conditionalFormatting sqref="AH10">
    <cfRule type="cellIs" dxfId="1" priority="505" operator="greaterThan">
      <formula>AG10</formula>
    </cfRule>
  </conditionalFormatting>
  <conditionalFormatting sqref="AH11">
    <cfRule type="cellIs" dxfId="1" priority="510" operator="greaterThan">
      <formula>AG11</formula>
    </cfRule>
  </conditionalFormatting>
  <conditionalFormatting sqref="AH12">
    <cfRule type="cellIs" dxfId="1" priority="515" operator="greaterThan">
      <formula>AG12</formula>
    </cfRule>
  </conditionalFormatting>
  <conditionalFormatting sqref="AH14">
    <cfRule type="cellIs" dxfId="1" priority="520" operator="greaterThan">
      <formula>AG14</formula>
    </cfRule>
  </conditionalFormatting>
  <conditionalFormatting sqref="AH18">
    <cfRule type="cellIs" dxfId="1" priority="525" operator="greaterThan">
      <formula>AG18</formula>
    </cfRule>
  </conditionalFormatting>
  <conditionalFormatting sqref="AH19">
    <cfRule type="cellIs" dxfId="1" priority="530" operator="greaterThan">
      <formula>AG19</formula>
    </cfRule>
  </conditionalFormatting>
  <conditionalFormatting sqref="AH25">
    <cfRule type="cellIs" dxfId="1" priority="535" operator="greaterThan">
      <formula>AG25</formula>
    </cfRule>
  </conditionalFormatting>
  <conditionalFormatting sqref="AH28">
    <cfRule type="cellIs" dxfId="1" priority="540" operator="greaterThan">
      <formula>AG28</formula>
    </cfRule>
  </conditionalFormatting>
  <conditionalFormatting sqref="AH29">
    <cfRule type="cellIs" dxfId="1" priority="545" operator="greaterThan">
      <formula>AG29</formula>
    </cfRule>
  </conditionalFormatting>
  <conditionalFormatting sqref="AH30">
    <cfRule type="cellIs" dxfId="1" priority="550" operator="greaterThan">
      <formula>AG30</formula>
    </cfRule>
  </conditionalFormatting>
  <conditionalFormatting sqref="AH31">
    <cfRule type="cellIs" dxfId="1" priority="555" operator="greaterThan">
      <formula>AG31</formula>
    </cfRule>
  </conditionalFormatting>
  <conditionalFormatting sqref="AH32">
    <cfRule type="cellIs" dxfId="1" priority="560" operator="greaterThan">
      <formula>AG32</formula>
    </cfRule>
  </conditionalFormatting>
  <conditionalFormatting sqref="AH33">
    <cfRule type="cellIs" dxfId="1" priority="565" operator="greaterThan">
      <formula>AG33</formula>
    </cfRule>
  </conditionalFormatting>
  <conditionalFormatting sqref="AH34">
    <cfRule type="cellIs" dxfId="1" priority="570" operator="greaterThan">
      <formula>AG34</formula>
    </cfRule>
  </conditionalFormatting>
  <conditionalFormatting sqref="AH8">
    <cfRule type="cellIs" dxfId="1" priority="500" operator="greaterThan">
      <formula>AG8</formula>
    </cfRule>
  </conditionalFormatting>
  <conditionalFormatting sqref="AI10">
    <cfRule type="cellIs" dxfId="4" priority="507" operator="lessThanOrEqual">
      <formula>F10</formula>
    </cfRule>
  </conditionalFormatting>
  <conditionalFormatting sqref="AI11">
    <cfRule type="cellIs" dxfId="4" priority="512" operator="lessThanOrEqual">
      <formula>F11</formula>
    </cfRule>
  </conditionalFormatting>
  <conditionalFormatting sqref="AI12">
    <cfRule type="cellIs" dxfId="4" priority="517" operator="lessThanOrEqual">
      <formula>F12</formula>
    </cfRule>
  </conditionalFormatting>
  <conditionalFormatting sqref="AI14">
    <cfRule type="cellIs" dxfId="4" priority="522" operator="lessThanOrEqual">
      <formula>F14</formula>
    </cfRule>
  </conditionalFormatting>
  <conditionalFormatting sqref="AI18">
    <cfRule type="cellIs" dxfId="4" priority="527" operator="lessThanOrEqual">
      <formula>F18</formula>
    </cfRule>
  </conditionalFormatting>
  <conditionalFormatting sqref="AI19">
    <cfRule type="cellIs" dxfId="4" priority="532" operator="lessThanOrEqual">
      <formula>F19</formula>
    </cfRule>
  </conditionalFormatting>
  <conditionalFormatting sqref="AI25">
    <cfRule type="cellIs" dxfId="4" priority="537" operator="lessThanOrEqual">
      <formula>F25</formula>
    </cfRule>
  </conditionalFormatting>
  <conditionalFormatting sqref="AI28">
    <cfRule type="cellIs" dxfId="4" priority="542" operator="lessThanOrEqual">
      <formula>F28</formula>
    </cfRule>
  </conditionalFormatting>
  <conditionalFormatting sqref="AI29">
    <cfRule type="cellIs" dxfId="4" priority="547" operator="lessThanOrEqual">
      <formula>F29</formula>
    </cfRule>
  </conditionalFormatting>
  <conditionalFormatting sqref="AI30">
    <cfRule type="cellIs" dxfId="4" priority="552" operator="lessThanOrEqual">
      <formula>F30</formula>
    </cfRule>
  </conditionalFormatting>
  <conditionalFormatting sqref="AI31">
    <cfRule type="cellIs" dxfId="4" priority="557" operator="lessThanOrEqual">
      <formula>F31</formula>
    </cfRule>
  </conditionalFormatting>
  <conditionalFormatting sqref="AI32">
    <cfRule type="cellIs" dxfId="4" priority="562" operator="lessThanOrEqual">
      <formula>F32</formula>
    </cfRule>
  </conditionalFormatting>
  <conditionalFormatting sqref="AI33">
    <cfRule type="cellIs" dxfId="4" priority="567" operator="lessThanOrEqual">
      <formula>F33</formula>
    </cfRule>
  </conditionalFormatting>
  <conditionalFormatting sqref="AI34">
    <cfRule type="cellIs" dxfId="4" priority="572" operator="lessThanOrEqual">
      <formula>F34</formula>
    </cfRule>
  </conditionalFormatting>
  <conditionalFormatting sqref="AI8">
    <cfRule type="cellIs" dxfId="4" priority="502" operator="lessThanOrEqual">
      <formula>F8</formula>
    </cfRule>
  </conditionalFormatting>
  <conditionalFormatting sqref="AJ10">
    <cfRule type="cellIs" dxfId="4" priority="506" operator="lessThanOrEqual">
      <formula>G10</formula>
    </cfRule>
  </conditionalFormatting>
  <conditionalFormatting sqref="AJ11">
    <cfRule type="cellIs" dxfId="4" priority="511" operator="lessThanOrEqual">
      <formula>G11</formula>
    </cfRule>
  </conditionalFormatting>
  <conditionalFormatting sqref="AJ12">
    <cfRule type="cellIs" dxfId="4" priority="516" operator="lessThanOrEqual">
      <formula>G12</formula>
    </cfRule>
  </conditionalFormatting>
  <conditionalFormatting sqref="AJ14">
    <cfRule type="cellIs" dxfId="4" priority="521" operator="lessThanOrEqual">
      <formula>G14</formula>
    </cfRule>
  </conditionalFormatting>
  <conditionalFormatting sqref="AJ18">
    <cfRule type="cellIs" dxfId="4" priority="526" operator="lessThanOrEqual">
      <formula>G18</formula>
    </cfRule>
  </conditionalFormatting>
  <conditionalFormatting sqref="AJ19">
    <cfRule type="cellIs" dxfId="4" priority="531" operator="lessThanOrEqual">
      <formula>G19</formula>
    </cfRule>
  </conditionalFormatting>
  <conditionalFormatting sqref="AJ25">
    <cfRule type="cellIs" dxfId="4" priority="536" operator="lessThanOrEqual">
      <formula>G25</formula>
    </cfRule>
  </conditionalFormatting>
  <conditionalFormatting sqref="AJ28">
    <cfRule type="cellIs" dxfId="4" priority="541" operator="lessThanOrEqual">
      <formula>G28</formula>
    </cfRule>
  </conditionalFormatting>
  <conditionalFormatting sqref="AJ29">
    <cfRule type="cellIs" dxfId="4" priority="546" operator="lessThanOrEqual">
      <formula>G29</formula>
    </cfRule>
  </conditionalFormatting>
  <conditionalFormatting sqref="AJ30">
    <cfRule type="cellIs" dxfId="4" priority="551" operator="lessThanOrEqual">
      <formula>G30</formula>
    </cfRule>
  </conditionalFormatting>
  <conditionalFormatting sqref="AJ31">
    <cfRule type="cellIs" dxfId="4" priority="556" operator="lessThanOrEqual">
      <formula>G31</formula>
    </cfRule>
  </conditionalFormatting>
  <conditionalFormatting sqref="AJ32">
    <cfRule type="cellIs" dxfId="4" priority="561" operator="lessThanOrEqual">
      <formula>G32</formula>
    </cfRule>
  </conditionalFormatting>
  <conditionalFormatting sqref="AJ33">
    <cfRule type="cellIs" dxfId="4" priority="566" operator="lessThanOrEqual">
      <formula>G33</formula>
    </cfRule>
  </conditionalFormatting>
  <conditionalFormatting sqref="AJ34">
    <cfRule type="cellIs" dxfId="4" priority="571" operator="lessThanOrEqual">
      <formula>G34</formula>
    </cfRule>
  </conditionalFormatting>
  <conditionalFormatting sqref="AJ8">
    <cfRule type="cellIs" dxfId="4" priority="501" operator="lessThanOrEqual">
      <formula>G8</formula>
    </cfRule>
  </conditionalFormatting>
  <conditionalFormatting sqref="AL11">
    <cfRule type="cellIs" dxfId="1" priority="579" operator="equal">
      <formula>0</formula>
    </cfRule>
    <cfRule type="cellIs" dxfId="2" priority="580" operator="lessThan">
      <formula>E11</formula>
    </cfRule>
  </conditionalFormatting>
  <conditionalFormatting sqref="AL14">
    <cfRule type="cellIs" dxfId="1" priority="585" operator="equal">
      <formula>0</formula>
    </cfRule>
    <cfRule type="cellIs" dxfId="2" priority="586" operator="lessThan">
      <formula>E14</formula>
    </cfRule>
  </conditionalFormatting>
  <conditionalFormatting sqref="AL18">
    <cfRule type="cellIs" dxfId="1" priority="591" operator="equal">
      <formula>0</formula>
    </cfRule>
    <cfRule type="cellIs" dxfId="2" priority="592" operator="lessThan">
      <formula>E18</formula>
    </cfRule>
  </conditionalFormatting>
  <conditionalFormatting sqref="AL19">
    <cfRule type="cellIs" dxfId="1" priority="597" operator="equal">
      <formula>0</formula>
    </cfRule>
    <cfRule type="cellIs" dxfId="2" priority="598" operator="lessThan">
      <formula>E19</formula>
    </cfRule>
  </conditionalFormatting>
  <conditionalFormatting sqref="AL8">
    <cfRule type="cellIs" dxfId="1" priority="573" operator="equal">
      <formula>0</formula>
    </cfRule>
    <cfRule type="cellIs" dxfId="2" priority="574" operator="lessThan">
      <formula>E8</formula>
    </cfRule>
  </conditionalFormatting>
  <conditionalFormatting sqref="AM11">
    <cfRule type="expression" dxfId="3" priority="581">
      <formula>AND(AM11&gt;0,AM11&lt;2500)</formula>
    </cfRule>
    <cfRule type="cellIs" dxfId="1" priority="582" operator="greaterThan">
      <formula>AL11</formula>
    </cfRule>
  </conditionalFormatting>
  <conditionalFormatting sqref="AM14">
    <cfRule type="expression" dxfId="3" priority="587">
      <formula>AND(AM14&gt;0,AM14&lt;200)</formula>
    </cfRule>
    <cfRule type="cellIs" dxfId="1" priority="588" operator="greaterThan">
      <formula>AL14</formula>
    </cfRule>
  </conditionalFormatting>
  <conditionalFormatting sqref="AM18">
    <cfRule type="expression" dxfId="3" priority="593">
      <formula>AND(AM18&gt;0,AM18&lt;500)</formula>
    </cfRule>
    <cfRule type="cellIs" dxfId="1" priority="594" operator="greaterThan">
      <formula>AL18</formula>
    </cfRule>
  </conditionalFormatting>
  <conditionalFormatting sqref="AM19">
    <cfRule type="expression" dxfId="3" priority="599">
      <formula>AND(AM19&gt;0,AM19&lt;500)</formula>
    </cfRule>
    <cfRule type="cellIs" dxfId="1" priority="600" operator="greaterThan">
      <formula>AL19</formula>
    </cfRule>
  </conditionalFormatting>
  <conditionalFormatting sqref="AM8">
    <cfRule type="expression" dxfId="3" priority="575">
      <formula>AND(AM8&gt;0,AM8&lt;50)</formula>
    </cfRule>
    <cfRule type="cellIs" dxfId="1" priority="576" operator="greaterThan">
      <formula>AL8</formula>
    </cfRule>
  </conditionalFormatting>
  <conditionalFormatting sqref="AN11">
    <cfRule type="cellIs" dxfId="4" priority="584" operator="lessThanOrEqual">
      <formula>F11</formula>
    </cfRule>
  </conditionalFormatting>
  <conditionalFormatting sqref="AN14">
    <cfRule type="cellIs" dxfId="4" priority="590" operator="lessThanOrEqual">
      <formula>F14</formula>
    </cfRule>
  </conditionalFormatting>
  <conditionalFormatting sqref="AN18">
    <cfRule type="cellIs" dxfId="4" priority="596" operator="lessThanOrEqual">
      <formula>F18</formula>
    </cfRule>
  </conditionalFormatting>
  <conditionalFormatting sqref="AN19">
    <cfRule type="cellIs" dxfId="4" priority="602" operator="lessThanOrEqual">
      <formula>F19</formula>
    </cfRule>
  </conditionalFormatting>
  <conditionalFormatting sqref="AN8">
    <cfRule type="cellIs" dxfId="4" priority="578" operator="lessThanOrEqual">
      <formula>F8</formula>
    </cfRule>
  </conditionalFormatting>
  <conditionalFormatting sqref="AO11">
    <cfRule type="cellIs" dxfId="4" priority="583" operator="lessThanOrEqual">
      <formula>G11</formula>
    </cfRule>
  </conditionalFormatting>
  <conditionalFormatting sqref="AO14">
    <cfRule type="cellIs" dxfId="4" priority="589" operator="lessThanOrEqual">
      <formula>G14</formula>
    </cfRule>
  </conditionalFormatting>
  <conditionalFormatting sqref="AO18">
    <cfRule type="cellIs" dxfId="4" priority="595" operator="lessThanOrEqual">
      <formula>G18</formula>
    </cfRule>
  </conditionalFormatting>
  <conditionalFormatting sqref="AO19">
    <cfRule type="cellIs" dxfId="4" priority="601" operator="lessThanOrEqual">
      <formula>G19</formula>
    </cfRule>
  </conditionalFormatting>
  <conditionalFormatting sqref="AO8">
    <cfRule type="cellIs" dxfId="4" priority="577" operator="lessThanOrEqual">
      <formula>G8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2">
    <cfRule type="expression" dxfId="0" priority="61">
      <formula>AND(ISBLANK(D22)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3">
    <cfRule type="expression" dxfId="0" priority="65">
      <formula>AND(ISBLANK(D23)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4">
    <cfRule type="expression" dxfId="0" priority="69">
      <formula>AND(ISBLANK(D24)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5">
    <cfRule type="expression" dxfId="0" priority="73">
      <formula>AND(ISBLANK(D25)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6">
    <cfRule type="expression" dxfId="0" priority="77">
      <formula>AND(ISBLANK(D26)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7">
    <cfRule type="expression" dxfId="0" priority="81">
      <formula>AND(ISBLANK(D27)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8">
    <cfRule type="expression" dxfId="0" priority="85">
      <formula>AND(ISBLANK(D28)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9">
    <cfRule type="expression" dxfId="0" priority="89">
      <formula>AND(ISBLANK(D29)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0">
    <cfRule type="expression" dxfId="0" priority="93">
      <formula>AND(ISBLANK(D30)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1">
    <cfRule type="expression" dxfId="0" priority="97">
      <formula>AND(ISBLANK(D31)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2">
    <cfRule type="expression" dxfId="0" priority="101">
      <formula>AND(ISBLANK(D32)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3">
    <cfRule type="expression" dxfId="0" priority="105">
      <formula>AND(ISBLANK(D33)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4">
    <cfRule type="expression" dxfId="0" priority="109">
      <formula>AND(ISBLANK(D34)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5">
    <cfRule type="expression" dxfId="0" priority="113">
      <formula>AND(ISBLANK(D35)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6">
    <cfRule type="expression" dxfId="0" priority="117">
      <formula>AND(ISBLANK(D36)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7">
    <cfRule type="expression" dxfId="0" priority="121">
      <formula>AND(ISBLANK(D37)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8">
    <cfRule type="expression" dxfId="0" priority="125">
      <formula>AND(ISBLANK(D38)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9">
    <cfRule type="expression" dxfId="0" priority="129">
      <formula>AND(ISBLANK(D39)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0">
    <cfRule type="expression" dxfId="0" priority="133">
      <formula>AND(ISBLANK(D40)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1">
    <cfRule type="expression" dxfId="0" priority="137">
      <formula>AND(ISBLANK(D41)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2">
    <cfRule type="expression" dxfId="0" priority="141">
      <formula>AND(ISBLANK(D42)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3">
    <cfRule type="expression" dxfId="0" priority="145">
      <formula>AND(ISBLANK(D43)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6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7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4">
    <cfRule type="expression" dxfId="0" priority="149">
      <formula>AND(ISBLANK(D44)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0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1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5">
    <cfRule type="expression" dxfId="0" priority="153">
      <formula>AND(ISBLANK(D45)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4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5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6">
    <cfRule type="expression" dxfId="0" priority="157">
      <formula>AND(ISBLANK(D46)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8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9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7">
    <cfRule type="expression" dxfId="0" priority="161">
      <formula>AND(ISBLANK(D47)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2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3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8">
    <cfRule type="expression" dxfId="0" priority="165">
      <formula>AND(ISBLANK(D48)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6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7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9">
    <cfRule type="expression" dxfId="0" priority="169">
      <formula>AND(ISBLANK(D49)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0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1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0">
    <cfRule type="expression" dxfId="0" priority="173">
      <formula>AND(ISBLANK(D50)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4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5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1">
    <cfRule type="expression" dxfId="0" priority="177">
      <formula>AND(ISBLANK(D51)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8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9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mouser_part_data)+4))),ISBLANK(INDIRECT(ADDRESS(ROW(),COLUMN(farnell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mouser_part_data)+0)),INDIRECT(ADDRESS(ROW(),COLUMN(farnell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0">
    <cfRule type="cellIs" dxfId="1" priority="191" operator="equal">
      <formula>0</formula>
    </cfRule>
    <cfRule type="cellIs" dxfId="2" priority="192" operator="lessThan">
      <formula>E10</formula>
    </cfRule>
  </conditionalFormatting>
  <conditionalFormatting sqref="M11">
    <cfRule type="cellIs" dxfId="1" priority="196" operator="equal">
      <formula>0</formula>
    </cfRule>
    <cfRule type="cellIs" dxfId="2" priority="197" operator="lessThan">
      <formula>E11</formula>
    </cfRule>
  </conditionalFormatting>
  <conditionalFormatting sqref="M12">
    <cfRule type="cellIs" dxfId="1" priority="201" operator="equal">
      <formula>0</formula>
    </cfRule>
    <cfRule type="cellIs" dxfId="2" priority="202" operator="lessThan">
      <formula>E12</formula>
    </cfRule>
  </conditionalFormatting>
  <conditionalFormatting sqref="M13">
    <cfRule type="cellIs" dxfId="1" priority="206" operator="equal">
      <formula>0</formula>
    </cfRule>
    <cfRule type="cellIs" dxfId="2" priority="207" operator="lessThan">
      <formula>E13</formula>
    </cfRule>
  </conditionalFormatting>
  <conditionalFormatting sqref="M14">
    <cfRule type="cellIs" dxfId="1" priority="211" operator="equal">
      <formula>0</formula>
    </cfRule>
    <cfRule type="cellIs" dxfId="2" priority="212" operator="lessThan">
      <formula>E14</formula>
    </cfRule>
  </conditionalFormatting>
  <conditionalFormatting sqref="M16">
    <cfRule type="cellIs" dxfId="1" priority="216" operator="equal">
      <formula>0</formula>
    </cfRule>
    <cfRule type="cellIs" dxfId="2" priority="217" operator="lessThan">
      <formula>E16</formula>
    </cfRule>
  </conditionalFormatting>
  <conditionalFormatting sqref="M17">
    <cfRule type="cellIs" dxfId="1" priority="222" operator="equal">
      <formula>0</formula>
    </cfRule>
    <cfRule type="cellIs" dxfId="2" priority="223" operator="lessThan">
      <formula>E17</formula>
    </cfRule>
  </conditionalFormatting>
  <conditionalFormatting sqref="M18">
    <cfRule type="cellIs" dxfId="1" priority="227" operator="equal">
      <formula>0</formula>
    </cfRule>
    <cfRule type="cellIs" dxfId="2" priority="228" operator="lessThan">
      <formula>E18</formula>
    </cfRule>
  </conditionalFormatting>
  <conditionalFormatting sqref="M19">
    <cfRule type="cellIs" dxfId="1" priority="232" operator="equal">
      <formula>0</formula>
    </cfRule>
    <cfRule type="cellIs" dxfId="2" priority="233" operator="lessThan">
      <formula>E19</formula>
    </cfRule>
  </conditionalFormatting>
  <conditionalFormatting sqref="M22">
    <cfRule type="cellIs" dxfId="1" priority="237" operator="equal">
      <formula>0</formula>
    </cfRule>
    <cfRule type="cellIs" dxfId="2" priority="238" operator="lessThan">
      <formula>E22</formula>
    </cfRule>
  </conditionalFormatting>
  <conditionalFormatting sqref="M23">
    <cfRule type="cellIs" dxfId="1" priority="242" operator="equal">
      <formula>0</formula>
    </cfRule>
    <cfRule type="cellIs" dxfId="2" priority="243" operator="lessThan">
      <formula>E23</formula>
    </cfRule>
  </conditionalFormatting>
  <conditionalFormatting sqref="M25">
    <cfRule type="cellIs" dxfId="1" priority="247" operator="equal">
      <formula>0</formula>
    </cfRule>
    <cfRule type="cellIs" dxfId="2" priority="248" operator="lessThan">
      <formula>E25</formula>
    </cfRule>
  </conditionalFormatting>
  <conditionalFormatting sqref="M26">
    <cfRule type="cellIs" dxfId="1" priority="252" operator="equal">
      <formula>0</formula>
    </cfRule>
    <cfRule type="cellIs" dxfId="2" priority="253" operator="lessThan">
      <formula>E26</formula>
    </cfRule>
  </conditionalFormatting>
  <conditionalFormatting sqref="M28">
    <cfRule type="cellIs" dxfId="1" priority="257" operator="equal">
      <formula>0</formula>
    </cfRule>
    <cfRule type="cellIs" dxfId="2" priority="258" operator="lessThan">
      <formula>E28</formula>
    </cfRule>
  </conditionalFormatting>
  <conditionalFormatting sqref="M29">
    <cfRule type="cellIs" dxfId="1" priority="262" operator="equal">
      <formula>0</formula>
    </cfRule>
    <cfRule type="cellIs" dxfId="2" priority="263" operator="lessThan">
      <formula>E29</formula>
    </cfRule>
  </conditionalFormatting>
  <conditionalFormatting sqref="M30">
    <cfRule type="cellIs" dxfId="1" priority="267" operator="equal">
      <formula>0</formula>
    </cfRule>
    <cfRule type="cellIs" dxfId="2" priority="268" operator="lessThan">
      <formula>E30</formula>
    </cfRule>
  </conditionalFormatting>
  <conditionalFormatting sqref="M31">
    <cfRule type="cellIs" dxfId="1" priority="272" operator="equal">
      <formula>0</formula>
    </cfRule>
    <cfRule type="cellIs" dxfId="2" priority="273" operator="lessThan">
      <formula>E31</formula>
    </cfRule>
  </conditionalFormatting>
  <conditionalFormatting sqref="M32">
    <cfRule type="cellIs" dxfId="1" priority="278" operator="equal">
      <formula>0</formula>
    </cfRule>
    <cfRule type="cellIs" dxfId="2" priority="279" operator="lessThan">
      <formula>E32</formula>
    </cfRule>
  </conditionalFormatting>
  <conditionalFormatting sqref="M33">
    <cfRule type="cellIs" dxfId="1" priority="284" operator="equal">
      <formula>0</formula>
    </cfRule>
    <cfRule type="cellIs" dxfId="2" priority="285" operator="lessThan">
      <formula>E33</formula>
    </cfRule>
  </conditionalFormatting>
  <conditionalFormatting sqref="M34">
    <cfRule type="cellIs" dxfId="1" priority="289" operator="equal">
      <formula>0</formula>
    </cfRule>
    <cfRule type="cellIs" dxfId="2" priority="290" operator="lessThan">
      <formula>E34</formula>
    </cfRule>
  </conditionalFormatting>
  <conditionalFormatting sqref="M48">
    <cfRule type="cellIs" dxfId="1" priority="294" operator="equal">
      <formula>0</formula>
    </cfRule>
    <cfRule type="cellIs" dxfId="2" priority="295" operator="lessThan">
      <formula>E48</formula>
    </cfRule>
  </conditionalFormatting>
  <conditionalFormatting sqref="M51">
    <cfRule type="cellIs" dxfId="1" priority="299" operator="equal">
      <formula>0</formula>
    </cfRule>
    <cfRule type="cellIs" dxfId="2" priority="300" operator="lessThan">
      <formula>E51</formula>
    </cfRule>
  </conditionalFormatting>
  <conditionalFormatting sqref="M8">
    <cfRule type="cellIs" dxfId="1" priority="181" operator="equal">
      <formula>0</formula>
    </cfRule>
    <cfRule type="cellIs" dxfId="2" priority="182" operator="lessThan">
      <formula>E8</formula>
    </cfRule>
  </conditionalFormatting>
  <conditionalFormatting sqref="M9">
    <cfRule type="cellIs" dxfId="1" priority="186" operator="equal">
      <formula>0</formula>
    </cfRule>
    <cfRule type="cellIs" dxfId="2" priority="187" operator="lessThan">
      <formula>E9</formula>
    </cfRule>
  </conditionalFormatting>
  <conditionalFormatting sqref="N10">
    <cfRule type="cellIs" dxfId="1" priority="193" operator="greaterThan">
      <formula>M10</formula>
    </cfRule>
  </conditionalFormatting>
  <conditionalFormatting sqref="N11">
    <cfRule type="cellIs" dxfId="1" priority="198" operator="greaterThan">
      <formula>M11</formula>
    </cfRule>
  </conditionalFormatting>
  <conditionalFormatting sqref="N12">
    <cfRule type="cellIs" dxfId="1" priority="203" operator="greaterThan">
      <formula>M12</formula>
    </cfRule>
  </conditionalFormatting>
  <conditionalFormatting sqref="N13">
    <cfRule type="cellIs" dxfId="1" priority="208" operator="greaterThan">
      <formula>M13</formula>
    </cfRule>
  </conditionalFormatting>
  <conditionalFormatting sqref="N14">
    <cfRule type="cellIs" dxfId="1" priority="213" operator="greaterThan">
      <formula>M14</formula>
    </cfRule>
  </conditionalFormatting>
  <conditionalFormatting sqref="N16">
    <cfRule type="expression" dxfId="3" priority="218">
      <formula>AND(N16&gt;0,N16&lt;50000)</formula>
    </cfRule>
    <cfRule type="cellIs" dxfId="1" priority="219" operator="greaterThan">
      <formula>M16</formula>
    </cfRule>
  </conditionalFormatting>
  <conditionalFormatting sqref="N17">
    <cfRule type="cellIs" dxfId="1" priority="224" operator="greaterThan">
      <formula>M17</formula>
    </cfRule>
  </conditionalFormatting>
  <conditionalFormatting sqref="N18">
    <cfRule type="cellIs" dxfId="1" priority="229" operator="greaterThan">
      <formula>M18</formula>
    </cfRule>
  </conditionalFormatting>
  <conditionalFormatting sqref="N19">
    <cfRule type="cellIs" dxfId="1" priority="234" operator="greaterThan">
      <formula>M19</formula>
    </cfRule>
  </conditionalFormatting>
  <conditionalFormatting sqref="N22">
    <cfRule type="cellIs" dxfId="1" priority="239" operator="greaterThan">
      <formula>M22</formula>
    </cfRule>
  </conditionalFormatting>
  <conditionalFormatting sqref="N23">
    <cfRule type="cellIs" dxfId="1" priority="244" operator="greaterThan">
      <formula>M23</formula>
    </cfRule>
  </conditionalFormatting>
  <conditionalFormatting sqref="N25">
    <cfRule type="cellIs" dxfId="1" priority="249" operator="greaterThan">
      <formula>M25</formula>
    </cfRule>
  </conditionalFormatting>
  <conditionalFormatting sqref="N26">
    <cfRule type="cellIs" dxfId="1" priority="254" operator="greaterThan">
      <formula>M26</formula>
    </cfRule>
  </conditionalFormatting>
  <conditionalFormatting sqref="N28">
    <cfRule type="cellIs" dxfId="1" priority="259" operator="greaterThan">
      <formula>M28</formula>
    </cfRule>
  </conditionalFormatting>
  <conditionalFormatting sqref="N29">
    <cfRule type="cellIs" dxfId="1" priority="264" operator="greaterThan">
      <formula>M29</formula>
    </cfRule>
  </conditionalFormatting>
  <conditionalFormatting sqref="N30">
    <cfRule type="cellIs" dxfId="1" priority="269" operator="greaterThan">
      <formula>M30</formula>
    </cfRule>
  </conditionalFormatting>
  <conditionalFormatting sqref="N31">
    <cfRule type="expression" dxfId="3" priority="274">
      <formula>AND(N31&gt;0,N31&lt;15000)</formula>
    </cfRule>
    <cfRule type="cellIs" dxfId="1" priority="275" operator="greaterThan">
      <formula>M31</formula>
    </cfRule>
  </conditionalFormatting>
  <conditionalFormatting sqref="N32">
    <cfRule type="expression" dxfId="3" priority="280">
      <formula>AND(N32&gt;0,N32&lt;15000)</formula>
    </cfRule>
    <cfRule type="cellIs" dxfId="1" priority="281" operator="greaterThan">
      <formula>M32</formula>
    </cfRule>
  </conditionalFormatting>
  <conditionalFormatting sqref="N33">
    <cfRule type="cellIs" dxfId="1" priority="286" operator="greaterThan">
      <formula>M33</formula>
    </cfRule>
  </conditionalFormatting>
  <conditionalFormatting sqref="N34">
    <cfRule type="cellIs" dxfId="1" priority="291" operator="greaterThan">
      <formula>M34</formula>
    </cfRule>
  </conditionalFormatting>
  <conditionalFormatting sqref="N48">
    <cfRule type="cellIs" dxfId="1" priority="296" operator="greaterThan">
      <formula>M48</formula>
    </cfRule>
  </conditionalFormatting>
  <conditionalFormatting sqref="N51">
    <cfRule type="cellIs" dxfId="1" priority="301" operator="greaterThan">
      <formula>M51</formula>
    </cfRule>
  </conditionalFormatting>
  <conditionalFormatting sqref="N8">
    <cfRule type="cellIs" dxfId="1" priority="183" operator="greaterThan">
      <formula>M8</formula>
    </cfRule>
  </conditionalFormatting>
  <conditionalFormatting sqref="N9">
    <cfRule type="cellIs" dxfId="1" priority="188" operator="greaterThan">
      <formula>M9</formula>
    </cfRule>
  </conditionalFormatting>
  <conditionalFormatting sqref="O10">
    <cfRule type="cellIs" dxfId="4" priority="195" operator="lessThanOrEqual">
      <formula>F10</formula>
    </cfRule>
  </conditionalFormatting>
  <conditionalFormatting sqref="O11">
    <cfRule type="cellIs" dxfId="4" priority="200" operator="lessThanOrEqual">
      <formula>F11</formula>
    </cfRule>
  </conditionalFormatting>
  <conditionalFormatting sqref="O12">
    <cfRule type="cellIs" dxfId="4" priority="205" operator="lessThanOrEqual">
      <formula>F12</formula>
    </cfRule>
  </conditionalFormatting>
  <conditionalFormatting sqref="O13">
    <cfRule type="cellIs" dxfId="4" priority="210" operator="lessThanOrEqual">
      <formula>F13</formula>
    </cfRule>
  </conditionalFormatting>
  <conditionalFormatting sqref="O14">
    <cfRule type="cellIs" dxfId="4" priority="215" operator="lessThanOrEqual">
      <formula>F14</formula>
    </cfRule>
  </conditionalFormatting>
  <conditionalFormatting sqref="O16">
    <cfRule type="cellIs" dxfId="4" priority="221" operator="lessThanOrEqual">
      <formula>F16</formula>
    </cfRule>
  </conditionalFormatting>
  <conditionalFormatting sqref="O17">
    <cfRule type="cellIs" dxfId="4" priority="226" operator="lessThanOrEqual">
      <formula>F17</formula>
    </cfRule>
  </conditionalFormatting>
  <conditionalFormatting sqref="O18">
    <cfRule type="cellIs" dxfId="4" priority="231" operator="lessThanOrEqual">
      <formula>F18</formula>
    </cfRule>
  </conditionalFormatting>
  <conditionalFormatting sqref="O19">
    <cfRule type="cellIs" dxfId="4" priority="236" operator="lessThanOrEqual">
      <formula>F19</formula>
    </cfRule>
  </conditionalFormatting>
  <conditionalFormatting sqref="O22">
    <cfRule type="cellIs" dxfId="4" priority="241" operator="lessThanOrEqual">
      <formula>F22</formula>
    </cfRule>
  </conditionalFormatting>
  <conditionalFormatting sqref="O23">
    <cfRule type="cellIs" dxfId="4" priority="246" operator="lessThanOrEqual">
      <formula>F23</formula>
    </cfRule>
  </conditionalFormatting>
  <conditionalFormatting sqref="O25">
    <cfRule type="cellIs" dxfId="4" priority="251" operator="lessThanOrEqual">
      <formula>F25</formula>
    </cfRule>
  </conditionalFormatting>
  <conditionalFormatting sqref="O26">
    <cfRule type="cellIs" dxfId="4" priority="256" operator="lessThanOrEqual">
      <formula>F26</formula>
    </cfRule>
  </conditionalFormatting>
  <conditionalFormatting sqref="O28">
    <cfRule type="cellIs" dxfId="4" priority="261" operator="lessThanOrEqual">
      <formula>F28</formula>
    </cfRule>
  </conditionalFormatting>
  <conditionalFormatting sqref="O29">
    <cfRule type="cellIs" dxfId="4" priority="266" operator="lessThanOrEqual">
      <formula>F29</formula>
    </cfRule>
  </conditionalFormatting>
  <conditionalFormatting sqref="O30">
    <cfRule type="cellIs" dxfId="4" priority="271" operator="lessThanOrEqual">
      <formula>F30</formula>
    </cfRule>
  </conditionalFormatting>
  <conditionalFormatting sqref="O31">
    <cfRule type="cellIs" dxfId="4" priority="277" operator="lessThanOrEqual">
      <formula>F31</formula>
    </cfRule>
  </conditionalFormatting>
  <conditionalFormatting sqref="O32">
    <cfRule type="cellIs" dxfId="4" priority="283" operator="lessThanOrEqual">
      <formula>F32</formula>
    </cfRule>
  </conditionalFormatting>
  <conditionalFormatting sqref="O33">
    <cfRule type="cellIs" dxfId="4" priority="288" operator="lessThanOrEqual">
      <formula>F33</formula>
    </cfRule>
  </conditionalFormatting>
  <conditionalFormatting sqref="O34">
    <cfRule type="cellIs" dxfId="4" priority="293" operator="lessThanOrEqual">
      <formula>F34</formula>
    </cfRule>
  </conditionalFormatting>
  <conditionalFormatting sqref="O48">
    <cfRule type="cellIs" dxfId="4" priority="298" operator="lessThanOrEqual">
      <formula>F48</formula>
    </cfRule>
  </conditionalFormatting>
  <conditionalFormatting sqref="O51">
    <cfRule type="cellIs" dxfId="4" priority="303" operator="lessThanOrEqual">
      <formula>F51</formula>
    </cfRule>
  </conditionalFormatting>
  <conditionalFormatting sqref="O8">
    <cfRule type="cellIs" dxfId="4" priority="185" operator="lessThanOrEqual">
      <formula>F8</formula>
    </cfRule>
  </conditionalFormatting>
  <conditionalFormatting sqref="O9">
    <cfRule type="cellIs" dxfId="4" priority="190" operator="lessThanOrEqual">
      <formula>F9</formula>
    </cfRule>
  </conditionalFormatting>
  <conditionalFormatting sqref="P10">
    <cfRule type="cellIs" dxfId="4" priority="194" operator="lessThanOrEqual">
      <formula>G10</formula>
    </cfRule>
  </conditionalFormatting>
  <conditionalFormatting sqref="P11">
    <cfRule type="cellIs" dxfId="4" priority="199" operator="lessThanOrEqual">
      <formula>G11</formula>
    </cfRule>
  </conditionalFormatting>
  <conditionalFormatting sqref="P12">
    <cfRule type="cellIs" dxfId="4" priority="204" operator="lessThanOrEqual">
      <formula>G12</formula>
    </cfRule>
  </conditionalFormatting>
  <conditionalFormatting sqref="P13">
    <cfRule type="cellIs" dxfId="4" priority="209" operator="lessThanOrEqual">
      <formula>G13</formula>
    </cfRule>
  </conditionalFormatting>
  <conditionalFormatting sqref="P14">
    <cfRule type="cellIs" dxfId="4" priority="214" operator="lessThanOrEqual">
      <formula>G14</formula>
    </cfRule>
  </conditionalFormatting>
  <conditionalFormatting sqref="P16">
    <cfRule type="cellIs" dxfId="4" priority="220" operator="lessThanOrEqual">
      <formula>G16</formula>
    </cfRule>
  </conditionalFormatting>
  <conditionalFormatting sqref="P17">
    <cfRule type="cellIs" dxfId="4" priority="225" operator="lessThanOrEqual">
      <formula>G17</formula>
    </cfRule>
  </conditionalFormatting>
  <conditionalFormatting sqref="P18">
    <cfRule type="cellIs" dxfId="4" priority="230" operator="lessThanOrEqual">
      <formula>G18</formula>
    </cfRule>
  </conditionalFormatting>
  <conditionalFormatting sqref="P19">
    <cfRule type="cellIs" dxfId="4" priority="235" operator="lessThanOrEqual">
      <formula>G19</formula>
    </cfRule>
  </conditionalFormatting>
  <conditionalFormatting sqref="P22">
    <cfRule type="cellIs" dxfId="4" priority="240" operator="lessThanOrEqual">
      <formula>G22</formula>
    </cfRule>
  </conditionalFormatting>
  <conditionalFormatting sqref="P23">
    <cfRule type="cellIs" dxfId="4" priority="245" operator="lessThanOrEqual">
      <formula>G23</formula>
    </cfRule>
  </conditionalFormatting>
  <conditionalFormatting sqref="P25">
    <cfRule type="cellIs" dxfId="4" priority="250" operator="lessThanOrEqual">
      <formula>G25</formula>
    </cfRule>
  </conditionalFormatting>
  <conditionalFormatting sqref="P26">
    <cfRule type="cellIs" dxfId="4" priority="255" operator="lessThanOrEqual">
      <formula>G26</formula>
    </cfRule>
  </conditionalFormatting>
  <conditionalFormatting sqref="P28">
    <cfRule type="cellIs" dxfId="4" priority="260" operator="lessThanOrEqual">
      <formula>G28</formula>
    </cfRule>
  </conditionalFormatting>
  <conditionalFormatting sqref="P29">
    <cfRule type="cellIs" dxfId="4" priority="265" operator="lessThanOrEqual">
      <formula>G29</formula>
    </cfRule>
  </conditionalFormatting>
  <conditionalFormatting sqref="P30">
    <cfRule type="cellIs" dxfId="4" priority="270" operator="lessThanOrEqual">
      <formula>G30</formula>
    </cfRule>
  </conditionalFormatting>
  <conditionalFormatting sqref="P31">
    <cfRule type="cellIs" dxfId="4" priority="276" operator="lessThanOrEqual">
      <formula>G31</formula>
    </cfRule>
  </conditionalFormatting>
  <conditionalFormatting sqref="P32">
    <cfRule type="cellIs" dxfId="4" priority="282" operator="lessThanOrEqual">
      <formula>G32</formula>
    </cfRule>
  </conditionalFormatting>
  <conditionalFormatting sqref="P33">
    <cfRule type="cellIs" dxfId="4" priority="287" operator="lessThanOrEqual">
      <formula>G33</formula>
    </cfRule>
  </conditionalFormatting>
  <conditionalFormatting sqref="P34">
    <cfRule type="cellIs" dxfId="4" priority="292" operator="lessThanOrEqual">
      <formula>G34</formula>
    </cfRule>
  </conditionalFormatting>
  <conditionalFormatting sqref="P48">
    <cfRule type="cellIs" dxfId="4" priority="297" operator="lessThanOrEqual">
      <formula>G48</formula>
    </cfRule>
  </conditionalFormatting>
  <conditionalFormatting sqref="P51">
    <cfRule type="cellIs" dxfId="4" priority="302" operator="lessThanOrEqual">
      <formula>G51</formula>
    </cfRule>
  </conditionalFormatting>
  <conditionalFormatting sqref="P8">
    <cfRule type="cellIs" dxfId="4" priority="184" operator="lessThanOrEqual">
      <formula>G8</formula>
    </cfRule>
  </conditionalFormatting>
  <conditionalFormatting sqref="P9">
    <cfRule type="cellIs" dxfId="4" priority="189" operator="lessThanOrEqual">
      <formula>G9</formula>
    </cfRule>
  </conditionalFormatting>
  <conditionalFormatting sqref="R10">
    <cfRule type="cellIs" dxfId="1" priority="310" operator="equal">
      <formula>0</formula>
    </cfRule>
    <cfRule type="cellIs" dxfId="2" priority="311" operator="lessThan">
      <formula>E10</formula>
    </cfRule>
  </conditionalFormatting>
  <conditionalFormatting sqref="R11">
    <cfRule type="cellIs" dxfId="1" priority="316" operator="equal">
      <formula>0</formula>
    </cfRule>
    <cfRule type="cellIs" dxfId="2" priority="317" operator="lessThan">
      <formula>E11</formula>
    </cfRule>
  </conditionalFormatting>
  <conditionalFormatting sqref="R12">
    <cfRule type="cellIs" dxfId="1" priority="322" operator="equal">
      <formula>0</formula>
    </cfRule>
    <cfRule type="cellIs" dxfId="2" priority="323" operator="lessThan">
      <formula>E12</formula>
    </cfRule>
  </conditionalFormatting>
  <conditionalFormatting sqref="R14">
    <cfRule type="cellIs" dxfId="1" priority="328" operator="equal">
      <formula>0</formula>
    </cfRule>
    <cfRule type="cellIs" dxfId="2" priority="329" operator="lessThan">
      <formula>E14</formula>
    </cfRule>
  </conditionalFormatting>
  <conditionalFormatting sqref="R18">
    <cfRule type="cellIs" dxfId="1" priority="334" operator="equal">
      <formula>0</formula>
    </cfRule>
    <cfRule type="cellIs" dxfId="2" priority="335" operator="lessThan">
      <formula>E18</formula>
    </cfRule>
  </conditionalFormatting>
  <conditionalFormatting sqref="R19">
    <cfRule type="cellIs" dxfId="1" priority="340" operator="equal">
      <formula>0</formula>
    </cfRule>
    <cfRule type="cellIs" dxfId="2" priority="341" operator="lessThan">
      <formula>E19</formula>
    </cfRule>
  </conditionalFormatting>
  <conditionalFormatting sqref="R28">
    <cfRule type="cellIs" dxfId="1" priority="346" operator="equal">
      <formula>0</formula>
    </cfRule>
    <cfRule type="cellIs" dxfId="2" priority="347" operator="lessThan">
      <formula>E28</formula>
    </cfRule>
  </conditionalFormatting>
  <conditionalFormatting sqref="R30">
    <cfRule type="cellIs" dxfId="1" priority="352" operator="equal">
      <formula>0</formula>
    </cfRule>
    <cfRule type="cellIs" dxfId="2" priority="353" operator="lessThan">
      <formula>E30</formula>
    </cfRule>
  </conditionalFormatting>
  <conditionalFormatting sqref="R31">
    <cfRule type="cellIs" dxfId="1" priority="358" operator="equal">
      <formula>0</formula>
    </cfRule>
    <cfRule type="cellIs" dxfId="2" priority="359" operator="lessThan">
      <formula>E31</formula>
    </cfRule>
  </conditionalFormatting>
  <conditionalFormatting sqref="R32">
    <cfRule type="cellIs" dxfId="1" priority="364" operator="equal">
      <formula>0</formula>
    </cfRule>
    <cfRule type="cellIs" dxfId="2" priority="365" operator="lessThan">
      <formula>E32</formula>
    </cfRule>
  </conditionalFormatting>
  <conditionalFormatting sqref="R33">
    <cfRule type="cellIs" dxfId="1" priority="370" operator="equal">
      <formula>0</formula>
    </cfRule>
    <cfRule type="cellIs" dxfId="2" priority="371" operator="lessThan">
      <formula>E33</formula>
    </cfRule>
  </conditionalFormatting>
  <conditionalFormatting sqref="R34">
    <cfRule type="cellIs" dxfId="1" priority="376" operator="equal">
      <formula>0</formula>
    </cfRule>
    <cfRule type="cellIs" dxfId="2" priority="377" operator="lessThan">
      <formula>E34</formula>
    </cfRule>
  </conditionalFormatting>
  <conditionalFormatting sqref="R8">
    <cfRule type="cellIs" dxfId="1" priority="304" operator="equal">
      <formula>0</formula>
    </cfRule>
    <cfRule type="cellIs" dxfId="2" priority="305" operator="lessThan">
      <formula>E8</formula>
    </cfRule>
  </conditionalFormatting>
  <conditionalFormatting sqref="S10">
    <cfRule type="expression" dxfId="3" priority="312">
      <formula>AND(S10&gt;0,S10&lt;10000)</formula>
    </cfRule>
    <cfRule type="cellIs" dxfId="1" priority="313" operator="greaterThan">
      <formula>R10</formula>
    </cfRule>
  </conditionalFormatting>
  <conditionalFormatting sqref="S11">
    <cfRule type="expression" dxfId="3" priority="318">
      <formula>AND(S11&gt;0,S11&lt;10)</formula>
    </cfRule>
    <cfRule type="cellIs" dxfId="1" priority="319" operator="greaterThan">
      <formula>R11</formula>
    </cfRule>
  </conditionalFormatting>
  <conditionalFormatting sqref="S12">
    <cfRule type="expression" dxfId="3" priority="324">
      <formula>AND(S12&gt;0,S12&lt;10000)</formula>
    </cfRule>
    <cfRule type="cellIs" dxfId="1" priority="325" operator="greaterThan">
      <formula>R12</formula>
    </cfRule>
  </conditionalFormatting>
  <conditionalFormatting sqref="S14">
    <cfRule type="expression" dxfId="3" priority="330">
      <formula>AND(S14&gt;0,S14&lt;10)</formula>
    </cfRule>
    <cfRule type="cellIs" dxfId="1" priority="331" operator="greaterThan">
      <formula>R14</formula>
    </cfRule>
  </conditionalFormatting>
  <conditionalFormatting sqref="S18">
    <cfRule type="expression" dxfId="3" priority="336">
      <formula>AND(S18&gt;0,S18&lt;15000)</formula>
    </cfRule>
    <cfRule type="cellIs" dxfId="1" priority="337" operator="greaterThan">
      <formula>R18</formula>
    </cfRule>
  </conditionalFormatting>
  <conditionalFormatting sqref="S19">
    <cfRule type="expression" dxfId="3" priority="342">
      <formula>AND(S19&gt;0,S19&lt;15000)</formula>
    </cfRule>
    <cfRule type="cellIs" dxfId="1" priority="343" operator="greaterThan">
      <formula>R19</formula>
    </cfRule>
  </conditionalFormatting>
  <conditionalFormatting sqref="S28">
    <cfRule type="expression" dxfId="3" priority="348">
      <formula>AND(S28&gt;0,S28&lt;10)</formula>
    </cfRule>
    <cfRule type="cellIs" dxfId="1" priority="349" operator="greaterThan">
      <formula>R28</formula>
    </cfRule>
  </conditionalFormatting>
  <conditionalFormatting sqref="S30">
    <cfRule type="expression" dxfId="3" priority="354">
      <formula>AND(S30&gt;0,S30&lt;10)</formula>
    </cfRule>
    <cfRule type="cellIs" dxfId="1" priority="355" operator="greaterThan">
      <formula>R30</formula>
    </cfRule>
  </conditionalFormatting>
  <conditionalFormatting sqref="S31">
    <cfRule type="expression" dxfId="3" priority="360">
      <formula>AND(S31&gt;0,S31&lt;15000)</formula>
    </cfRule>
    <cfRule type="cellIs" dxfId="1" priority="361" operator="greaterThan">
      <formula>R31</formula>
    </cfRule>
  </conditionalFormatting>
  <conditionalFormatting sqref="S32">
    <cfRule type="expression" dxfId="3" priority="366">
      <formula>AND(S32&gt;0,S32&lt;15000)</formula>
    </cfRule>
    <cfRule type="cellIs" dxfId="1" priority="367" operator="greaterThan">
      <formula>R32</formula>
    </cfRule>
  </conditionalFormatting>
  <conditionalFormatting sqref="S33">
    <cfRule type="expression" dxfId="3" priority="372">
      <formula>AND(S33&gt;0,S33&lt;50)</formula>
    </cfRule>
    <cfRule type="cellIs" dxfId="1" priority="373" operator="greaterThan">
      <formula>R33</formula>
    </cfRule>
  </conditionalFormatting>
  <conditionalFormatting sqref="S34">
    <cfRule type="expression" dxfId="3" priority="378">
      <formula>AND(S34&gt;0,S34&lt;10)</formula>
    </cfRule>
    <cfRule type="cellIs" dxfId="1" priority="379" operator="greaterThan">
      <formula>R34</formula>
    </cfRule>
  </conditionalFormatting>
  <conditionalFormatting sqref="S8">
    <cfRule type="expression" dxfId="3" priority="306">
      <formula>AND(S8&gt;0,S8&lt;10)</formula>
    </cfRule>
    <cfRule type="cellIs" dxfId="1" priority="307" operator="greaterThan">
      <formula>R8</formula>
    </cfRule>
  </conditionalFormatting>
  <conditionalFormatting sqref="T10">
    <cfRule type="cellIs" dxfId="4" priority="315" operator="lessThanOrEqual">
      <formula>F10</formula>
    </cfRule>
  </conditionalFormatting>
  <conditionalFormatting sqref="T11">
    <cfRule type="cellIs" dxfId="4" priority="321" operator="lessThanOrEqual">
      <formula>F11</formula>
    </cfRule>
  </conditionalFormatting>
  <conditionalFormatting sqref="T12">
    <cfRule type="cellIs" dxfId="4" priority="327" operator="lessThanOrEqual">
      <formula>F12</formula>
    </cfRule>
  </conditionalFormatting>
  <conditionalFormatting sqref="T14">
    <cfRule type="cellIs" dxfId="4" priority="333" operator="lessThanOrEqual">
      <formula>F14</formula>
    </cfRule>
  </conditionalFormatting>
  <conditionalFormatting sqref="T18">
    <cfRule type="cellIs" dxfId="4" priority="339" operator="lessThanOrEqual">
      <formula>F18</formula>
    </cfRule>
  </conditionalFormatting>
  <conditionalFormatting sqref="T19">
    <cfRule type="cellIs" dxfId="4" priority="345" operator="lessThanOrEqual">
      <formula>F19</formula>
    </cfRule>
  </conditionalFormatting>
  <conditionalFormatting sqref="T28">
    <cfRule type="cellIs" dxfId="4" priority="351" operator="lessThanOrEqual">
      <formula>F28</formula>
    </cfRule>
  </conditionalFormatting>
  <conditionalFormatting sqref="T30">
    <cfRule type="cellIs" dxfId="4" priority="357" operator="lessThanOrEqual">
      <formula>F30</formula>
    </cfRule>
  </conditionalFormatting>
  <conditionalFormatting sqref="T31">
    <cfRule type="cellIs" dxfId="4" priority="363" operator="lessThanOrEqual">
      <formula>F31</formula>
    </cfRule>
  </conditionalFormatting>
  <conditionalFormatting sqref="T32">
    <cfRule type="cellIs" dxfId="4" priority="369" operator="lessThanOrEqual">
      <formula>F32</formula>
    </cfRule>
  </conditionalFormatting>
  <conditionalFormatting sqref="T33">
    <cfRule type="cellIs" dxfId="4" priority="375" operator="lessThanOrEqual">
      <formula>F33</formula>
    </cfRule>
  </conditionalFormatting>
  <conditionalFormatting sqref="T34">
    <cfRule type="cellIs" dxfId="4" priority="381" operator="lessThanOrEqual">
      <formula>F34</formula>
    </cfRule>
  </conditionalFormatting>
  <conditionalFormatting sqref="T8">
    <cfRule type="cellIs" dxfId="4" priority="309" operator="lessThanOrEqual">
      <formula>F8</formula>
    </cfRule>
  </conditionalFormatting>
  <conditionalFormatting sqref="U10">
    <cfRule type="cellIs" dxfId="4" priority="314" operator="lessThanOrEqual">
      <formula>G10</formula>
    </cfRule>
  </conditionalFormatting>
  <conditionalFormatting sqref="U11">
    <cfRule type="cellIs" dxfId="4" priority="320" operator="lessThanOrEqual">
      <formula>G11</formula>
    </cfRule>
  </conditionalFormatting>
  <conditionalFormatting sqref="U12">
    <cfRule type="cellIs" dxfId="4" priority="326" operator="lessThanOrEqual">
      <formula>G12</formula>
    </cfRule>
  </conditionalFormatting>
  <conditionalFormatting sqref="U14">
    <cfRule type="cellIs" dxfId="4" priority="332" operator="lessThanOrEqual">
      <formula>G14</formula>
    </cfRule>
  </conditionalFormatting>
  <conditionalFormatting sqref="U18">
    <cfRule type="cellIs" dxfId="4" priority="338" operator="lessThanOrEqual">
      <formula>G18</formula>
    </cfRule>
  </conditionalFormatting>
  <conditionalFormatting sqref="U19">
    <cfRule type="cellIs" dxfId="4" priority="344" operator="lessThanOrEqual">
      <formula>G19</formula>
    </cfRule>
  </conditionalFormatting>
  <conditionalFormatting sqref="U28">
    <cfRule type="cellIs" dxfId="4" priority="350" operator="lessThanOrEqual">
      <formula>G28</formula>
    </cfRule>
  </conditionalFormatting>
  <conditionalFormatting sqref="U30">
    <cfRule type="cellIs" dxfId="4" priority="356" operator="lessThanOrEqual">
      <formula>G30</formula>
    </cfRule>
  </conditionalFormatting>
  <conditionalFormatting sqref="U31">
    <cfRule type="cellIs" dxfId="4" priority="362" operator="lessThanOrEqual">
      <formula>G31</formula>
    </cfRule>
  </conditionalFormatting>
  <conditionalFormatting sqref="U32">
    <cfRule type="cellIs" dxfId="4" priority="368" operator="lessThanOrEqual">
      <formula>G32</formula>
    </cfRule>
  </conditionalFormatting>
  <conditionalFormatting sqref="U33">
    <cfRule type="cellIs" dxfId="4" priority="374" operator="lessThanOrEqual">
      <formula>G33</formula>
    </cfRule>
  </conditionalFormatting>
  <conditionalFormatting sqref="U34">
    <cfRule type="cellIs" dxfId="4" priority="380" operator="lessThanOrEqual">
      <formula>G34</formula>
    </cfRule>
  </conditionalFormatting>
  <conditionalFormatting sqref="U8">
    <cfRule type="cellIs" dxfId="4" priority="308" operator="lessThanOrEqual">
      <formula>G8</formula>
    </cfRule>
  </conditionalFormatting>
  <conditionalFormatting sqref="W14">
    <cfRule type="cellIs" dxfId="1" priority="382" operator="equal">
      <formula>0</formula>
    </cfRule>
    <cfRule type="cellIs" dxfId="2" priority="383" operator="lessThan">
      <formula>E14</formula>
    </cfRule>
  </conditionalFormatting>
  <conditionalFormatting sqref="W48">
    <cfRule type="cellIs" dxfId="1" priority="388" operator="equal">
      <formula>0</formula>
    </cfRule>
    <cfRule type="cellIs" dxfId="2" priority="389" operator="lessThan">
      <formula>E48</formula>
    </cfRule>
  </conditionalFormatting>
  <conditionalFormatting sqref="X14">
    <cfRule type="expression" dxfId="3" priority="384">
      <formula>AND(X14&gt;0,X14&lt;100)</formula>
    </cfRule>
    <cfRule type="cellIs" dxfId="1" priority="385" operator="greaterThan">
      <formula>W14</formula>
    </cfRule>
  </conditionalFormatting>
  <conditionalFormatting sqref="X48">
    <cfRule type="cellIs" dxfId="1" priority="390" operator="greaterThan">
      <formula>W48</formula>
    </cfRule>
  </conditionalFormatting>
  <conditionalFormatting sqref="Y14">
    <cfRule type="cellIs" dxfId="4" priority="387" operator="lessThanOrEqual">
      <formula>F14</formula>
    </cfRule>
  </conditionalFormatting>
  <conditionalFormatting sqref="Y48">
    <cfRule type="cellIs" dxfId="4" priority="392" operator="lessThanOrEqual">
      <formula>F48</formula>
    </cfRule>
  </conditionalFormatting>
  <conditionalFormatting sqref="Z14">
    <cfRule type="cellIs" dxfId="4" priority="386" operator="lessThanOrEqual">
      <formula>G14</formula>
    </cfRule>
  </conditionalFormatting>
  <conditionalFormatting sqref="Z48">
    <cfRule type="cellIs" dxfId="4" priority="391" operator="lessThanOrEqual">
      <formula>G48</formula>
    </cfRule>
  </conditionalFormatting>
  <hyperlinks>
    <hyperlink ref="D8" r:id="rId1"/>
    <hyperlink ref="Q8" r:id="rId2"/>
    <hyperlink ref="V8" r:id="rId3"/>
    <hyperlink ref="AF8" r:id="rId4"/>
    <hyperlink ref="AK8" r:id="rId5"/>
    <hyperlink ref="AP8" r:id="rId6"/>
    <hyperlink ref="AU8" r:id="rId7"/>
    <hyperlink ref="D9" r:id="rId8"/>
    <hyperlink ref="Q9" r:id="rId9"/>
    <hyperlink ref="D10" r:id="rId10"/>
    <hyperlink ref="Q10" r:id="rId11"/>
    <hyperlink ref="V10" r:id="rId12"/>
    <hyperlink ref="AF10" r:id="rId13"/>
    <hyperlink ref="AK10" r:id="rId14"/>
    <hyperlink ref="D11" r:id="rId15"/>
    <hyperlink ref="Q11" r:id="rId16"/>
    <hyperlink ref="V11" r:id="rId17"/>
    <hyperlink ref="AF11" r:id="rId18"/>
    <hyperlink ref="AK11" r:id="rId19"/>
    <hyperlink ref="AP11" r:id="rId20"/>
    <hyperlink ref="AU11" r:id="rId21"/>
    <hyperlink ref="D12" r:id="rId22"/>
    <hyperlink ref="Q12" r:id="rId23"/>
    <hyperlink ref="V12" r:id="rId24"/>
    <hyperlink ref="AF12" r:id="rId25"/>
    <hyperlink ref="AK12" r:id="rId26"/>
    <hyperlink ref="Q13" r:id="rId27"/>
    <hyperlink ref="AF13" r:id="rId28"/>
    <hyperlink ref="D14" r:id="rId29"/>
    <hyperlink ref="Q14" r:id="rId30"/>
    <hyperlink ref="V14" r:id="rId31"/>
    <hyperlink ref="AA14" r:id="rId32"/>
    <hyperlink ref="AF14" r:id="rId33"/>
    <hyperlink ref="AK14" r:id="rId34"/>
    <hyperlink ref="AP14" r:id="rId35"/>
    <hyperlink ref="AU14" r:id="rId36"/>
    <hyperlink ref="D16" r:id="rId37"/>
    <hyperlink ref="Q16" r:id="rId38"/>
    <hyperlink ref="AF16" r:id="rId39"/>
    <hyperlink ref="Q17" r:id="rId40"/>
    <hyperlink ref="D18" r:id="rId41"/>
    <hyperlink ref="Q18" r:id="rId42"/>
    <hyperlink ref="V18" r:id="rId43"/>
    <hyperlink ref="AF18" r:id="rId44"/>
    <hyperlink ref="AK18" r:id="rId45"/>
    <hyperlink ref="AP18" r:id="rId46"/>
    <hyperlink ref="D19" r:id="rId47"/>
    <hyperlink ref="Q19" r:id="rId48"/>
    <hyperlink ref="V19" r:id="rId49"/>
    <hyperlink ref="AF19" r:id="rId50"/>
    <hyperlink ref="AK19" r:id="rId51"/>
    <hyperlink ref="AP19" r:id="rId52"/>
    <hyperlink ref="D20" r:id="rId53"/>
    <hyperlink ref="Q22" r:id="rId54"/>
    <hyperlink ref="AF22" r:id="rId55"/>
    <hyperlink ref="Q23" r:id="rId56"/>
    <hyperlink ref="AF23" r:id="rId57"/>
    <hyperlink ref="D25" r:id="rId58"/>
    <hyperlink ref="Q25" r:id="rId59"/>
    <hyperlink ref="AK25" r:id="rId60"/>
    <hyperlink ref="D26" r:id="rId61"/>
    <hyperlink ref="Q26" r:id="rId62"/>
    <hyperlink ref="AF26" r:id="rId63"/>
    <hyperlink ref="AK26" r:id="rId64"/>
    <hyperlink ref="D27" r:id="rId65"/>
    <hyperlink ref="AF27" r:id="rId66"/>
    <hyperlink ref="D28" r:id="rId67"/>
    <hyperlink ref="Q28" r:id="rId68"/>
    <hyperlink ref="V28" r:id="rId69"/>
    <hyperlink ref="AF28" r:id="rId70"/>
    <hyperlink ref="AK28" r:id="rId71"/>
    <hyperlink ref="D29" r:id="rId72"/>
    <hyperlink ref="Q29" r:id="rId73"/>
    <hyperlink ref="AK29" r:id="rId74"/>
    <hyperlink ref="D30" r:id="rId75"/>
    <hyperlink ref="Q30" r:id="rId76"/>
    <hyperlink ref="V30" r:id="rId77"/>
    <hyperlink ref="AF30" r:id="rId78"/>
    <hyperlink ref="AK30" r:id="rId79"/>
    <hyperlink ref="D31" r:id="rId80"/>
    <hyperlink ref="Q31" r:id="rId81"/>
    <hyperlink ref="V31" r:id="rId82"/>
    <hyperlink ref="AF31" r:id="rId83"/>
    <hyperlink ref="AK31" r:id="rId84"/>
    <hyperlink ref="D32" r:id="rId85"/>
    <hyperlink ref="Q32" r:id="rId86"/>
    <hyperlink ref="V32" r:id="rId87"/>
    <hyperlink ref="AF32" r:id="rId88"/>
    <hyperlink ref="AK32" r:id="rId89"/>
    <hyperlink ref="D33" r:id="rId90"/>
    <hyperlink ref="Q33" r:id="rId91"/>
    <hyperlink ref="V33" r:id="rId92"/>
    <hyperlink ref="AF33" r:id="rId93"/>
    <hyperlink ref="AK33" r:id="rId94"/>
    <hyperlink ref="D34" r:id="rId95"/>
    <hyperlink ref="Q34" r:id="rId96"/>
    <hyperlink ref="V34" r:id="rId97"/>
    <hyperlink ref="AF34" r:id="rId98"/>
    <hyperlink ref="AK34" r:id="rId99"/>
    <hyperlink ref="Q48" r:id="rId100"/>
    <hyperlink ref="AA48" r:id="rId101"/>
    <hyperlink ref="AF48" r:id="rId102"/>
    <hyperlink ref="D51" r:id="rId103"/>
    <hyperlink ref="Q51" r:id="rId104"/>
    <hyperlink ref="AF51" r:id="rId105"/>
  </hyperlinks>
  <pageMargins left="0.7" right="0.7" top="0.75" bottom="0.75" header="0.3" footer="0.3"/>
  <legacyDrawing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md204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2020-04-27T05:56:02Z</dcterms:created>
  <dcterms:modified xsi:type="dcterms:W3CDTF">2020-04-27T05:56:02Z</dcterms:modified>
</cp:coreProperties>
</file>