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01. " sheetId="1" r:id="rId1"/>
  </sheets>
  <definedNames>
    <definedName name="arrow_part_data">'EV01. '!$H$5:$L$57</definedName>
    <definedName name="BoardQty">'EV01. '!$G$1</definedName>
    <definedName name="digikey_part_data">'EV01. '!$M$5:$Q$57</definedName>
    <definedName name="farnell_part_data">'EV01. '!$R$5:$V$57</definedName>
    <definedName name="global_part_data">'EV01. '!$A$5:$G$57</definedName>
    <definedName name="lcsc_part_data">'EV01. '!$W$5:$AA$57</definedName>
    <definedName name="mouser_part_data">'EV01. '!$AB$5:$AF$57</definedName>
    <definedName name="newark_part_data">'EV01. '!$AG$5:$AK$57</definedName>
    <definedName name="PURCHASE_DESCRIPTION">'EV01. '!$G$60</definedName>
    <definedName name="rs_part_data">'EV01. '!$AL$5:$AP$57</definedName>
    <definedName name="tme_part_data">'EV01. '!$AQ$5:$AU$57</definedName>
    <definedName name="TotalCost">'EV01. '!$G$3</definedName>
    <definedName name="USD_GBP">'EV01. '!$C$60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$1.39
   100   $0.07      $7.02
   500   $0.05     $24.01
  1000   $0.04     $42.48
  2500   $0.04    $101.58
  5000   $0.04    $184.70
 10000   $0.03    $292.00
 20000   $0.03    $554.80</t>
        </r>
      </text>
    </comment>
    <comment ref="AD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$1.38
   100   $0.07      $7.00
   500   $0.05     $24.00
  1000   $0.04     $42.00
  2500   $0.04     $95.00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$1.17
   100   $0.06      $5.50
   500   $0.04     $19.29
  1000   $0.03     $31.94
  2500   $0.03     $74.32
  5000   $0.03    $136.00
 10000   $0.02    $220.00
 20000   $0.02    $418.00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40000   $0.04  $1,625.20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$0.18      $1.81
   100   $0.10     $10.30
   500   $0.07     $36.50
  1000   $0.06     $63.00
  2500   $0.06    $145.00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$0.67      $6.66
   100   $0.48     $47.65
   500   $0.37    $184.44
  1000   $0.32    $317.64
  2500   $0.30    $742.88
  5000   $0.28  $1,408.90
 10000   $0.24  $2,405.70
 20000   $0.24  $4,740.20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£0.22  £2,230.00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$1.04      $1.04
    10   $0.80      $7.98
   100   $0.51     $50.60
   500   $0.44    $221.00
  1000   $0.38    $380.00
  2500   $0.32    $805.00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25   $0.80     $19.95
   100   $0.57     $57.10
   250   $0.51    $126.50
   500   $0.44    $221.00
  1000   $0.38    $380.00
  2500   $0.32    $805.00
  5000   $0.27  $1,365.00
 10000   $0.25  $2,520.00
 20000   $0.24  $4,700.00
 30000   $0.22  $6,570.00
 50000   $0.21 $10,450.00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50000   $0.01    $717.00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$0.06      $0.60
   100   $0.04      $4.00
   500   $0.03     $15.00
  1000   $0.03     $30.00
  2000   $0.03     $60.00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£0.54
   100   £0.03      £2.95
   150   £0.03      £4.42
   500   £0.02     £11.35
  2500   £0.02     £42.25
  5000   £0.01     £72.00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$0.53
   100   $0.03      $3.30
   500   $0.03     $13.50
  1000   $0.02     $22.00
  2000   $0.02     $36.00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$0.53
    25   $0.05      $1.15
    50   $0.04      $2.00
   100   $0.03      $3.30
   250   $0.03      $7.50
   500   $0.03     $13.50
  1000   $0.02     $22.00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$1.17
   100   $0.06      $5.52
   500   $0.04     $19.34
  1000   $0.03     $32.03
  2500   $0.03     $74.52
  5000   $0.03    $136.35
 10000   $0.02    $227.00
 20000   $0.02    $431.40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£0.87
   100   £0.05      £4.93
   150   £0.05      £7.40
   500   £0.03     £16.75
  2500   £0.02     £59.75
  5000   £0.02    £109.50
 10000   £0.02    £240.00
 50000   £0.02  £1,000.00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$1.17
   100   $0.06      $5.50
   500   $0.04     $19.00
  1000   $0.03     $32.00
  2000   $0.03     $54.00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10   $0.10      $1.05
    25   $0.09      $2.28
    50   $0.08      $3.95
   100   $0.06      $6.50
   250   $0.06     $15.00
   500   $0.05     $27.00
  1000   $0.04     $44.00
  5000   $0.03    $165.00
 10000   $0.03    $280.00
 20000   $0.02    $480.00
 30000   $0.02    $600.00</t>
        </r>
      </text>
    </comment>
    <comment ref="O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$0.02      $1.60
   500   $0.01      $5.71
  1000   $0.01      $8.98
  2500   $0.01     $20.40
  5000   $0.01     $37.55
 15000   $0.01     $85.05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100   $0.01      $1.20
   500   $0.01      $5.00
  1000   $0.01      $8.00
  5000   $0.01     $35.00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$4.66
  1000   $0.01      $7.32
  2500   $0.01     $16.65
  5000   $0.01     $30.60
 15000   $0.00     $48.00
 30000   $0.00     $91.20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£0.42
   100   £0.03      £2.71
   150   £0.03      £4.06
   500   £0.02      £8.85
  2500   £0.01     £32.75
  7500   £0.01     £84.00
 15000   £0.01     £90.00
 75000   £0.00    £165.00</t>
        </r>
      </text>
    </comment>
    <comment ref="Y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$0.16
  1000   $0.00      $1.22
  3000   $0.00      $3.42
 10000   $0.00     $10.60
 50000   $0.00     $51.50
100000   $0.00    $101.00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$4.50
  1000   $0.01      $7.00
  2500   $0.01     $15.00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$0.02      $0.24
    25   $0.02      $0.48
    50   $0.01      $0.70
   100   $0.01      $1.00
   250   $0.01      $2.25
   500   $0.01      $4.00
  1000   $0.01      $6.00
 15000   $0.00     $75.00</t>
        </r>
      </text>
    </comment>
    <comment ref="AN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£0.01      £1.80
  2000   £0.01     £16.00
 15000   £0.00     £45.00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$0.45      $4.48
   100   $0.29     $29.48
   500   $0.22    $109.18
  1000   $0.19    $185.60
  2500   $0.17    $436.70
  5000   $0.16    $818.80
 10000   $0.13  $1,329.00
 20000   $0.13  $2,610.60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£0.43      £4.28
   100   £0.24     £23.60
   150   £0.24     £35.40
   500   £0.15     £75.50
  2500   £0.13    £330.00
  5000   £0.13    £655.00
 10000   £0.10  £1,010.00
 50000   £0.10  £4,750.00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$0.63      $0.63
    10   $0.45      $4.48
   100   $0.29     $29.40
   500   $0.22    $109.00
  1000   $0.18    $185.00
  2000   $0.16    $326.00
 10000   $0.13  $1,320.00
 20000   $0.13  $2,600.00
 50000   $0.12  $6,150.00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$0.56      $5.60
    25   $0.50     $12.40
    50   $0.43     $21.55
   100   $0.37     $36.80
   250   $0.32     $80.00
   500   $0.27    $136.50
  1000   $0.23    $231.00
 10000   $0.17  $1,670.00
 20000   $0.16  $3,260.00
 30000   $0.14  $4,050.00
 40000   $0.16  $6,360.00
 50000   $0.12  $6,150.00
 60000   $0.15  $9,240.00</t>
        </r>
      </text>
    </comment>
    <comment ref="AN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£0.34     £17.25
   100   £0.18     £18.00
   500   £0.13     £64.50
  2500   £0.10    £255.00
  5000   £0.10    £490.00
 10000   £0.11  £1,120.00</t>
        </r>
      </text>
    </comment>
    <comment ref="M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20000   $0.01    $289.80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£0.01    £136.00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$0.06      $0.60
   100   $0.04      $4.00
   500   $0.03     $15.00
  1000   $0.03     $30.00
  2000   $0.02     $40.00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$4.66
  1000   $0.01      $7.32
  2500   $0.01     $16.65
  5000   $0.01     $30.60
 15000   $0.00     $63.00
 30000   $0.00    $119.70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£21.00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 500   $0.01      $4.00
  1000   $0.01      $6.00
  2500   $0.01     $15.00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$45.00</t>
        </r>
      </text>
    </comment>
    <comment ref="AN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£0.01      £3.00
  2500   £0.00     £12.50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$1.30
   500   $0.01      $4.66
  1000   $0.01      $7.32
  2500   $0.01     $16.65
  5000   $0.01     $30.60
 15000   $0.00     $63.00
 30000   $0.00    $119.70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£21.00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 500   $0.01      $4.00
  1000   $0.01      $6.00
  2500   $0.01     $15.00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15000   $0.00     $45.00</t>
        </r>
      </text>
    </comment>
    <comment ref="AN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£0.01      £3.00
  2500   £0.00     £12.50</t>
        </r>
      </text>
    </comment>
    <comment ref="O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$0.41
   100   $0.02      $1.84
   500   $0.01      $6.56
  1000   $0.01     $10.31
  2500   $0.01     $23.42
  5000   $0.01     $43.10
 10000   $0.01     $68.40
 20000   $0.01    $130.20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£0.06      £0.06
    50   £0.03      £1.46
   100   £0.02      £1.50
   250   £0.01      £3.30
   500   £0.01      £5.95
  1000   £0.01      £9.90
  2500   £0.01     £21.00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100   $0.02      $1.50
   500   $0.01      $6.50
  1000   $0.01     $10.00
  5000   $0.01     $45.00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$0.01      $0.15
   100   $0.01      $0.60
   250   $0.01      $1.50
   500   $0.01      $3.00
  1000   $0.01      $6.00
  2500   $0.01     $15.00
  5000   $0.01     $30.00
 10000   $0.01     $70.00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50   $0.14      $7.25
   100   $0.12     $12.50
   500   $0.11     $54.00
  4000   $0.11    $432.00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£0.15      £0.74
    25   £0.13      £3.32
   100   £0.11     £10.60
   150   £0.11     £15.90
   250   £0.10     £25.25
   500   £0.09     £43.65
  1000   £0.09     £85.60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$0.16      $1.55
    25   $0.16      $3.88
    50   $0.14      $7.25
   100   $0.12     $12.50
   250   $0.11     $27.25</t>
        </r>
      </text>
    </comment>
    <comment ref="AI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$0.16      $0.80
    10   $0.15      $1.51
    25   $0.15      $3.65
    50   $0.14      $7.05
   100   $0.12     $12.30
   250   $0.12     $29.00
   500   $0.11     $54.00</t>
        </r>
      </text>
    </comment>
    <comment ref="AN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£0.09      £9.10
   500   £0.08     £37.50
  1000   £0.07     £71.00
  2000   £0.07    £134.00
  4000   £0.06    £256.00</t>
        </r>
      </text>
    </comment>
    <comment ref="O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50   $0.13      $6.65
   100   $0.11     $11.40
   500   $0.10     $49.50
  4000   $0.10    $396.00</t>
        </r>
      </text>
    </comment>
    <comment ref="T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£0.12      £2.93
   100   £0.10      £9.57
   150   £0.10     £14.35
   250   £0.09     £22.47
   500   £0.08     £38.45
  1000   £0.08     £75.40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$0.14      $1.40
    25   $0.14      $3.50
    50   $0.13      $6.65
   100   $0.11     $11.40
   250   $0.10     $25.00</t>
        </r>
      </text>
    </comment>
    <comment ref="AI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$0.15      $0.74
    10   $0.15      $1.46
    25   $0.14      $3.55
    50   $0.14      $6.85
   100   $0.12     $11.90
   250   $0.11     $28.00
   500   $0.10     $52.50</t>
        </r>
      </text>
    </comment>
    <comment ref="AN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£8.50
   500   £0.07     £34.00
  1000   £0.06     £65.00
  2000   £0.06    £122.00
  4000   £0.06    £232.00</t>
        </r>
      </text>
    </comment>
    <comment ref="O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$0.10      $0.99
    25   $0.08      $1.93
    50   $0.06      $3.19
   100   $0.06      $5.50
   250   $0.04     $11.00
   500   $0.04     $19.80
  1000   $0.03     $33.00
  5000   $0.03    $154.00
 10000   $0.02    $159.50
 20000   $0.02    $308.00
 30000   $0.01    $429.00
 50000   $0.01    $707.00</t>
        </r>
      </text>
    </comment>
    <comment ref="AD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$0.54
   100   $0.03      $2.90
   500   $0.03     $13.00
  1000   $0.02     $22.00
  2500   $0.02     $47.50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$0.25      $2.53
   100   $0.17     $17.39
   500   $0.15     $74.32
  1000   $0.11    $113.85
  2500   $0.11    $268.80
 10000   $0.09    $852.50
 30000   $0.08  $2,475.00
 50000   $0.08  $3,987.50
100000   $0.08  $7,700.00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$1.92
   100   $0.18     $17.80
   500   $0.16     $78.00
  1000   $0.13    $126.00
  2500   $0.09    $220.00</t>
        </r>
      </text>
    </comment>
    <comment ref="M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$337.90</t>
        </r>
      </text>
    </comment>
    <comment ref="Y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$0.54
   100   $0.04      $4.02
   300   $0.04     $11.31
  1000   $0.04     $35.14
  5000   $0.03    $170.05
 10000   $0.03    $334.50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$0.10      $0.97
    25   $0.07      $1.80
   100   $0.06      $6.20
   500   $0.05     $27.00
  1000   $0.05     $46.00</t>
        </r>
      </text>
    </comment>
    <comment ref="O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$1.65
  1000   $0.01      $7.39
  2500   $0.01     $16.05
  5000   $0.01     $26.50
 10000   $0.00     $41.90</t>
        </r>
      </text>
    </comment>
    <comment ref="AD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$0.41
   100   $0.02      $1.70
  1000   $0.01      $7.00
  2500   $0.00     $12.50
 10000   $0.00     $50.00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$0.32      $3.16
   100   $0.15     $14.60
  1000   $0.11    $114.00
  2500   $0.10    $245.00
 10000   $0.09    $940.00</t>
        </r>
      </text>
    </comment>
    <comment ref="AD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100   $0.00      $0.40
  1000   $0.00      $3.00
  2500   $0.00      $5.00
 10000   $0.00     $20.00</t>
        </r>
      </text>
    </comment>
    <comment ref="M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$337.90</t>
        </r>
      </text>
    </comment>
    <comment ref="Y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$0.54
   100   $0.04      $4.02
   300   $0.04     $11.31
  1000   $0.04     $35.14
  5000   $0.03    $170.05
 10000   $0.03    $334.50</t>
        </r>
      </text>
    </comment>
    <comment ref="AD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$0.10      $0.97
    25   $0.07      $1.80
   100   $0.06      $6.20
   500   $0.05     $27.00
  1000   $0.05     $46.00</t>
        </r>
      </text>
    </comment>
    <comment ref="O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100   $0.01      $1.30
  1000   $0.01      $5.83
  2500   $0.01     $12.65
  5000   $0.00     $20.90
 10000   $0.00     $33.00</t>
        </r>
      </text>
    </comment>
    <comment ref="AD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100   $0.01      $1.30
  1000   $0.00      $5.00
  2500   $0.00      $7.50
 10000   $0.00     $30.00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$0.00     $50.00</t>
        </r>
      </text>
    </comment>
    <comment ref="O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$0.13
    25   $0.01      $0.23
    50   $0.01      $0.36
   100   $0.01      $0.53
   250   $0.00      $1.00
   500   $0.00      $1.60
  1000   $0.00      $2.36
  5000   $0.00      $8.45
 10000   $0.00     $13.40</t>
        </r>
      </text>
    </comment>
    <comment ref="AD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100   $0.00      $0.40
  1000   $0.00      $3.00
  2500   $0.00      $5.00
 10000   $0.00     $20.00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5000   $0.00     $20.00
 10000   $0.00     $30.00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M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$310.30</t>
        </r>
      </text>
    </comment>
    <comment ref="AD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25   $0.06      $1.60
   100   $0.06      $5.50
   500   $0.05     $24.00
  1000   $0.04     $41.00</t>
        </r>
      </text>
    </comment>
    <comment ref="O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100   $0.01      $1.30
  1000   $0.01      $5.83
  2500   $0.01     $12.65
  5000   $0.00     $20.90
 10000   $0.00     $33.00</t>
        </r>
      </text>
    </comment>
    <comment ref="AD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100   $0.01      $1.30
  1000   $0.00      $5.00
  2500   $0.00      $7.50
 10000   $0.00     $30.00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$35.00
 10000   $0.00     $50.00</t>
        </r>
      </text>
    </comment>
    <comment ref="O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$1.75     $17.49
    25   $1.65     $41.25
   100   $1.32    $132.00
   250   $1.16    $288.75
   500   $1.12    $561.00
  1000   $0.89    $891.00
  3000   $0.86  $2,574.00
  6000   $0.82  $4,950.00</t>
        </r>
      </text>
    </comment>
    <comment ref="Y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$2.21      $2.21
    10   $2.16     $21.56
    30   $2.12     $63.48
   100   $2.08    $207.61
   500   $2.08  $1,038.07</t>
        </r>
      </text>
    </comment>
    <comment ref="AD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$1.95      $1.95
    10   $1.65     $16.50
   100   $1.32    $132.00
   250   $1.16    $290.00
   500   $1.13    $565.00
  1000   $0.89    $891.00</t>
        </r>
      </text>
    </comment>
    <comment ref="O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$0.50      $4.95
    50   $0.45     $22.28
   100   $0.40     $39.60
   250   $0.37     $93.09
   500   $0.35    $176.86
   750   $0.33    $244.35
  1250   $0.30    $372.34
  2500   $0.28    $698.15
  6250   $0.27  $1,687.19
 12500   $0.26  $3,258.00</t>
        </r>
      </text>
    </comment>
    <comment ref="AD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$0.45      $4.50
    50   $0.41     $20.30
   100   $0.36     $36.00
   500   $0.32    $158.00
  1000   $0.29    $288.00</t>
        </r>
      </text>
    </comment>
    <comment ref="F59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5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60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60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<sst xmlns="http://schemas.openxmlformats.org/spreadsheetml/2006/main" count="471" uniqueCount="254">
  <si>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</si>
  <si>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</si>
  <si>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</si>
  <si>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</si>
  <si>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</si>
  <si>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</si>
  <si>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</si>
  <si>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</si>
  <si>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ANT1</t>
  </si>
  <si>
    <t>WAN2012</t>
  </si>
  <si>
    <t>C1,C2</t>
  </si>
  <si>
    <t>10uF</t>
  </si>
  <si>
    <t>C_0402</t>
  </si>
  <si>
    <t>GRM155C80G106ME44D</t>
  </si>
  <si>
    <t>C10,C11,C39</t>
  </si>
  <si>
    <t>4.7uF</t>
  </si>
  <si>
    <t>CM05X5R475M10AH</t>
  </si>
  <si>
    <t>C14</t>
  </si>
  <si>
    <t>1uF</t>
  </si>
  <si>
    <t>GRM155C81C105ME11J</t>
  </si>
  <si>
    <t>C17,C35-C37,C41</t>
  </si>
  <si>
    <t>0402ZD106MAT2A</t>
  </si>
  <si>
    <t>C18</t>
  </si>
  <si>
    <t>C0402C105K4PAC7411</t>
  </si>
  <si>
    <t>C19</t>
  </si>
  <si>
    <t>0.1uF</t>
  </si>
  <si>
    <t>C0402C104K4RECTU</t>
  </si>
  <si>
    <t>C21</t>
  </si>
  <si>
    <t>C0402C104M4RACAUTO</t>
  </si>
  <si>
    <t>C25</t>
  </si>
  <si>
    <t>1uF/NC</t>
  </si>
  <si>
    <t>NC</t>
  </si>
  <si>
    <t>C26,C29</t>
  </si>
  <si>
    <t>6.8pF</t>
  </si>
  <si>
    <t>C_0201</t>
  </si>
  <si>
    <t>UMK063CG6R8DTHF</t>
  </si>
  <si>
    <t>C27</t>
  </si>
  <si>
    <t>10nF</t>
  </si>
  <si>
    <t>GRM033R71A103KA01D</t>
  </si>
  <si>
    <t>C28</t>
  </si>
  <si>
    <t>NC/3.9pF</t>
  </si>
  <si>
    <t>C3,C6,C7,C12,C13,C15,C16,C20,C22-C24</t>
  </si>
  <si>
    <t>C0402C105K4RECTU</t>
  </si>
  <si>
    <t>C30,C31</t>
  </si>
  <si>
    <t>C0402C106M9PAC7867</t>
  </si>
  <si>
    <t>C32</t>
  </si>
  <si>
    <t>1.2pF</t>
  </si>
  <si>
    <t>C0402C129C5HACAUTO</t>
  </si>
  <si>
    <t>C34</t>
  </si>
  <si>
    <t>2.2uF</t>
  </si>
  <si>
    <t>GRM033R60J103KA01D</t>
  </si>
  <si>
    <t>C38,C40</t>
  </si>
  <si>
    <t>100pF</t>
  </si>
  <si>
    <t>C4</t>
  </si>
  <si>
    <t>LMK105BJ105MVHF</t>
  </si>
  <si>
    <t>C5,C8,C9</t>
  </si>
  <si>
    <t>C0402C106K4RECTU</t>
  </si>
  <si>
    <t>D1</t>
  </si>
  <si>
    <t>LED BLUE</t>
  </si>
  <si>
    <t>150060BS75000</t>
  </si>
  <si>
    <t>D2</t>
  </si>
  <si>
    <t>LED RED</t>
  </si>
  <si>
    <t>150060RS75000</t>
  </si>
  <si>
    <t>D3-D5</t>
  </si>
  <si>
    <t>AZ5A25</t>
  </si>
  <si>
    <t>D_0603</t>
  </si>
  <si>
    <t>AZ5A25-01F</t>
  </si>
  <si>
    <t>FB1,FB2</t>
  </si>
  <si>
    <t>BK1005HM750-TV(TAIYO YUDEN)</t>
  </si>
  <si>
    <t>BK1005HM750-TV</t>
  </si>
  <si>
    <t>L1-L4</t>
  </si>
  <si>
    <t>2.2uH</t>
  </si>
  <si>
    <t>MLF1005G2R2KT000</t>
  </si>
  <si>
    <t>MIC1</t>
  </si>
  <si>
    <t>3SM102E4T13B</t>
  </si>
  <si>
    <t>3S_MIC</t>
  </si>
  <si>
    <t>R1,R2,R10</t>
  </si>
  <si>
    <t>10k</t>
  </si>
  <si>
    <t>R_0402</t>
  </si>
  <si>
    <t>NCU15XH103F6SRC</t>
  </si>
  <si>
    <t>R12</t>
  </si>
  <si>
    <t>1.3k</t>
  </si>
  <si>
    <t>R_0201</t>
  </si>
  <si>
    <t>RC0201FR-071K3L</t>
  </si>
  <si>
    <t>R13</t>
  </si>
  <si>
    <t>1M</t>
  </si>
  <si>
    <t>RE0201BRE071ML</t>
  </si>
  <si>
    <t>R14</t>
  </si>
  <si>
    <t>330</t>
  </si>
  <si>
    <t>RC0402JR-13330RL</t>
  </si>
  <si>
    <t>R15</t>
  </si>
  <si>
    <t>10K</t>
  </si>
  <si>
    <t>R16</t>
  </si>
  <si>
    <t>1k</t>
  </si>
  <si>
    <t>CRCW04021K00FKEDC</t>
  </si>
  <si>
    <t>R3,R4,R7-R9,R11,R17</t>
  </si>
  <si>
    <t>0R</t>
  </si>
  <si>
    <t>RC0402FR-070RL</t>
  </si>
  <si>
    <t>R5</t>
  </si>
  <si>
    <t>47K</t>
  </si>
  <si>
    <t>NCU15WB473E6SRC</t>
  </si>
  <si>
    <t>R6</t>
  </si>
  <si>
    <t>1K</t>
  </si>
  <si>
    <t>T1</t>
  </si>
  <si>
    <t>VCHGER</t>
  </si>
  <si>
    <t>pad_1x1mm</t>
  </si>
  <si>
    <t>T10</t>
  </si>
  <si>
    <t>I2C_CLK</t>
  </si>
  <si>
    <t>T11</t>
  </si>
  <si>
    <t>I2C_DATGND</t>
  </si>
  <si>
    <t>T12</t>
  </si>
  <si>
    <t>G5</t>
  </si>
  <si>
    <t>T13</t>
  </si>
  <si>
    <t>G6</t>
  </si>
  <si>
    <t>T14</t>
  </si>
  <si>
    <t>touch</t>
  </si>
  <si>
    <t>T2</t>
  </si>
  <si>
    <t>TX</t>
  </si>
  <si>
    <t>T3</t>
  </si>
  <si>
    <t>RX</t>
  </si>
  <si>
    <t>T4,T9</t>
  </si>
  <si>
    <t>GND</t>
  </si>
  <si>
    <t>T5</t>
  </si>
  <si>
    <t>BAT+</t>
  </si>
  <si>
    <t>T6</t>
  </si>
  <si>
    <t>BAT-</t>
  </si>
  <si>
    <t>T7</t>
  </si>
  <si>
    <t>LN</t>
  </si>
  <si>
    <t>T8</t>
  </si>
  <si>
    <t>LP</t>
  </si>
  <si>
    <t>U1</t>
  </si>
  <si>
    <t>TI_BQ25101</t>
  </si>
  <si>
    <t>Texas_DSBGA-6_2x3_0.9x1.4mm(2)</t>
  </si>
  <si>
    <t>BQ25101YFPR</t>
  </si>
  <si>
    <t>U2</t>
  </si>
  <si>
    <t>BES2300Z</t>
  </si>
  <si>
    <t>BES(2) BGA-80_6.2x4.5x1.3</t>
  </si>
  <si>
    <t>BES2300Z (Type E)</t>
  </si>
  <si>
    <t>U3</t>
  </si>
  <si>
    <t>TB6018D</t>
  </si>
  <si>
    <t>DFN-6-1EP_2x2mm_Pitch0.65mm</t>
  </si>
  <si>
    <t>Y1</t>
  </si>
  <si>
    <t>Y2016 26Mhz</t>
  </si>
  <si>
    <t>Y2016_SOT-883</t>
  </si>
  <si>
    <t>FA-128 26.0000MF10Z-AC3</t>
  </si>
  <si>
    <t>Total Purchase:</t>
  </si>
  <si>
    <t>Purchase description:</t>
  </si>
  <si>
    <t>Used currency rates:</t>
  </si>
  <si>
    <t>USD($)/GBP(£):</t>
  </si>
  <si>
    <t>Prj:</t>
  </si>
  <si>
    <t>EV01</t>
  </si>
  <si>
    <t>Co.:</t>
  </si>
  <si>
    <t>Solid State System</t>
  </si>
  <si>
    <t>Prj date:</t>
  </si>
  <si>
    <t>2020/4/28 下午 02:36:49</t>
  </si>
  <si>
    <t>Board Qty:</t>
  </si>
  <si>
    <t>Total Cost:</t>
  </si>
  <si>
    <t>Unit Cost:</t>
  </si>
  <si>
    <t>$ date:</t>
  </si>
  <si>
    <t>2020-04-28 14:39:08</t>
  </si>
  <si>
    <t>Arrow</t>
  </si>
  <si>
    <t>Avail</t>
  </si>
  <si>
    <t>Purch</t>
  </si>
  <si>
    <t>Cat#</t>
  </si>
  <si>
    <t>Digi-Key</t>
  </si>
  <si>
    <t>490-GRM155C80G106ME44DCT-ND</t>
  </si>
  <si>
    <t>NonStk</t>
  </si>
  <si>
    <t>1253-CM05X5R475M10AHCT-ND</t>
  </si>
  <si>
    <t>490-GRM155C81C105ME11JTR-ND</t>
  </si>
  <si>
    <t>478-10052-1-ND</t>
  </si>
  <si>
    <t>C0402C105K4PAC7411-ND</t>
  </si>
  <si>
    <t>399-13707-1-ND</t>
  </si>
  <si>
    <t>587-5356-1-ND</t>
  </si>
  <si>
    <t>490-3194-1-ND</t>
  </si>
  <si>
    <t>399-13069-1-ND</t>
  </si>
  <si>
    <t>C0402C129C5HACAUTO-ND</t>
  </si>
  <si>
    <t>490-5403-1-ND</t>
  </si>
  <si>
    <t>587-6276-1-ND</t>
  </si>
  <si>
    <t>732-4966-1-ND</t>
  </si>
  <si>
    <t>732-4978-1-ND</t>
  </si>
  <si>
    <t>587-3867-1-ND</t>
  </si>
  <si>
    <t>445-15690-1-ND</t>
  </si>
  <si>
    <t>490-NCU15XH103F6SRCTR-ND</t>
  </si>
  <si>
    <t>YAG2333CT-ND</t>
  </si>
  <si>
    <t>541-3961-1-ND</t>
  </si>
  <si>
    <t>311-0.0LRCT-ND</t>
  </si>
  <si>
    <t>490-NCU15WB473E6SRCTR-ND</t>
  </si>
  <si>
    <t>296-39933-1-ND</t>
  </si>
  <si>
    <t>SER3679CT-ND</t>
  </si>
  <si>
    <t>Farnell</t>
  </si>
  <si>
    <t>3340826</t>
  </si>
  <si>
    <t>2991208</t>
  </si>
  <si>
    <t>2773075</t>
  </si>
  <si>
    <t>1776000</t>
  </si>
  <si>
    <t>2507061</t>
  </si>
  <si>
    <t>3234389</t>
  </si>
  <si>
    <t>2999190</t>
  </si>
  <si>
    <t>3216456</t>
  </si>
  <si>
    <t>2322069</t>
  </si>
  <si>
    <t>2322071</t>
  </si>
  <si>
    <t>LCSC</t>
  </si>
  <si>
    <t>C76941</t>
  </si>
  <si>
    <t>C333993</t>
  </si>
  <si>
    <t>C478468</t>
  </si>
  <si>
    <t>Mouser</t>
  </si>
  <si>
    <t>81GRM155C80G106ME44</t>
  </si>
  <si>
    <t>81GRM155C81C105ME1J</t>
  </si>
  <si>
    <t>5810402ZD106MAT2A</t>
  </si>
  <si>
    <t>80C0402C105K4P7411</t>
  </si>
  <si>
    <t>80C0402C104K4RECTU</t>
  </si>
  <si>
    <t>80C0402C104M4RAUTO</t>
  </si>
  <si>
    <t>963UMK063CG6R8DTHF</t>
  </si>
  <si>
    <t>81GRM033R71A103KA1D</t>
  </si>
  <si>
    <t>80C0402C106M9P</t>
  </si>
  <si>
    <t>80C0402C129C5HAUTO</t>
  </si>
  <si>
    <t>81GRM033R60J103KA1D</t>
  </si>
  <si>
    <t>963LMK105BJ105MVHF</t>
  </si>
  <si>
    <t>710150060BS75000</t>
  </si>
  <si>
    <t>710150060RS75000</t>
  </si>
  <si>
    <t>963BK1005HM750TV</t>
  </si>
  <si>
    <t>810MLF1005G2R2KT000</t>
  </si>
  <si>
    <t>81NCU15XH103F6SRC</t>
  </si>
  <si>
    <t>603RC0201FR071K3L</t>
  </si>
  <si>
    <t>603RE0201BRE071ML</t>
  </si>
  <si>
    <t>603RC0402JR13330RL</t>
  </si>
  <si>
    <t>71CRCW04021K00FKEDC</t>
  </si>
  <si>
    <t>603RC0402FR070RL</t>
  </si>
  <si>
    <t>81NCU15WB473E6SRC</t>
  </si>
  <si>
    <t>595BQ25101YFPR</t>
  </si>
  <si>
    <t>732FA12826F10ZAC3</t>
  </si>
  <si>
    <t>Newark</t>
  </si>
  <si>
    <t>50AH3274</t>
  </si>
  <si>
    <t>02AH1230</t>
  </si>
  <si>
    <t>27AC2921</t>
  </si>
  <si>
    <t>51R6562</t>
  </si>
  <si>
    <t>75Y0593</t>
  </si>
  <si>
    <t>86AC0023</t>
  </si>
  <si>
    <t>65AH6948</t>
  </si>
  <si>
    <t>02AH5344</t>
  </si>
  <si>
    <t>95W3793</t>
  </si>
  <si>
    <t>95W3795</t>
  </si>
  <si>
    <t>66R0616</t>
  </si>
  <si>
    <t>45AC8954</t>
  </si>
  <si>
    <t>66R1053</t>
  </si>
  <si>
    <t>RS Components</t>
  </si>
  <si>
    <t>7235143</t>
  </si>
  <si>
    <t>1213870</t>
  </si>
  <si>
    <t>8200646</t>
  </si>
  <si>
    <t>8154206</t>
  </si>
  <si>
    <t>8154203</t>
  </si>
  <si>
    <t>TME</t>
  </si>
  <si>
    <t>C0402C106M9PAC</t>
  </si>
  <si>
    <t>RC0402FR070RL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</si>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</sst>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sheet.octopart.com/GRM155C80G106ME44D-Murata-datasheet-138740454.pdf" TargetMode="External"/><Relationship Id="rId2" Type="http://schemas.openxmlformats.org/officeDocument/2006/relationships/hyperlink" Target="https://octopart.com/click/track?c=1&amp;ai=8078&amp;sig=05840a2&amp;sid=459&amp;ppid=102048253&amp;vpid=610315062&amp;ct=offers" TargetMode="External"/><Relationship Id="rId3" Type="http://schemas.openxmlformats.org/officeDocument/2006/relationships/hyperlink" Target="https://octopart.com/click/track?ai=8078&amp;sig=0bc7c7c&amp;sid=2401&amp;ppid=102048253&amp;vpid=548539995&amp;ct=offers" TargetMode="External"/><Relationship Id="rId4" Type="http://schemas.openxmlformats.org/officeDocument/2006/relationships/hyperlink" Target="http://datasheet.octopart.com/CM05X5R475M10AH-Kyocera-datasheet-137044750.pdf" TargetMode="External"/><Relationship Id="rId5" Type="http://schemas.openxmlformats.org/officeDocument/2006/relationships/hyperlink" Target="https://octopart.com/click/track?c=1&amp;ai=8078&amp;sig=06e2f18&amp;sid=459&amp;ppid=105938542&amp;vpid=603739842&amp;ct=offers" TargetMode="External"/><Relationship Id="rId6" Type="http://schemas.openxmlformats.org/officeDocument/2006/relationships/hyperlink" Target="http://datasheet.octopart.com/GRM155C81C105ME11J-Murata-datasheet-138740518.pdf" TargetMode="External"/><Relationship Id="rId7" Type="http://schemas.openxmlformats.org/officeDocument/2006/relationships/hyperlink" Target="https://octopart.com/click/track?c=1&amp;ai=8078&amp;sig=0dd29fb&amp;sid=459&amp;ppid=95840735&amp;vpid=594834304&amp;ct=offers" TargetMode="External"/><Relationship Id="rId8" Type="http://schemas.openxmlformats.org/officeDocument/2006/relationships/hyperlink" Target="https://octopart.com/click/track?ai=8078&amp;sig=06259cf&amp;sid=2401&amp;ppid=95840735&amp;vpid=504003461&amp;ct=offers" TargetMode="External"/><Relationship Id="rId9" Type="http://schemas.openxmlformats.org/officeDocument/2006/relationships/hyperlink" Target="http://datasheet.octopart.com/0402ZD106MAT2A-AVX-datasheet-13516023.pdf" TargetMode="External"/><Relationship Id="rId10" Type="http://schemas.openxmlformats.org/officeDocument/2006/relationships/hyperlink" Target="https://octopart.com/click/track?ai=8078&amp;sig=09519b0&amp;sid=459&amp;ppid=75287946&amp;vpid=278065890&amp;ct=offers" TargetMode="External"/><Relationship Id="rId11" Type="http://schemas.openxmlformats.org/officeDocument/2006/relationships/hyperlink" Target="https://octopart.com/click/track?ai=8078&amp;sig=0d10419&amp;sid=11744&amp;ppid=75287946&amp;vpid=611022736&amp;ct=offers" TargetMode="External"/><Relationship Id="rId12" Type="http://schemas.openxmlformats.org/officeDocument/2006/relationships/hyperlink" Target="https://octopart.com/click/track?ai=8078&amp;sig=0b13da3&amp;sid=2401&amp;ppid=75287946&amp;vpid=269003570&amp;ct=offers" TargetMode="External"/><Relationship Id="rId13" Type="http://schemas.openxmlformats.org/officeDocument/2006/relationships/hyperlink" Target="https://octopart.com/click/track?ai=8078&amp;sig=0bd040e&amp;sid=2402&amp;ppid=75287946&amp;vpid=598283101&amp;ct=offers" TargetMode="External"/><Relationship Id="rId14" Type="http://schemas.openxmlformats.org/officeDocument/2006/relationships/hyperlink" Target="http://datasheet.octopart.com/C0402C105K4PAC7411-KEMET-datasheet-84169754.pdf" TargetMode="External"/><Relationship Id="rId15" Type="http://schemas.openxmlformats.org/officeDocument/2006/relationships/hyperlink" Target="https://octopart.com/click/track?c=1&amp;ai=8078&amp;sig=0428025&amp;sid=459&amp;ppid=61938077&amp;vpid=222507033&amp;ct=offers" TargetMode="External"/><Relationship Id="rId16" Type="http://schemas.openxmlformats.org/officeDocument/2006/relationships/hyperlink" Target="https://octopart.com/click/track?ai=8078&amp;sig=09d58d3&amp;sid=2401&amp;ppid=61938077&amp;vpid=464250252&amp;ct=offers" TargetMode="External"/><Relationship Id="rId17" Type="http://schemas.openxmlformats.org/officeDocument/2006/relationships/hyperlink" Target="https://octopart.com/click/track?ai=8078&amp;sig=092d6dd&amp;sid=819&amp;ppid=91306902&amp;vpid=540436306&amp;ct=offers" TargetMode="External"/><Relationship Id="rId18" Type="http://schemas.openxmlformats.org/officeDocument/2006/relationships/hyperlink" Target="https://octopart.com/click/track?ai=8078&amp;sig=0eab6ba&amp;sid=2401&amp;ppid=91306902&amp;vpid=476450991&amp;ct=offers" TargetMode="External"/><Relationship Id="rId19" Type="http://schemas.openxmlformats.org/officeDocument/2006/relationships/hyperlink" Target="https://octopart.com/click/track?ai=8078&amp;sig=0d640d2&amp;sid=2402&amp;ppid=91306902&amp;vpid=547447175&amp;ct=offers" TargetMode="External"/><Relationship Id="rId20" Type="http://schemas.openxmlformats.org/officeDocument/2006/relationships/hyperlink" Target="http://datasheet.octopart.com/C0402C104M4RACAUTO-KEMET-datasheet-137357759.pdf" TargetMode="External"/><Relationship Id="rId21" Type="http://schemas.openxmlformats.org/officeDocument/2006/relationships/hyperlink" Target="https://octopart.com/click/track?ai=8078&amp;sig=0cf54ac&amp;sid=459&amp;ppid=75357841&amp;vpid=273825070&amp;ct=offers" TargetMode="External"/><Relationship Id="rId22" Type="http://schemas.openxmlformats.org/officeDocument/2006/relationships/hyperlink" Target="https://octopart.com/click/track?ai=8078&amp;sig=05f9325&amp;sid=11744&amp;ppid=75357841&amp;vpid=440615788&amp;ct=offers" TargetMode="External"/><Relationship Id="rId23" Type="http://schemas.openxmlformats.org/officeDocument/2006/relationships/hyperlink" Target="https://octopart.com/click/track?ai=8078&amp;sig=06161f3&amp;sid=2401&amp;ppid=75357841&amp;vpid=271134803&amp;ct=offers" TargetMode="External"/><Relationship Id="rId24" Type="http://schemas.openxmlformats.org/officeDocument/2006/relationships/hyperlink" Target="https://octopart.com/click/track?ai=8078&amp;sig=0c4a203&amp;sid=2402&amp;ppid=75357841&amp;vpid=441140193&amp;ct=offers" TargetMode="External"/><Relationship Id="rId25" Type="http://schemas.openxmlformats.org/officeDocument/2006/relationships/hyperlink" Target="https://octopart.com/click/track?ai=8078&amp;sig=074cf53&amp;sid=1532&amp;ppid=75357841&amp;vpid=511295033&amp;ct=offers" TargetMode="External"/><Relationship Id="rId26" Type="http://schemas.openxmlformats.org/officeDocument/2006/relationships/hyperlink" Target="https://octopart.com/click/track?c=1&amp;ai=8078&amp;sig=08e3d00&amp;sid=459&amp;ppid=81252478&amp;vpid=420859480&amp;ct=offers" TargetMode="External"/><Relationship Id="rId27" Type="http://schemas.openxmlformats.org/officeDocument/2006/relationships/hyperlink" Target="https://octopart.com/click/track?ai=8078&amp;sig=0d99170&amp;sid=2401&amp;ppid=81252478&amp;vpid=419152510&amp;ct=offers" TargetMode="External"/><Relationship Id="rId28" Type="http://schemas.openxmlformats.org/officeDocument/2006/relationships/hyperlink" Target="http://datasheet.octopart.com/GRM033R71A103KA01D-Murata-datasheet-138738542.pdf" TargetMode="External"/><Relationship Id="rId29" Type="http://schemas.openxmlformats.org/officeDocument/2006/relationships/hyperlink" Target="https://octopart.com/click/track?ai=8078&amp;sig=0a33777&amp;sid=459&amp;ppid=196814&amp;vpid=1958665&amp;ct=offers" TargetMode="External"/><Relationship Id="rId30" Type="http://schemas.openxmlformats.org/officeDocument/2006/relationships/hyperlink" Target="https://octopart.com/click/track?ai=8078&amp;sig=0abf6df&amp;sid=819&amp;ppid=196814&amp;vpid=139136036&amp;ct=offers" TargetMode="External"/><Relationship Id="rId31" Type="http://schemas.openxmlformats.org/officeDocument/2006/relationships/hyperlink" Target="https://octopart.com/click/track?ai=8078&amp;sig=0ac4d0b&amp;sid=27971&amp;ppid=196814&amp;vpid=445986859&amp;ct=offers" TargetMode="External"/><Relationship Id="rId32" Type="http://schemas.openxmlformats.org/officeDocument/2006/relationships/hyperlink" Target="https://octopart.com/click/track?ai=8078&amp;sig=045be76&amp;sid=2401&amp;ppid=196814&amp;vpid=37684068&amp;ct=offers" TargetMode="External"/><Relationship Id="rId33" Type="http://schemas.openxmlformats.org/officeDocument/2006/relationships/hyperlink" Target="https://octopart.com/click/track?ai=8078&amp;sig=05c148b&amp;sid=2402&amp;ppid=196814&amp;vpid=20869756&amp;ct=offers" TargetMode="External"/><Relationship Id="rId34" Type="http://schemas.openxmlformats.org/officeDocument/2006/relationships/hyperlink" Target="https://octopart.com/click/track?ai=8078&amp;sig=009c3c9&amp;sid=10022&amp;ppid=196814&amp;vpid=199071735&amp;ct=offers" TargetMode="External"/><Relationship Id="rId35" Type="http://schemas.openxmlformats.org/officeDocument/2006/relationships/hyperlink" Target="https://octopart.com/click/track?ai=8078&amp;sig=0314937&amp;sid=1532&amp;ppid=196814&amp;vpid=419121228&amp;ct=offers" TargetMode="External"/><Relationship Id="rId36" Type="http://schemas.openxmlformats.org/officeDocument/2006/relationships/hyperlink" Target="http://datasheet.octopart.com/C0402C106M9PACTU-Kemet-datasheet-61276316.pdf" TargetMode="External"/><Relationship Id="rId37" Type="http://schemas.openxmlformats.org/officeDocument/2006/relationships/hyperlink" Target="https://octopart.com/click/track?ai=8078&amp;sig=0dd378e&amp;sid=459&amp;ppid=65485665&amp;vpid=241695739&amp;ct=offers" TargetMode="External"/><Relationship Id="rId38" Type="http://schemas.openxmlformats.org/officeDocument/2006/relationships/hyperlink" Target="https://octopart.com/click/track?ai=8078&amp;sig=0da85de&amp;sid=819&amp;ppid=65485665&amp;vpid=244905700&amp;ct=offers" TargetMode="External"/><Relationship Id="rId39" Type="http://schemas.openxmlformats.org/officeDocument/2006/relationships/hyperlink" Target="https://octopart.com/click/track?ai=8078&amp;sig=0e96bd4&amp;sid=2401&amp;ppid=65485665&amp;vpid=242223150&amp;ct=offers" TargetMode="External"/><Relationship Id="rId40" Type="http://schemas.openxmlformats.org/officeDocument/2006/relationships/hyperlink" Target="https://octopart.com/click/track?ai=8078&amp;sig=0f6acfd&amp;sid=2402&amp;ppid=65485665&amp;vpid=247913069&amp;ct=offers" TargetMode="External"/><Relationship Id="rId41" Type="http://schemas.openxmlformats.org/officeDocument/2006/relationships/hyperlink" Target="https://octopart.com/click/track?ai=8078&amp;sig=0631340&amp;sid=10022&amp;ppid=65485665&amp;vpid=271389194&amp;ct=offers" TargetMode="External"/><Relationship Id="rId42" Type="http://schemas.openxmlformats.org/officeDocument/2006/relationships/hyperlink" Target="https://octopart.com/click/track?ai=8078&amp;sig=0a8330c&amp;sid=1532&amp;ppid=65485665&amp;vpid=449010382&amp;ct=offers" TargetMode="External"/><Relationship Id="rId43" Type="http://schemas.openxmlformats.org/officeDocument/2006/relationships/hyperlink" Target="http://datasheet.octopart.com/C0402C129C5HACAUTO-KEMET-datasheet-137357759.pdf" TargetMode="External"/><Relationship Id="rId44" Type="http://schemas.openxmlformats.org/officeDocument/2006/relationships/hyperlink" Target="https://octopart.com/click/track?c=1&amp;ai=8078&amp;sig=0ac1057&amp;sid=459&amp;ppid=88079855&amp;vpid=455992243&amp;ct=offers" TargetMode="External"/><Relationship Id="rId45" Type="http://schemas.openxmlformats.org/officeDocument/2006/relationships/hyperlink" Target="https://octopart.com/click/track?c=1&amp;ai=8078&amp;sig=0d32a7a&amp;sid=819&amp;ppid=88079855&amp;vpid=584032113&amp;ct=offers" TargetMode="External"/><Relationship Id="rId46" Type="http://schemas.openxmlformats.org/officeDocument/2006/relationships/hyperlink" Target="https://octopart.com/click/track?ai=8078&amp;sig=007ff39&amp;sid=2401&amp;ppid=88079855&amp;vpid=458144882&amp;ct=offers" TargetMode="External"/><Relationship Id="rId47" Type="http://schemas.openxmlformats.org/officeDocument/2006/relationships/hyperlink" Target="https://octopart.com/click/track?c=1&amp;ai=8078&amp;sig=066f57a&amp;sid=2402&amp;ppid=88079855&amp;vpid=524225394&amp;ct=offers" TargetMode="External"/><Relationship Id="rId48" Type="http://schemas.openxmlformats.org/officeDocument/2006/relationships/hyperlink" Target="http://datasheet.octopart.com/GRM033R60J103KA01D-Murata-datasheet-138738331.pdf" TargetMode="External"/><Relationship Id="rId49" Type="http://schemas.openxmlformats.org/officeDocument/2006/relationships/hyperlink" Target="https://octopart.com/click/track?ai=8078&amp;sig=0eb3513&amp;sid=459&amp;ppid=17705771&amp;vpid=34233074&amp;ct=offers" TargetMode="External"/><Relationship Id="rId50" Type="http://schemas.openxmlformats.org/officeDocument/2006/relationships/hyperlink" Target="https://octopart.com/click/track?c=1&amp;ai=8078&amp;sig=0c96cd0&amp;sid=11744&amp;ppid=17705771&amp;vpid=613602115&amp;ct=offers" TargetMode="External"/><Relationship Id="rId51" Type="http://schemas.openxmlformats.org/officeDocument/2006/relationships/hyperlink" Target="https://octopart.com/click/track?ai=8078&amp;sig=049a764&amp;sid=2401&amp;ppid=17705771&amp;vpid=37711093&amp;ct=offers" TargetMode="External"/><Relationship Id="rId52" Type="http://schemas.openxmlformats.org/officeDocument/2006/relationships/hyperlink" Target="https://octopart.com/click/track?c=1&amp;ai=8078&amp;sig=0c468b3&amp;sid=2402&amp;ppid=17705771&amp;vpid=614276540&amp;ct=offers" TargetMode="External"/><Relationship Id="rId53" Type="http://schemas.openxmlformats.org/officeDocument/2006/relationships/hyperlink" Target="https://octopart.com/click/track?ai=8078&amp;sig=06ebc2a&amp;sid=10022&amp;ppid=17705771&amp;vpid=199071726&amp;ct=offers" TargetMode="External"/><Relationship Id="rId54" Type="http://schemas.openxmlformats.org/officeDocument/2006/relationships/hyperlink" Target="http://datasheet.octopart.com/GRM033R60J103KA01D-Murata-datasheet-138738331.pdf" TargetMode="External"/><Relationship Id="rId55" Type="http://schemas.openxmlformats.org/officeDocument/2006/relationships/hyperlink" Target="https://octopart.com/click/track?ai=8078&amp;sig=0eb3513&amp;sid=459&amp;ppid=17705771&amp;vpid=34233074&amp;ct=offers" TargetMode="External"/><Relationship Id="rId56" Type="http://schemas.openxmlformats.org/officeDocument/2006/relationships/hyperlink" Target="https://octopart.com/click/track?c=1&amp;ai=8078&amp;sig=0c96cd0&amp;sid=11744&amp;ppid=17705771&amp;vpid=613602115&amp;ct=offers" TargetMode="External"/><Relationship Id="rId57" Type="http://schemas.openxmlformats.org/officeDocument/2006/relationships/hyperlink" Target="https://octopart.com/click/track?ai=8078&amp;sig=049a764&amp;sid=2401&amp;ppid=17705771&amp;vpid=37711093&amp;ct=offers" TargetMode="External"/><Relationship Id="rId58" Type="http://schemas.openxmlformats.org/officeDocument/2006/relationships/hyperlink" Target="https://octopart.com/click/track?c=1&amp;ai=8078&amp;sig=0c468b3&amp;sid=2402&amp;ppid=17705771&amp;vpid=614276540&amp;ct=offers" TargetMode="External"/><Relationship Id="rId59" Type="http://schemas.openxmlformats.org/officeDocument/2006/relationships/hyperlink" Target="https://octopart.com/click/track?ai=8078&amp;sig=06ebc2a&amp;sid=10022&amp;ppid=17705771&amp;vpid=199071726&amp;ct=offers" TargetMode="External"/><Relationship Id="rId60" Type="http://schemas.openxmlformats.org/officeDocument/2006/relationships/hyperlink" Target="http://datasheet.octopart.com/LMK105BJ105MVHF-Taiyo-Yuden-datasheet-137916716.pdf" TargetMode="External"/><Relationship Id="rId61" Type="http://schemas.openxmlformats.org/officeDocument/2006/relationships/hyperlink" Target="https://octopart.com/click/track?ai=8078&amp;sig=0e33b77&amp;sid=459&amp;ppid=75346095&amp;vpid=528951941&amp;ct=offers" TargetMode="External"/><Relationship Id="rId62" Type="http://schemas.openxmlformats.org/officeDocument/2006/relationships/hyperlink" Target="https://octopart.com/click/track?ai=8078&amp;sig=0514532&amp;sid=819&amp;ppid=75346095&amp;vpid=575184031&amp;ct=offers" TargetMode="External"/><Relationship Id="rId63" Type="http://schemas.openxmlformats.org/officeDocument/2006/relationships/hyperlink" Target="https://octopart.com/click/track?ai=8078&amp;sig=03b10e8&amp;sid=2401&amp;ppid=75346095&amp;vpid=529435437&amp;ct=offers" TargetMode="External"/><Relationship Id="rId64" Type="http://schemas.openxmlformats.org/officeDocument/2006/relationships/hyperlink" Target="https://octopart.com/click/track?ai=8078&amp;sig=03af16a&amp;sid=2402&amp;ppid=75346095&amp;vpid=547465692&amp;ct=offers" TargetMode="External"/><Relationship Id="rId65" Type="http://schemas.openxmlformats.org/officeDocument/2006/relationships/hyperlink" Target="http://datasheet.octopart.com/150060BS75000-W%C3%BCrth-Elektronik-datasheet-15983786.pdf" TargetMode="External"/><Relationship Id="rId66" Type="http://schemas.openxmlformats.org/officeDocument/2006/relationships/hyperlink" Target="https://octopart.com/click/track?ai=8078&amp;sig=00c20ab&amp;sid=459&amp;ppid=29717775&amp;vpid=91297443&amp;ct=offers" TargetMode="External"/><Relationship Id="rId67" Type="http://schemas.openxmlformats.org/officeDocument/2006/relationships/hyperlink" Target="https://octopart.com/click/track?ai=8078&amp;sig=01c1e0a&amp;sid=11744&amp;ppid=29717775&amp;vpid=132755218&amp;ct=offers" TargetMode="External"/><Relationship Id="rId68" Type="http://schemas.openxmlformats.org/officeDocument/2006/relationships/hyperlink" Target="https://octopart.com/click/track?c=1&amp;ai=8078&amp;sig=0bf647b&amp;sid=2401&amp;ppid=29717775&amp;vpid=165625622&amp;ct=offers" TargetMode="External"/><Relationship Id="rId69" Type="http://schemas.openxmlformats.org/officeDocument/2006/relationships/hyperlink" Target="https://octopart.com/click/track?ai=8078&amp;sig=0417e36&amp;sid=2402&amp;ppid=29717775&amp;vpid=82629803&amp;ct=offers" TargetMode="External"/><Relationship Id="rId70" Type="http://schemas.openxmlformats.org/officeDocument/2006/relationships/hyperlink" Target="https://octopart.com/click/track?ai=8078&amp;sig=0a37e6a&amp;sid=10022&amp;ppid=29717775&amp;vpid=199194532&amp;ct=offers" TargetMode="External"/><Relationship Id="rId71" Type="http://schemas.openxmlformats.org/officeDocument/2006/relationships/hyperlink" Target="http://datasheet.octopart.com/150060RS75000-W%C3%BCrth-Elektronik-datasheet-15983787.pdf" TargetMode="External"/><Relationship Id="rId72" Type="http://schemas.openxmlformats.org/officeDocument/2006/relationships/hyperlink" Target="https://octopart.com/click/track?ai=8078&amp;sig=02853a2&amp;sid=459&amp;ppid=29717776&amp;vpid=91297449&amp;ct=offers" TargetMode="External"/><Relationship Id="rId73" Type="http://schemas.openxmlformats.org/officeDocument/2006/relationships/hyperlink" Target="https://octopart.com/click/track?ai=8078&amp;sig=068ebbc&amp;sid=11744&amp;ppid=29717776&amp;vpid=132755220&amp;ct=offers" TargetMode="External"/><Relationship Id="rId74" Type="http://schemas.openxmlformats.org/officeDocument/2006/relationships/hyperlink" Target="https://octopart.com/click/track?ai=8078&amp;sig=0c69a59&amp;sid=2401&amp;ppid=29717776&amp;vpid=165625624&amp;ct=offers" TargetMode="External"/><Relationship Id="rId75" Type="http://schemas.openxmlformats.org/officeDocument/2006/relationships/hyperlink" Target="https://octopart.com/click/track?ai=8078&amp;sig=0b01e3f&amp;sid=2402&amp;ppid=29717776&amp;vpid=82629805&amp;ct=offers" TargetMode="External"/><Relationship Id="rId76" Type="http://schemas.openxmlformats.org/officeDocument/2006/relationships/hyperlink" Target="https://octopart.com/click/track?ai=8078&amp;sig=0abbfde&amp;sid=10022&amp;ppid=29717776&amp;vpid=199194534&amp;ct=offers" TargetMode="External"/><Relationship Id="rId77" Type="http://schemas.openxmlformats.org/officeDocument/2006/relationships/hyperlink" Target="https://octopart.com/click/track?ai=8078&amp;sig=018c962&amp;sid=459&amp;ppid=46993909&amp;vpid=120615122&amp;ct=offers" TargetMode="External"/><Relationship Id="rId78" Type="http://schemas.openxmlformats.org/officeDocument/2006/relationships/hyperlink" Target="https://octopart.com/click/track?ai=8078&amp;sig=0902d4d&amp;sid=2401&amp;ppid=46993909&amp;vpid=165572263&amp;ct=offers" TargetMode="External"/><Relationship Id="rId79" Type="http://schemas.openxmlformats.org/officeDocument/2006/relationships/hyperlink" Target="https://octopart.com/click/track?ai=8078&amp;sig=0c3e3fb&amp;sid=459&amp;ppid=34828895&amp;vpid=104704857&amp;ct=offers" TargetMode="External"/><Relationship Id="rId80" Type="http://schemas.openxmlformats.org/officeDocument/2006/relationships/hyperlink" Target="https://octopart.com/click/track?ai=8078&amp;sig=0ef8ed4&amp;sid=2401&amp;ppid=34828895&amp;vpid=213292744&amp;ct=offers" TargetMode="External"/><Relationship Id="rId81" Type="http://schemas.openxmlformats.org/officeDocument/2006/relationships/hyperlink" Target="http://datasheet.octopart.com/NCU15XH103F6SRC-Murata-datasheet-138710189.pdf" TargetMode="External"/><Relationship Id="rId82" Type="http://schemas.openxmlformats.org/officeDocument/2006/relationships/hyperlink" Target="https://octopart.com/click/track?c=1&amp;ai=8078&amp;sig=0972310&amp;sid=459&amp;ppid=95815867&amp;vpid=594839675&amp;ct=offers" TargetMode="External"/><Relationship Id="rId83" Type="http://schemas.openxmlformats.org/officeDocument/2006/relationships/hyperlink" Target="https://octopart.com/click/track?ai=8078&amp;sig=0587ab7&amp;sid=27971&amp;ppid=95815867&amp;vpid=511304516&amp;ct=offers" TargetMode="External"/><Relationship Id="rId84" Type="http://schemas.openxmlformats.org/officeDocument/2006/relationships/hyperlink" Target="https://octopart.com/click/track?ai=8078&amp;sig=06fba8f&amp;sid=2401&amp;ppid=95815867&amp;vpid=503428549&amp;ct=offers" TargetMode="External"/><Relationship Id="rId85" Type="http://schemas.openxmlformats.org/officeDocument/2006/relationships/hyperlink" Target="http://datasheet.octopart.com/RC0201FR-071K3L-Yageo-datasheet-73766026.pdf" TargetMode="External"/><Relationship Id="rId86" Type="http://schemas.openxmlformats.org/officeDocument/2006/relationships/hyperlink" Target="https://octopart.com/click/track?ai=8078&amp;sig=07148c3&amp;sid=459&amp;ppid=20648321&amp;vpid=211680908&amp;ct=offers" TargetMode="External"/><Relationship Id="rId87" Type="http://schemas.openxmlformats.org/officeDocument/2006/relationships/hyperlink" Target="https://octopart.com/click/track?ai=8078&amp;sig=0e8f68f&amp;sid=2401&amp;ppid=20648321&amp;vpid=269060181&amp;ct=offers" TargetMode="External"/><Relationship Id="rId88" Type="http://schemas.openxmlformats.org/officeDocument/2006/relationships/hyperlink" Target="https://octopart.com/click/track?c=1&amp;ai=8078&amp;sig=07b476c&amp;sid=2402&amp;ppid=20648321&amp;vpid=538269879&amp;ct=offers" TargetMode="External"/><Relationship Id="rId89" Type="http://schemas.openxmlformats.org/officeDocument/2006/relationships/hyperlink" Target="http://datasheet.octopart.com/RE0201BRE071ML-Yageo-datasheet-86798388.pdf" TargetMode="External"/><Relationship Id="rId90" Type="http://schemas.openxmlformats.org/officeDocument/2006/relationships/hyperlink" Target="https://octopart.com/click/track?ai=8078&amp;sig=03ec6e9&amp;sid=2401&amp;ppid=88184115&amp;vpid=456373092&amp;ct=offers" TargetMode="External"/><Relationship Id="rId91" Type="http://schemas.openxmlformats.org/officeDocument/2006/relationships/hyperlink" Target="http://datasheet.octopart.com/RC0402JR-13330RL-Yageo-datasheet-10408619.pdf" TargetMode="External"/><Relationship Id="rId92" Type="http://schemas.openxmlformats.org/officeDocument/2006/relationships/hyperlink" Target="https://octopart.com/click/track?ai=8078&amp;sig=0fdf460&amp;sid=2401&amp;ppid=9296986&amp;vpid=474033449&amp;ct=offers" TargetMode="External"/><Relationship Id="rId93" Type="http://schemas.openxmlformats.org/officeDocument/2006/relationships/hyperlink" Target="http://datasheet.octopart.com/NCU15XH103F6SRC-Murata-datasheet-138710189.pdf" TargetMode="External"/><Relationship Id="rId94" Type="http://schemas.openxmlformats.org/officeDocument/2006/relationships/hyperlink" Target="https://octopart.com/click/track?c=1&amp;ai=8078&amp;sig=0972310&amp;sid=459&amp;ppid=95815867&amp;vpid=594839675&amp;ct=offers" TargetMode="External"/><Relationship Id="rId95" Type="http://schemas.openxmlformats.org/officeDocument/2006/relationships/hyperlink" Target="https://octopart.com/click/track?ai=8078&amp;sig=0587ab7&amp;sid=27971&amp;ppid=95815867&amp;vpid=511304516&amp;ct=offers" TargetMode="External"/><Relationship Id="rId96" Type="http://schemas.openxmlformats.org/officeDocument/2006/relationships/hyperlink" Target="https://octopart.com/click/track?ai=8078&amp;sig=06fba8f&amp;sid=2401&amp;ppid=95815867&amp;vpid=503428549&amp;ct=offers" TargetMode="External"/><Relationship Id="rId97" Type="http://schemas.openxmlformats.org/officeDocument/2006/relationships/hyperlink" Target="http://datasheet.octopart.com/CRCW04021K00FKEDC-Vishay-datasheet-100063072.pdf" TargetMode="External"/><Relationship Id="rId98" Type="http://schemas.openxmlformats.org/officeDocument/2006/relationships/hyperlink" Target="https://octopart.com/click/track?ai=8078&amp;sig=090d4d1&amp;sid=459&amp;ppid=22247970&amp;vpid=454352853&amp;ct=offers" TargetMode="External"/><Relationship Id="rId99" Type="http://schemas.openxmlformats.org/officeDocument/2006/relationships/hyperlink" Target="https://octopart.com/click/track?ai=8078&amp;sig=0192050&amp;sid=2401&amp;ppid=22247970&amp;vpid=454196510&amp;ct=offers" TargetMode="External"/><Relationship Id="rId100" Type="http://schemas.openxmlformats.org/officeDocument/2006/relationships/hyperlink" Target="https://octopart.com/click/track?c=1&amp;ai=8078&amp;sig=0c1b35d&amp;sid=2402&amp;ppid=22247970&amp;vpid=462487826&amp;ct=offers" TargetMode="External"/><Relationship Id="rId101" Type="http://schemas.openxmlformats.org/officeDocument/2006/relationships/hyperlink" Target="http://datasheet.octopart.com/RC0402FR-070RL-Yageo-datasheet-8324527.pdf" TargetMode="External"/><Relationship Id="rId102" Type="http://schemas.openxmlformats.org/officeDocument/2006/relationships/hyperlink" Target="https://octopart.com/click/track?ai=8078&amp;sig=0e2d7f9&amp;sid=459&amp;ppid=9297310&amp;vpid=45699941&amp;ct=offers" TargetMode="External"/><Relationship Id="rId103" Type="http://schemas.openxmlformats.org/officeDocument/2006/relationships/hyperlink" Target="https://octopart.com/click/track?ai=8078&amp;sig=018e572&amp;sid=2401&amp;ppid=9297310&amp;vpid=54849486&amp;ct=offers" TargetMode="External"/><Relationship Id="rId104" Type="http://schemas.openxmlformats.org/officeDocument/2006/relationships/hyperlink" Target="https://octopart.com/click/track?c=1&amp;ai=8078&amp;sig=023eac6&amp;sid=2402&amp;ppid=9297310&amp;vpid=538270031&amp;ct=offers" TargetMode="External"/><Relationship Id="rId105" Type="http://schemas.openxmlformats.org/officeDocument/2006/relationships/hyperlink" Target="https://octopart.com/click/track?ai=8078&amp;sig=06ea037&amp;sid=1532&amp;ppid=9297310&amp;vpid=603467262&amp;ct=offers" TargetMode="External"/><Relationship Id="rId106" Type="http://schemas.openxmlformats.org/officeDocument/2006/relationships/hyperlink" Target="http://datasheet.octopart.com/NCU15WB473E6SRC-Murata-datasheet-138710165.pdf" TargetMode="External"/><Relationship Id="rId107" Type="http://schemas.openxmlformats.org/officeDocument/2006/relationships/hyperlink" Target="https://octopart.com/click/track?c=1&amp;ai=8078&amp;sig=0d13e01&amp;sid=459&amp;ppid=95815863&amp;vpid=594839660&amp;ct=offers" TargetMode="External"/><Relationship Id="rId108" Type="http://schemas.openxmlformats.org/officeDocument/2006/relationships/hyperlink" Target="https://octopart.com/click/track?ai=8078&amp;sig=0c301c8&amp;sid=2401&amp;ppid=95815863&amp;vpid=503428545&amp;ct=offers" TargetMode="External"/><Relationship Id="rId109" Type="http://schemas.openxmlformats.org/officeDocument/2006/relationships/hyperlink" Target="http://datasheet.octopart.com/CRCW04021K00FKEDC-Vishay-datasheet-100063072.pdf" TargetMode="External"/><Relationship Id="rId110" Type="http://schemas.openxmlformats.org/officeDocument/2006/relationships/hyperlink" Target="https://octopart.com/click/track?ai=8078&amp;sig=090d4d1&amp;sid=459&amp;ppid=22247970&amp;vpid=454352853&amp;ct=offers" TargetMode="External"/><Relationship Id="rId111" Type="http://schemas.openxmlformats.org/officeDocument/2006/relationships/hyperlink" Target="https://octopart.com/click/track?ai=8078&amp;sig=0192050&amp;sid=2401&amp;ppid=22247970&amp;vpid=454196510&amp;ct=offers" TargetMode="External"/><Relationship Id="rId112" Type="http://schemas.openxmlformats.org/officeDocument/2006/relationships/hyperlink" Target="https://octopart.com/click/track?c=1&amp;ai=8078&amp;sig=0c1b35d&amp;sid=2402&amp;ppid=22247970&amp;vpid=462487826&amp;ct=offers" TargetMode="External"/><Relationship Id="rId113" Type="http://schemas.openxmlformats.org/officeDocument/2006/relationships/hyperlink" Target="https://octopart.com/click/track?ai=8078&amp;sig=0125646&amp;sid=459&amp;ppid=50982667&amp;vpid=192868718&amp;ct=offers" TargetMode="External"/><Relationship Id="rId114" Type="http://schemas.openxmlformats.org/officeDocument/2006/relationships/hyperlink" Target="https://octopart.com/click/track?ai=8078&amp;sig=05fe0d6&amp;sid=27971&amp;ppid=50982667&amp;vpid=609065658&amp;ct=offers" TargetMode="External"/><Relationship Id="rId115" Type="http://schemas.openxmlformats.org/officeDocument/2006/relationships/hyperlink" Target="https://octopart.com/click/track?ai=8078&amp;sig=08be5d4&amp;sid=2401&amp;ppid=50982667&amp;vpid=203304953&amp;ct=offers" TargetMode="External"/><Relationship Id="rId116" Type="http://schemas.openxmlformats.org/officeDocument/2006/relationships/hyperlink" Target="http://datasheet.octopart.com/FA-128-26.0000MF10Z-AC3-Epson-datasheet-61206169.pdf" TargetMode="External"/><Relationship Id="rId117" Type="http://schemas.openxmlformats.org/officeDocument/2006/relationships/hyperlink" Target="https://octopart.com/click/track?c=1&amp;ai=8078&amp;sig=0ae2703&amp;sid=459&amp;ppid=44407709&amp;vpid=116166161&amp;ct=offers" TargetMode="External"/><Relationship Id="rId118" Type="http://schemas.openxmlformats.org/officeDocument/2006/relationships/hyperlink" Target="https://octopart.com/click/track?ai=8078&amp;sig=0db4289&amp;sid=2401&amp;ppid=44407709&amp;vpid=456130088&amp;ct=offers" TargetMode="External"/><Relationship Id="rId119" Type="http://schemas.openxmlformats.org/officeDocument/2006/relationships/vmlDrawing" Target="../drawings/vmlDrawing1.vml"/><Relationship Id="rId12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149</v>
      </c>
      <c r="B1" s="2" t="s">
        <v>150</v>
      </c>
      <c r="F1" s="3" t="s">
        <v>155</v>
      </c>
      <c r="G1" s="3">
        <v>100</v>
      </c>
    </row>
    <row r="2" spans="1:47">
      <c r="A2" s="1" t="s">
        <v>151</v>
      </c>
      <c r="B2" s="2" t="s">
        <v>152</v>
      </c>
      <c r="F2" s="1" t="s">
        <v>157</v>
      </c>
      <c r="G2" s="4">
        <f>TotalCost/BoardQty</f>
        <v>0</v>
      </c>
    </row>
    <row r="3" spans="1:47">
      <c r="A3" s="1" t="s">
        <v>153</v>
      </c>
      <c r="B3" s="2" t="s">
        <v>154</v>
      </c>
      <c r="F3" s="1" t="s">
        <v>156</v>
      </c>
      <c r="G3" s="5">
        <f>SUM(G7:G57)</f>
        <v>0</v>
      </c>
      <c r="K3" s="5">
        <f>SUM(K7:K57)</f>
        <v>0</v>
      </c>
      <c r="L3" s="6">
        <f>(COUNTA(K7:K57)&amp;" of "&amp;ROWS(K7:K57)&amp;" parts found"</f>
        <v>0</v>
      </c>
      <c r="P3" s="5">
        <f>SUM(P7:P57)</f>
        <v>0</v>
      </c>
      <c r="Q3" s="6">
        <f>(COUNTA(P7:P57)&amp;" of "&amp;ROWS(P7:P57)&amp;" parts found"</f>
        <v>0</v>
      </c>
      <c r="U3" s="5">
        <f>SUM(U7:U57)</f>
        <v>0</v>
      </c>
      <c r="V3" s="6">
        <f>(COUNTA(U7:U57)&amp;" of "&amp;ROWS(U7:U57)&amp;" parts found"</f>
        <v>0</v>
      </c>
      <c r="Z3" s="5">
        <f>SUM(Z7:Z57)</f>
        <v>0</v>
      </c>
      <c r="AA3" s="6">
        <f>(COUNTA(Z7:Z57)&amp;" of "&amp;ROWS(Z7:Z57)&amp;" parts found"</f>
        <v>0</v>
      </c>
      <c r="AE3" s="5">
        <f>SUM(AE7:AE57)</f>
        <v>0</v>
      </c>
      <c r="AF3" s="6">
        <f>(COUNTA(AE7:AE57)&amp;" of "&amp;ROWS(AE7:AE57)&amp;" parts found"</f>
        <v>0</v>
      </c>
      <c r="AJ3" s="5">
        <f>SUM(AJ7:AJ57)</f>
        <v>0</v>
      </c>
      <c r="AK3" s="6">
        <f>(COUNTA(AJ7:AJ57)&amp;" of "&amp;ROWS(AJ7:AJ57)&amp;" parts found"</f>
        <v>0</v>
      </c>
      <c r="AO3" s="5">
        <f>SUM(AO7:AO57)</f>
        <v>0</v>
      </c>
      <c r="AP3" s="6">
        <f>(COUNTA(AO7:AO57)&amp;" of "&amp;ROWS(AO7:AO57)&amp;" parts found"</f>
        <v>0</v>
      </c>
      <c r="AT3" s="5">
        <f>SUM(AT7:AT57)</f>
        <v>0</v>
      </c>
      <c r="AU3" s="6">
        <f>(COUNTA(AT7:AT57)&amp;" of "&amp;ROWS(AT7:AT57)&amp;" parts found"</f>
        <v>0</v>
      </c>
    </row>
    <row r="4" spans="1:47">
      <c r="A4" s="1" t="s">
        <v>158</v>
      </c>
      <c r="B4" s="2" t="s">
        <v>159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160</v>
      </c>
      <c r="I5" s="8"/>
      <c r="J5" s="8"/>
      <c r="K5" s="8"/>
      <c r="L5" s="8"/>
      <c r="M5" s="9" t="s">
        <v>164</v>
      </c>
      <c r="N5" s="9"/>
      <c r="O5" s="9"/>
      <c r="P5" s="9"/>
      <c r="Q5" s="9"/>
      <c r="R5" s="10" t="s">
        <v>189</v>
      </c>
      <c r="S5" s="10"/>
      <c r="T5" s="10"/>
      <c r="U5" s="10"/>
      <c r="V5" s="10"/>
      <c r="W5" s="11" t="s">
        <v>200</v>
      </c>
      <c r="X5" s="11"/>
      <c r="Y5" s="11"/>
      <c r="Z5" s="11"/>
      <c r="AA5" s="11"/>
      <c r="AB5" s="12" t="s">
        <v>204</v>
      </c>
      <c r="AC5" s="12"/>
      <c r="AD5" s="12"/>
      <c r="AE5" s="12"/>
      <c r="AF5" s="12"/>
      <c r="AG5" s="13" t="s">
        <v>230</v>
      </c>
      <c r="AH5" s="13"/>
      <c r="AI5" s="13"/>
      <c r="AJ5" s="13"/>
      <c r="AK5" s="13"/>
      <c r="AL5" s="14" t="s">
        <v>244</v>
      </c>
      <c r="AM5" s="14"/>
      <c r="AN5" s="14"/>
      <c r="AO5" s="14"/>
      <c r="AP5" s="14"/>
      <c r="AQ5" s="15" t="s">
        <v>250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161</v>
      </c>
      <c r="I6" s="16" t="s">
        <v>162</v>
      </c>
      <c r="J6" s="16" t="s">
        <v>6</v>
      </c>
      <c r="K6" s="16" t="s">
        <v>7</v>
      </c>
      <c r="L6" s="16" t="s">
        <v>163</v>
      </c>
      <c r="M6" s="16" t="s">
        <v>161</v>
      </c>
      <c r="N6" s="16" t="s">
        <v>162</v>
      </c>
      <c r="O6" s="16" t="s">
        <v>6</v>
      </c>
      <c r="P6" s="16" t="s">
        <v>7</v>
      </c>
      <c r="Q6" s="16" t="s">
        <v>163</v>
      </c>
      <c r="R6" s="16" t="s">
        <v>161</v>
      </c>
      <c r="S6" s="16" t="s">
        <v>162</v>
      </c>
      <c r="T6" s="16" t="s">
        <v>6</v>
      </c>
      <c r="U6" s="16" t="s">
        <v>7</v>
      </c>
      <c r="V6" s="16" t="s">
        <v>163</v>
      </c>
      <c r="W6" s="16" t="s">
        <v>161</v>
      </c>
      <c r="X6" s="16" t="s">
        <v>162</v>
      </c>
      <c r="Y6" s="16" t="s">
        <v>6</v>
      </c>
      <c r="Z6" s="16" t="s">
        <v>7</v>
      </c>
      <c r="AA6" s="16" t="s">
        <v>163</v>
      </c>
      <c r="AB6" s="16" t="s">
        <v>161</v>
      </c>
      <c r="AC6" s="16" t="s">
        <v>162</v>
      </c>
      <c r="AD6" s="16" t="s">
        <v>6</v>
      </c>
      <c r="AE6" s="16" t="s">
        <v>7</v>
      </c>
      <c r="AF6" s="16" t="s">
        <v>163</v>
      </c>
      <c r="AG6" s="16" t="s">
        <v>161</v>
      </c>
      <c r="AH6" s="16" t="s">
        <v>162</v>
      </c>
      <c r="AI6" s="16" t="s">
        <v>6</v>
      </c>
      <c r="AJ6" s="16" t="s">
        <v>7</v>
      </c>
      <c r="AK6" s="16" t="s">
        <v>163</v>
      </c>
      <c r="AL6" s="16" t="s">
        <v>161</v>
      </c>
      <c r="AM6" s="16" t="s">
        <v>162</v>
      </c>
      <c r="AN6" s="16" t="s">
        <v>6</v>
      </c>
      <c r="AO6" s="16" t="s">
        <v>7</v>
      </c>
      <c r="AP6" s="16" t="s">
        <v>163</v>
      </c>
      <c r="AQ6" s="16" t="s">
        <v>161</v>
      </c>
      <c r="AR6" s="16" t="s">
        <v>162</v>
      </c>
      <c r="AS6" s="16" t="s">
        <v>6</v>
      </c>
      <c r="AT6" s="16" t="s">
        <v>7</v>
      </c>
      <c r="AU6" s="16" t="s">
        <v>163</v>
      </c>
    </row>
    <row r="7" spans="1:47">
      <c r="A7" s="17" t="s">
        <v>8</v>
      </c>
      <c r="B7" s="17" t="s">
        <v>9</v>
      </c>
      <c r="C7" s="17" t="s">
        <v>9</v>
      </c>
      <c r="D7" s="17" t="s">
        <v>9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</row>
    <row r="8" spans="1:47">
      <c r="A8" s="17" t="s">
        <v>10</v>
      </c>
      <c r="B8" s="17" t="s">
        <v>11</v>
      </c>
      <c r="C8" s="17" t="s">
        <v>12</v>
      </c>
      <c r="D8" s="17" t="s">
        <v>13</v>
      </c>
      <c r="E8" s="17">
        <f>BoardQty*2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  <c r="M8" s="19" t="s">
        <v>166</v>
      </c>
      <c r="O8" s="18">
        <f>iferror(lookup(if(N8="",E8,N8),{0,1,10,100,500,1000,2500,5000,10000,20000},{0.0,0.2,0.139,0.0702,0.04802,0.04248,0.04063,0.03694,0.0292,0.02774}),"")</f>
        <v>0</v>
      </c>
      <c r="P8" s="18">
        <f>iferror(if(N8="",E8,N8)*O8,"")</f>
        <v>0</v>
      </c>
      <c r="Q8" s="20" t="s">
        <v>165</v>
      </c>
      <c r="AB8" s="17">
        <v>45366</v>
      </c>
      <c r="AD8" s="18">
        <f>iferror(lookup(if(AC8="",E8,AC8),{0,1,10,100,500,1000,2500},{0.0,0.2,0.138,0.07,0.048,0.042,0.038}),"")</f>
        <v>0</v>
      </c>
      <c r="AE8" s="18">
        <f>iferror(if(AC8="",E8,AC8)*AD8,"")</f>
        <v>0</v>
      </c>
      <c r="AF8" s="20" t="s">
        <v>205</v>
      </c>
    </row>
    <row r="9" spans="1:47">
      <c r="A9" s="17" t="s">
        <v>14</v>
      </c>
      <c r="B9" s="17" t="s">
        <v>15</v>
      </c>
      <c r="C9" s="17" t="s">
        <v>12</v>
      </c>
      <c r="D9" s="17" t="s">
        <v>16</v>
      </c>
      <c r="E9" s="17">
        <f>BoardQty*3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  <c r="M9" s="19" t="s">
        <v>166</v>
      </c>
      <c r="O9" s="18">
        <f>iferror(lookup(if(N9="",E9,N9),{0,1,10,100,500,1000,2500,5000,10000,20000},{0.0,0.16,0.117,0.055,0.03858,0.03194,0.02973,0.0272,0.022,0.0209}),"")</f>
        <v>0</v>
      </c>
      <c r="P9" s="18">
        <f>iferror(if(N9="",E9,N9)*O9,"")</f>
        <v>0</v>
      </c>
      <c r="Q9" s="20" t="s">
        <v>167</v>
      </c>
    </row>
    <row r="10" spans="1:47">
      <c r="A10" s="17" t="s">
        <v>17</v>
      </c>
      <c r="B10" s="17" t="s">
        <v>18</v>
      </c>
      <c r="C10" s="17" t="s">
        <v>12</v>
      </c>
      <c r="D10" s="17" t="s">
        <v>19</v>
      </c>
      <c r="E10" s="17">
        <f>BoardQty*1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  <c r="M10" s="19" t="s">
        <v>166</v>
      </c>
      <c r="O10" s="18">
        <f>iferror(lookup(if(N10="",E10,N10),{0,1,40000},{0.0,0.04063,0.04063}),"")</f>
        <v>0</v>
      </c>
      <c r="P10" s="18">
        <f>iferror(if(N10="",E10,N10)*O10,"")</f>
        <v>0</v>
      </c>
      <c r="Q10" s="20" t="s">
        <v>168</v>
      </c>
      <c r="AB10" s="17">
        <v>39745</v>
      </c>
      <c r="AD10" s="18">
        <f>iferror(lookup(if(AC10="",E10,AC10),{0,1,10,100,500,1000,2500},{0.0,0.27,0.181,0.103,0.073,0.063,0.058}),"")</f>
        <v>0</v>
      </c>
      <c r="AE10" s="18">
        <f>iferror(if(AC10="",E10,AC10)*AD10,"")</f>
        <v>0</v>
      </c>
      <c r="AF10" s="20" t="s">
        <v>206</v>
      </c>
    </row>
    <row r="11" spans="1:47">
      <c r="A11" s="17" t="s">
        <v>20</v>
      </c>
      <c r="B11" s="17" t="s">
        <v>11</v>
      </c>
      <c r="C11" s="17" t="s">
        <v>12</v>
      </c>
      <c r="D11" s="17" t="s">
        <v>21</v>
      </c>
      <c r="E11" s="17">
        <f>BoardQty*5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  <c r="M11" s="17">
        <v>54103</v>
      </c>
      <c r="O11" s="18">
        <f>iferror(lookup(if(N11="",E11,N11),{0,1,10,100,500,1000,2500,5000,10000,20000},{0.0,0.88,0.666,0.4765,0.36888,0.31764,0.29715,0.28178,0.24057,0.23701}),"")</f>
        <v>0</v>
      </c>
      <c r="P11" s="18">
        <f>iferror(if(N11="",E11,N11)*O11,"")</f>
        <v>0</v>
      </c>
      <c r="Q11" s="20" t="s">
        <v>169</v>
      </c>
      <c r="R11" s="17">
        <v>29790</v>
      </c>
      <c r="T11" s="18">
        <f>iferror(USD_GBP*lookup(if(S11="",E11,S11),{0,1,10000},{0.0,0.223,0.223}),"")</f>
        <v>0</v>
      </c>
      <c r="U11" s="18">
        <f>iferror(if(S11="",E11,S11)*T11,"")</f>
        <v>0</v>
      </c>
      <c r="V11" s="20" t="s">
        <v>190</v>
      </c>
      <c r="AB11" s="17">
        <v>132515</v>
      </c>
      <c r="AD11" s="18">
        <f>iferror(lookup(if(AC11="",E11,AC11),{0,1,10,100,500,1000,2500},{0.0,1.04,0.798,0.506,0.442,0.38,0.322}),"")</f>
        <v>0</v>
      </c>
      <c r="AE11" s="18">
        <f>iferror(if(AC11="",E11,AC11)*AD11,"")</f>
        <v>0</v>
      </c>
      <c r="AF11" s="20" t="s">
        <v>207</v>
      </c>
      <c r="AG11" s="17">
        <v>19790</v>
      </c>
      <c r="AI11" s="18">
        <f>iferror(lookup(if(AH11="",E11,AH11),{0,1,25,100,250,500,1000,2500,5000,10000,20000,30000,50000},{0.0,0.279,0.798,0.571,0.506,0.442,0.38,0.322,0.273,0.252,0.235,0.219,0.209}),"")</f>
        <v>0</v>
      </c>
      <c r="AJ11" s="18">
        <f>iferror(if(AH11="",E11,AH11)*AI11,"")</f>
        <v>0</v>
      </c>
      <c r="AK11" s="20" t="s">
        <v>231</v>
      </c>
    </row>
    <row r="12" spans="1:47">
      <c r="A12" s="17" t="s">
        <v>22</v>
      </c>
      <c r="B12" s="17" t="s">
        <v>18</v>
      </c>
      <c r="C12" s="17" t="s">
        <v>12</v>
      </c>
      <c r="D12" s="17" t="s">
        <v>23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  <c r="M12" s="19" t="s">
        <v>166</v>
      </c>
      <c r="O12" s="18">
        <f>iferror(lookup(if(N12="",E12,N12),{0,1,50000},{0.0,0.01434,0.01434}),"")</f>
        <v>0</v>
      </c>
      <c r="P12" s="18">
        <f>iferror(if(N12="",E12,N12)*O12,"")</f>
        <v>0</v>
      </c>
      <c r="Q12" s="20" t="s">
        <v>170</v>
      </c>
      <c r="AB12" s="17">
        <v>31717</v>
      </c>
      <c r="AD12" s="18">
        <f>iferror(lookup(if(AC12="",E12,AC12),{0,1,10,100,500,1000,2000},{0.0,0.13,0.06,0.04,0.03,0.03,0.03}),"")</f>
        <v>0</v>
      </c>
      <c r="AE12" s="18">
        <f>iferror(if(AC12="",E12,AC12)*AD12,"")</f>
        <v>0</v>
      </c>
      <c r="AF12" s="20" t="s">
        <v>208</v>
      </c>
    </row>
    <row r="13" spans="1:47">
      <c r="A13" s="17" t="s">
        <v>24</v>
      </c>
      <c r="B13" s="17" t="s">
        <v>25</v>
      </c>
      <c r="C13" s="17" t="s">
        <v>12</v>
      </c>
      <c r="D13" s="17" t="s">
        <v>26</v>
      </c>
      <c r="E13" s="17">
        <f>BoardQty*1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  <c r="R13" s="17">
        <v>8340</v>
      </c>
      <c r="T13" s="18">
        <f>iferror(USD_GBP*lookup(if(S13="",E13,S13),{0,1,10,100,150,500,2500,5000},{0.0,0.0536,0.0536,0.0295,0.0295,0.0227,0.0169,0.0144}),"")</f>
        <v>0</v>
      </c>
      <c r="U13" s="18">
        <f>iferror(if(S13="",E13,S13)*T13,"")</f>
        <v>0</v>
      </c>
      <c r="V13" s="20" t="s">
        <v>191</v>
      </c>
      <c r="AB13" s="17">
        <v>17608</v>
      </c>
      <c r="AD13" s="18">
        <f>iferror(lookup(if(AC13="",E13,AC13),{0,1,10,100,500,1000,2000},{0.0,0.11,0.053,0.033,0.027,0.022,0.018}),"")</f>
        <v>0</v>
      </c>
      <c r="AE13" s="18">
        <f>iferror(if(AC13="",E13,AC13)*AD13,"")</f>
        <v>0</v>
      </c>
      <c r="AF13" s="20" t="s">
        <v>209</v>
      </c>
      <c r="AG13" s="17">
        <v>8340</v>
      </c>
      <c r="AI13" s="18">
        <f>iferror(lookup(if(AH13="",E13,AH13),{0,1,10,25,50,100,250,500,1000},{0.0,0.11,0.053,0.046,0.04,0.033,0.03,0.027,0.022}),"")</f>
        <v>0</v>
      </c>
      <c r="AJ13" s="18">
        <f>iferror(if(AH13="",E13,AH13)*AI13,"")</f>
        <v>0</v>
      </c>
      <c r="AK13" s="20" t="s">
        <v>232</v>
      </c>
    </row>
    <row r="14" spans="1:47">
      <c r="A14" s="17" t="s">
        <v>27</v>
      </c>
      <c r="B14" s="17" t="s">
        <v>25</v>
      </c>
      <c r="C14" s="17" t="s">
        <v>12</v>
      </c>
      <c r="D14" s="17" t="s">
        <v>28</v>
      </c>
      <c r="E14" s="17">
        <f>BoardQty*1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  <c r="M14" s="17">
        <v>163423</v>
      </c>
      <c r="O14" s="18">
        <f>iferror(lookup(if(N14="",E14,N14),{0,1,10,100,500,1000,2500,5000,10000,20000},{0.0,0.16,0.117,0.0552,0.03868,0.03203,0.02981,0.02727,0.0227,0.02157}),"")</f>
        <v>0</v>
      </c>
      <c r="P14" s="18">
        <f>iferror(if(N14="",E14,N14)*O14,"")</f>
        <v>0</v>
      </c>
      <c r="Q14" s="20" t="s">
        <v>171</v>
      </c>
      <c r="R14" s="17">
        <v>117020</v>
      </c>
      <c r="T14" s="18">
        <f>iferror(USD_GBP*lookup(if(S14="",E14,S14),{0,1,10,100,150,500,2500,5000,10000,50000},{0.0,0.0874,0.0874,0.0493,0.0493,0.0335,0.0239,0.0219,0.024,0.02}),"")</f>
        <v>0</v>
      </c>
      <c r="U14" s="18">
        <f>iferror(if(S14="",E14,S14)*T14,"")</f>
        <v>0</v>
      </c>
      <c r="V14" s="20" t="s">
        <v>192</v>
      </c>
      <c r="AB14" s="17">
        <v>1002465</v>
      </c>
      <c r="AD14" s="18">
        <f>iferror(lookup(if(AC14="",E14,AC14),{0,1,10,100,500,1000,2000},{0.0,0.16,0.117,0.055,0.038,0.032,0.027}),"")</f>
        <v>0</v>
      </c>
      <c r="AE14" s="18">
        <f>iferror(if(AC14="",E14,AC14)*AD14,"")</f>
        <v>0</v>
      </c>
      <c r="AF14" s="20" t="s">
        <v>210</v>
      </c>
      <c r="AG14" s="17">
        <v>117020</v>
      </c>
      <c r="AI14" s="18">
        <f>iferror(lookup(if(AH14="",E14,AH14),{0,1,10,25,50,100,250,500,1000,5000,10000,20000,30000},{0.0,0.035,0.105,0.091,0.079,0.065,0.06,0.054,0.044,0.033,0.028,0.024,0.02}),"")</f>
        <v>0</v>
      </c>
      <c r="AJ14" s="18">
        <f>iferror(if(AH14="",E14,AH14)*AI14,"")</f>
        <v>0</v>
      </c>
      <c r="AK14" s="20" t="s">
        <v>233</v>
      </c>
      <c r="AQ14" s="17">
        <v>2650</v>
      </c>
      <c r="AU14" s="20" t="s">
        <v>28</v>
      </c>
    </row>
    <row r="15" spans="1:47">
      <c r="A15" s="17" t="s">
        <v>29</v>
      </c>
      <c r="B15" s="17" t="s">
        <v>30</v>
      </c>
      <c r="C15" s="17" t="s">
        <v>12</v>
      </c>
      <c r="D15" s="17" t="s">
        <v>31</v>
      </c>
      <c r="E15" s="17">
        <f>BoardQty*1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</row>
    <row r="16" spans="1:47">
      <c r="A16" s="17" t="s">
        <v>32</v>
      </c>
      <c r="B16" s="17" t="s">
        <v>33</v>
      </c>
      <c r="C16" s="17" t="s">
        <v>34</v>
      </c>
      <c r="D16" s="17" t="s">
        <v>35</v>
      </c>
      <c r="E16" s="17">
        <f>BoardQty*2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  <c r="M16" s="17">
        <v>9767</v>
      </c>
      <c r="O16" s="18">
        <f>iferror(lookup(if(N16="",E16,N16),{0,1,10,100,500,1000,2500,5000,15000},{0.0,0.1,0.036,0.016,0.01142,0.00898,0.00816,0.00751,0.00567}),"")</f>
        <v>0</v>
      </c>
      <c r="P16" s="18">
        <f>iferror(if(N16="",E16,N16)*O16,"")</f>
        <v>0</v>
      </c>
      <c r="Q16" s="20" t="s">
        <v>172</v>
      </c>
      <c r="AB16" s="17">
        <v>43745</v>
      </c>
      <c r="AD16" s="18">
        <f>iferror(lookup(if(AC16="",E16,AC16),{0,1,10,100,500,1000,5000},{0.0,0.1,0.018,0.012,0.01,0.008,0.007}),"")</f>
        <v>0</v>
      </c>
      <c r="AE16" s="18">
        <f>iferror(if(AC16="",E16,AC16)*AD16,"")</f>
        <v>0</v>
      </c>
      <c r="AF16" s="20" t="s">
        <v>211</v>
      </c>
    </row>
    <row r="17" spans="1:47">
      <c r="A17" s="17" t="s">
        <v>36</v>
      </c>
      <c r="B17" s="17" t="s">
        <v>37</v>
      </c>
      <c r="C17" s="17" t="s">
        <v>34</v>
      </c>
      <c r="D17" s="17" t="s">
        <v>38</v>
      </c>
      <c r="E17" s="17">
        <f>BoardQty*1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  <c r="M17" s="17">
        <v>7479528</v>
      </c>
      <c r="O17" s="18">
        <f>iferror(lookup(if(N17="",E17,N17),{0,1,10,100,500,1000,2500,5000,15000,30000},{0.0,0.1,0.029,0.013,0.00932,0.00732,0.00666,0.00612,0.0032,0.00304}),"")</f>
        <v>0</v>
      </c>
      <c r="P17" s="18">
        <f>iferror(if(N17="",E17,N17)*O17,"")</f>
        <v>0</v>
      </c>
      <c r="Q17" s="20" t="s">
        <v>173</v>
      </c>
      <c r="R17" s="17">
        <v>390000</v>
      </c>
      <c r="T17" s="18">
        <f>iferror(USD_GBP*lookup(if(S17="",E17,S17),{0,1,10,100,150,500,2500,7500,15000,75000},{0.0,0.0418,0.0418,0.0271,0.0271,0.0177,0.0131,0.0112,0.006,0.0022}),"")</f>
        <v>0</v>
      </c>
      <c r="U17" s="18">
        <f>iferror(if(S17="",E17,S17)*T17,"")</f>
        <v>0</v>
      </c>
      <c r="V17" s="20" t="s">
        <v>193</v>
      </c>
      <c r="W17" s="17">
        <v>10300</v>
      </c>
      <c r="Y17" s="18">
        <f>iferror(lookup(if(X17="",E17,X17),{0,1,100,1000,3000,10000,50000,100000},{0.0,0.00164,0.00164,0.00122,0.00114,0.00106,0.00103,0.00101}),"")</f>
        <v>0</v>
      </c>
      <c r="Z17" s="18">
        <f>iferror(if(X17="",E17,X17)*Y17,"")</f>
        <v>0</v>
      </c>
      <c r="AA17" s="20" t="s">
        <v>201</v>
      </c>
      <c r="AB17" s="17">
        <v>639358</v>
      </c>
      <c r="AD17" s="18">
        <f>iferror(lookup(if(AC17="",E17,AC17),{0,1,10,100,500,1000,2500},{0.0,0.1,0.029,0.013,0.009,0.007,0.006}),"")</f>
        <v>0</v>
      </c>
      <c r="AE17" s="18">
        <f>iferror(if(AC17="",E17,AC17)*AD17,"")</f>
        <v>0</v>
      </c>
      <c r="AF17" s="20" t="s">
        <v>212</v>
      </c>
      <c r="AG17" s="17">
        <v>30000</v>
      </c>
      <c r="AI17" s="18">
        <f>iferror(lookup(if(AH17="",E17,AH17),{0,1,10,25,50,100,250,500,1000,15000},{0.0,0.084,0.024,0.019,0.014,0.01,0.009,0.008,0.006,0.005}),"")</f>
        <v>0</v>
      </c>
      <c r="AJ17" s="18">
        <f>iferror(if(AH17="",E17,AH17)*AI17,"")</f>
        <v>0</v>
      </c>
      <c r="AK17" s="20" t="s">
        <v>234</v>
      </c>
      <c r="AL17" s="17">
        <v>291000</v>
      </c>
      <c r="AN17" s="18">
        <f>iferror(USD_GBP*lookup(if(AM17="",E17,AM17),{0,1,200,2000,15000},{0.0,0.009,0.009,0.008,0.003}),"")</f>
        <v>0</v>
      </c>
      <c r="AO17" s="18">
        <f>iferror(if(AM17="",E17,AM17)*AN17,"")</f>
        <v>0</v>
      </c>
      <c r="AP17" s="20" t="s">
        <v>245</v>
      </c>
      <c r="AQ17" s="17">
        <v>8200</v>
      </c>
      <c r="AU17" s="20" t="s">
        <v>38</v>
      </c>
    </row>
    <row r="18" spans="1:47">
      <c r="A18" s="17" t="s">
        <v>39</v>
      </c>
      <c r="B18" s="17" t="s">
        <v>40</v>
      </c>
      <c r="C18" s="17" t="s">
        <v>12</v>
      </c>
      <c r="D18" s="17" t="s">
        <v>31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</row>
    <row r="19" spans="1:47">
      <c r="A19" s="17" t="s">
        <v>41</v>
      </c>
      <c r="B19" s="17" t="s">
        <v>18</v>
      </c>
      <c r="C19" s="17" t="s">
        <v>12</v>
      </c>
      <c r="D19" s="17" t="s">
        <v>42</v>
      </c>
      <c r="E19" s="17">
        <f>BoardQty*11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9" s="18">
        <f>iferror(E19*F19,"")</f>
        <v>0</v>
      </c>
    </row>
    <row r="20" spans="1:47">
      <c r="A20" s="17" t="s">
        <v>43</v>
      </c>
      <c r="B20" s="17" t="s">
        <v>11</v>
      </c>
      <c r="C20" s="17" t="s">
        <v>12</v>
      </c>
      <c r="D20" s="17" t="s">
        <v>44</v>
      </c>
      <c r="E20" s="17">
        <f>BoardQty*2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0" s="18">
        <f>iferror(E20*F20,"")</f>
        <v>0</v>
      </c>
      <c r="M20" s="17">
        <v>187611</v>
      </c>
      <c r="O20" s="18">
        <f>iferror(lookup(if(N20="",E20,N20),{0,1,10,100,500,1000,2500,5000,10000,20000},{0.0,0.63,0.448,0.2948,0.21836,0.1856,0.17468,0.16376,0.1329,0.13053}),"")</f>
        <v>0</v>
      </c>
      <c r="P20" s="18">
        <f>iferror(if(N20="",E20,N20)*O20,"")</f>
        <v>0</v>
      </c>
      <c r="Q20" s="20" t="s">
        <v>174</v>
      </c>
      <c r="R20" s="17">
        <v>168160</v>
      </c>
      <c r="T20" s="18">
        <f>iferror(USD_GBP*lookup(if(S20="",E20,S20),{0,1,10,100,150,500,2500,5000,10000,50000},{0.0,0.428,0.428,0.236,0.236,0.151,0.132,0.131,0.101,0.095}),"")</f>
        <v>0</v>
      </c>
      <c r="U20" s="18">
        <f>iferror(if(S20="",E20,S20)*T20,"")</f>
        <v>0</v>
      </c>
      <c r="V20" s="20" t="s">
        <v>194</v>
      </c>
      <c r="AB20" s="17">
        <v>72356</v>
      </c>
      <c r="AD20" s="18">
        <f>iferror(lookup(if(AC20="",E20,AC20),{0,1,10,100,500,1000,2000,10000,20000,50000},{0.0,0.63,0.448,0.294,0.218,0.185,0.163,0.132,0.13,0.123}),"")</f>
        <v>0</v>
      </c>
      <c r="AE20" s="18">
        <f>iferror(if(AC20="",E20,AC20)*AD20,"")</f>
        <v>0</v>
      </c>
      <c r="AF20" s="20" t="s">
        <v>213</v>
      </c>
      <c r="AG20" s="17">
        <v>147174</v>
      </c>
      <c r="AI20" s="18">
        <f>iferror(lookup(if(AH20="",E20,AH20),{0,1,10,25,50,100,250,500,1000,10000,20000,30000,40000,50000,60000},{0.0,0.168,0.56,0.496,0.431,0.368,0.32,0.273,0.231,0.167,0.163,0.135,0.159,0.123,0.154}),"")</f>
        <v>0</v>
      </c>
      <c r="AJ20" s="18">
        <f>iferror(if(AH20="",E20,AH20)*AI20,"")</f>
        <v>0</v>
      </c>
      <c r="AK20" s="20" t="s">
        <v>235</v>
      </c>
      <c r="AL20" s="17">
        <v>57500</v>
      </c>
      <c r="AN20" s="18">
        <f>iferror(USD_GBP*lookup(if(AM20="",E20,AM20),{0,1,50,100,500,2500,5000,10000},{0.0,0.345,0.345,0.18,0.129,0.102,0.098,0.112}),"")</f>
        <v>0</v>
      </c>
      <c r="AO20" s="18">
        <f>iferror(if(AM20="",E20,AM20)*AN20,"")</f>
        <v>0</v>
      </c>
      <c r="AP20" s="20" t="s">
        <v>246</v>
      </c>
      <c r="AQ20" s="17">
        <v>9331</v>
      </c>
      <c r="AU20" s="20" t="s">
        <v>251</v>
      </c>
    </row>
    <row r="21" spans="1:47">
      <c r="A21" s="17" t="s">
        <v>45</v>
      </c>
      <c r="B21" s="17" t="s">
        <v>46</v>
      </c>
      <c r="C21" s="17" t="s">
        <v>12</v>
      </c>
      <c r="D21" s="17" t="s">
        <v>47</v>
      </c>
      <c r="E21" s="17">
        <f>BoardQty*1</f>
        <v>0</v>
      </c>
      <c r="F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1" s="18">
        <f>iferror(E21*F21,"")</f>
        <v>0</v>
      </c>
      <c r="M21" s="19" t="s">
        <v>166</v>
      </c>
      <c r="O21" s="18">
        <f>iferror(lookup(if(N21="",E21,N21),{0,1,20000},{0.0,0.01449,0.01449}),"")</f>
        <v>0</v>
      </c>
      <c r="P21" s="18">
        <f>iferror(if(N21="",E21,N21)*O21,"")</f>
        <v>0</v>
      </c>
      <c r="Q21" s="20" t="s">
        <v>175</v>
      </c>
      <c r="R21" s="19" t="s">
        <v>166</v>
      </c>
      <c r="T21" s="18">
        <f>iferror(USD_GBP*lookup(if(S21="",E21,S21),{0,1,10000},{0.0,0.0136,0.0136}),"")</f>
        <v>0</v>
      </c>
      <c r="U21" s="18">
        <f>iferror(if(S21="",E21,S21)*T21,"")</f>
        <v>0</v>
      </c>
      <c r="V21" s="20" t="s">
        <v>195</v>
      </c>
      <c r="AB21" s="17">
        <v>18615</v>
      </c>
      <c r="AD21" s="18">
        <f>iferror(lookup(if(AC21="",E21,AC21),{0,1,10,100,500,1000,2000},{0.0,0.27,0.06,0.04,0.03,0.03,0.02}),"")</f>
        <v>0</v>
      </c>
      <c r="AE21" s="18">
        <f>iferror(if(AC21="",E21,AC21)*AD21,"")</f>
        <v>0</v>
      </c>
      <c r="AF21" s="20" t="s">
        <v>214</v>
      </c>
      <c r="AG21" s="19" t="s">
        <v>166</v>
      </c>
      <c r="AK21" s="20" t="s">
        <v>236</v>
      </c>
    </row>
    <row r="22" spans="1:47">
      <c r="A22" s="17" t="s">
        <v>48</v>
      </c>
      <c r="B22" s="17" t="s">
        <v>49</v>
      </c>
      <c r="C22" s="17" t="s">
        <v>34</v>
      </c>
      <c r="D22" s="17" t="s">
        <v>50</v>
      </c>
      <c r="E22" s="17">
        <f>BoardQty*1</f>
        <v>0</v>
      </c>
      <c r="F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2" s="18">
        <f>iferror(E22*F22,"")</f>
        <v>0</v>
      </c>
      <c r="M22" s="17">
        <v>9065</v>
      </c>
      <c r="O22" s="18">
        <f>iferror(lookup(if(N22="",E22,N22),{0,1,10,100,500,1000,2500,5000,15000,30000},{0.0,0.1,0.029,0.013,0.00932,0.00732,0.00666,0.00612,0.0042,0.00399}),"")</f>
        <v>0</v>
      </c>
      <c r="P22" s="18">
        <f>iferror(if(N22="",E22,N22)*O22,"")</f>
        <v>0</v>
      </c>
      <c r="Q22" s="20" t="s">
        <v>176</v>
      </c>
      <c r="R22" s="19" t="s">
        <v>166</v>
      </c>
      <c r="T22" s="18">
        <f>iferror(USD_GBP*lookup(if(S22="",E22,S22),{0,1,15000},{0.0,0.0014,0.0014}),"")</f>
        <v>0</v>
      </c>
      <c r="U22" s="18">
        <f>iferror(if(S22="",E22,S22)*T22,"")</f>
        <v>0</v>
      </c>
      <c r="V22" s="20" t="s">
        <v>196</v>
      </c>
      <c r="AB22" s="17">
        <v>36610</v>
      </c>
      <c r="AD22" s="18">
        <f>iferror(lookup(if(AC22="",E22,AC22),{0,1,10,100,500,1000,2500},{0.0,0.1,0.027,0.011,0.008,0.006,0.006}),"")</f>
        <v>0</v>
      </c>
      <c r="AE22" s="18">
        <f>iferror(if(AC22="",E22,AC22)*AD22,"")</f>
        <v>0</v>
      </c>
      <c r="AF22" s="20" t="s">
        <v>215</v>
      </c>
      <c r="AG22" s="19" t="s">
        <v>166</v>
      </c>
      <c r="AI22" s="18">
        <f>iferror(lookup(if(AH22="",E22,AH22),{0,1,15000},{0.0,0.003,0.003}),"")</f>
        <v>0</v>
      </c>
      <c r="AJ22" s="18">
        <f>iferror(if(AH22="",E22,AH22)*AI22,"")</f>
        <v>0</v>
      </c>
      <c r="AK22" s="20" t="s">
        <v>237</v>
      </c>
      <c r="AL22" s="17">
        <v>30000</v>
      </c>
      <c r="AN22" s="18">
        <f>iferror(USD_GBP*lookup(if(AM22="",E22,AM22),{0,1,500,2500},{0.0,0.006,0.006,0.005}),"")</f>
        <v>0</v>
      </c>
      <c r="AO22" s="18">
        <f>iferror(if(AM22="",E22,AM22)*AN22,"")</f>
        <v>0</v>
      </c>
      <c r="AP22" s="20" t="s">
        <v>247</v>
      </c>
    </row>
    <row r="23" spans="1:47">
      <c r="A23" s="17" t="s">
        <v>51</v>
      </c>
      <c r="B23" s="17" t="s">
        <v>52</v>
      </c>
      <c r="C23" s="17" t="s">
        <v>34</v>
      </c>
      <c r="D23" s="17" t="s">
        <v>50</v>
      </c>
      <c r="E23" s="17">
        <f>BoardQty*2</f>
        <v>0</v>
      </c>
      <c r="F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3" s="18">
        <f>iferror(E23*F23,"")</f>
        <v>0</v>
      </c>
      <c r="M23" s="17">
        <v>9065</v>
      </c>
      <c r="O23" s="18">
        <f>iferror(lookup(if(N23="",E23,N23),{0,1,10,100,500,1000,2500,5000,15000,30000},{0.0,0.1,0.029,0.013,0.00932,0.00732,0.00666,0.00612,0.0042,0.00399}),"")</f>
        <v>0</v>
      </c>
      <c r="P23" s="18">
        <f>iferror(if(N23="",E23,N23)*O23,"")</f>
        <v>0</v>
      </c>
      <c r="Q23" s="20" t="s">
        <v>176</v>
      </c>
      <c r="R23" s="19" t="s">
        <v>166</v>
      </c>
      <c r="T23" s="18">
        <f>iferror(USD_GBP*lookup(if(S23="",E23,S23),{0,1,15000},{0.0,0.0014,0.0014}),"")</f>
        <v>0</v>
      </c>
      <c r="U23" s="18">
        <f>iferror(if(S23="",E23,S23)*T23,"")</f>
        <v>0</v>
      </c>
      <c r="V23" s="20" t="s">
        <v>196</v>
      </c>
      <c r="AB23" s="17">
        <v>36610</v>
      </c>
      <c r="AD23" s="18">
        <f>iferror(lookup(if(AC23="",E23,AC23),{0,1,10,100,500,1000,2500},{0.0,0.1,0.027,0.011,0.008,0.006,0.006}),"")</f>
        <v>0</v>
      </c>
      <c r="AE23" s="18">
        <f>iferror(if(AC23="",E23,AC23)*AD23,"")</f>
        <v>0</v>
      </c>
      <c r="AF23" s="20" t="s">
        <v>215</v>
      </c>
      <c r="AG23" s="19" t="s">
        <v>166</v>
      </c>
      <c r="AI23" s="18">
        <f>iferror(lookup(if(AH23="",E23,AH23),{0,1,15000},{0.0,0.003,0.003}),"")</f>
        <v>0</v>
      </c>
      <c r="AJ23" s="18">
        <f>iferror(if(AH23="",E23,AH23)*AI23,"")</f>
        <v>0</v>
      </c>
      <c r="AK23" s="20" t="s">
        <v>237</v>
      </c>
      <c r="AL23" s="17">
        <v>30000</v>
      </c>
      <c r="AN23" s="18">
        <f>iferror(USD_GBP*lookup(if(AM23="",E23,AM23),{0,1,500,2500},{0.0,0.006,0.006,0.005}),"")</f>
        <v>0</v>
      </c>
      <c r="AO23" s="18">
        <f>iferror(if(AM23="",E23,AM23)*AN23,"")</f>
        <v>0</v>
      </c>
      <c r="AP23" s="20" t="s">
        <v>247</v>
      </c>
    </row>
    <row r="24" spans="1:47">
      <c r="A24" s="17" t="s">
        <v>53</v>
      </c>
      <c r="B24" s="17" t="s">
        <v>18</v>
      </c>
      <c r="C24" s="17" t="s">
        <v>12</v>
      </c>
      <c r="D24" s="17" t="s">
        <v>54</v>
      </c>
      <c r="E24" s="17">
        <f>BoardQty*1</f>
        <v>0</v>
      </c>
      <c r="F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4" s="18">
        <f>iferror(E24*F24,"")</f>
        <v>0</v>
      </c>
      <c r="M24" s="17">
        <v>1420</v>
      </c>
      <c r="O24" s="18">
        <f>iferror(lookup(if(N24="",E24,N24),{0,1,10,100,500,1000,2500,5000,10000,20000},{0.0,0.1,0.041,0.0184,0.01312,0.01031,0.00937,0.00862,0.00684,0.00651}),"")</f>
        <v>0</v>
      </c>
      <c r="P24" s="18">
        <f>iferror(if(N24="",E24,N24)*O24,"")</f>
        <v>0</v>
      </c>
      <c r="Q24" s="20" t="s">
        <v>177</v>
      </c>
      <c r="R24" s="17">
        <v>7975</v>
      </c>
      <c r="T24" s="18">
        <f>iferror(USD_GBP*lookup(if(S24="",E24,S24),{0,1,50,100,250,500,1000,2500},{0.0,0.0569,0.0293,0.015,0.0132,0.0119,0.0099,0.0084}),"")</f>
        <v>0</v>
      </c>
      <c r="U24" s="18">
        <f>iferror(if(S24="",E24,S24)*T24,"")</f>
        <v>0</v>
      </c>
      <c r="V24" s="20" t="s">
        <v>197</v>
      </c>
      <c r="AB24" s="17">
        <v>58540</v>
      </c>
      <c r="AD24" s="18">
        <f>iferror(lookup(if(AC24="",E24,AC24),{0,1,10,100,500,1000,5000},{0.0,0.1,0.022,0.015,0.013,0.01,0.009}),"")</f>
        <v>0</v>
      </c>
      <c r="AE24" s="18">
        <f>iferror(if(AC24="",E24,AC24)*AD24,"")</f>
        <v>0</v>
      </c>
      <c r="AF24" s="20" t="s">
        <v>216</v>
      </c>
      <c r="AG24" s="17">
        <v>7960</v>
      </c>
      <c r="AI24" s="18">
        <f>iferror(lookup(if(AH24="",E24,AH24),{0,1,25,100,250,500,1000,2500,5000,10000},{0.0,0.007,0.006,0.006,0.006,0.006,0.006,0.006,0.006,0.007}),"")</f>
        <v>0</v>
      </c>
      <c r="AJ24" s="18">
        <f>iferror(if(AH24="",E24,AH24)*AI24,"")</f>
        <v>0</v>
      </c>
      <c r="AK24" s="20" t="s">
        <v>238</v>
      </c>
    </row>
    <row r="25" spans="1:47">
      <c r="A25" s="17" t="s">
        <v>55</v>
      </c>
      <c r="B25" s="17" t="s">
        <v>11</v>
      </c>
      <c r="C25" s="17" t="s">
        <v>12</v>
      </c>
      <c r="D25" s="17" t="s">
        <v>56</v>
      </c>
      <c r="E25" s="17">
        <f>BoardQty*3</f>
        <v>0</v>
      </c>
      <c r="F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5" s="18">
        <f>iferror(E25*F25,"")</f>
        <v>0</v>
      </c>
    </row>
    <row r="26" spans="1:47">
      <c r="A26" s="17" t="s">
        <v>57</v>
      </c>
      <c r="B26" s="17" t="s">
        <v>58</v>
      </c>
      <c r="C26" s="17" t="s">
        <v>58</v>
      </c>
      <c r="D26" s="17" t="s">
        <v>59</v>
      </c>
      <c r="E26" s="17">
        <f>BoardQty*1</f>
        <v>0</v>
      </c>
      <c r="F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6" s="18">
        <f>iferror(E26*F26,"")</f>
        <v>0</v>
      </c>
      <c r="M26" s="17">
        <v>27334</v>
      </c>
      <c r="O26" s="18">
        <f>iferror(lookup(if(N26="",E26,N26),{0,1,50,100,500,4000},{0.0,0.16,0.145,0.125,0.108,0.108}),"")</f>
        <v>0</v>
      </c>
      <c r="P26" s="18">
        <f>iferror(if(N26="",E26,N26)*O26,"")</f>
        <v>0</v>
      </c>
      <c r="Q26" s="20" t="s">
        <v>178</v>
      </c>
      <c r="R26" s="17">
        <v>7934</v>
      </c>
      <c r="T26" s="18">
        <f>iferror(USD_GBP*lookup(if(S26="",E26,S26),{0,1,5,25,100,150,250,500,1000},{0.0,0.148,0.148,0.133,0.106,0.106,0.101,0.0873,0.0856}),"")</f>
        <v>0</v>
      </c>
      <c r="U26" s="18">
        <f>iferror(if(S26="",E26,S26)*T26,"")</f>
        <v>0</v>
      </c>
      <c r="V26" s="20" t="s">
        <v>198</v>
      </c>
      <c r="AB26" s="19" t="s">
        <v>166</v>
      </c>
      <c r="AD26" s="18">
        <f>iferror(lookup(if(AC26="",E26,AC26),{0,1,10,25,50,100,250},{0.0,0.16,0.155,0.155,0.145,0.125,0.109}),"")</f>
        <v>0</v>
      </c>
      <c r="AE26" s="18">
        <f>iferror(if(AC26="",E26,AC26)*AD26,"")</f>
        <v>0</v>
      </c>
      <c r="AF26" s="20" t="s">
        <v>217</v>
      </c>
      <c r="AG26" s="17">
        <v>7934</v>
      </c>
      <c r="AI26" s="18">
        <f>iferror(lookup(if(AH26="",E26,AH26),{0,1,5,10,25,50,100,250,500},{0.0,0.159,0.159,0.151,0.146,0.141,0.123,0.116,0.108}),"")</f>
        <v>0</v>
      </c>
      <c r="AJ26" s="18">
        <f>iferror(if(AH26="",E26,AH26)*AI26,"")</f>
        <v>0</v>
      </c>
      <c r="AK26" s="20" t="s">
        <v>239</v>
      </c>
      <c r="AL26" s="17">
        <v>900</v>
      </c>
      <c r="AN26" s="18">
        <f>iferror(USD_GBP*lookup(if(AM26="",E26,AM26),{0,1,100,500,1000,2000,4000},{0.0,0.091,0.091,0.075,0.071,0.067,0.064}),"")</f>
        <v>0</v>
      </c>
      <c r="AO26" s="18">
        <f>iferror(if(AM26="",E26,AM26)*AN26,"")</f>
        <v>0</v>
      </c>
      <c r="AP26" s="20" t="s">
        <v>248</v>
      </c>
    </row>
    <row r="27" spans="1:47">
      <c r="A27" s="17" t="s">
        <v>60</v>
      </c>
      <c r="B27" s="17" t="s">
        <v>61</v>
      </c>
      <c r="C27" s="17" t="s">
        <v>61</v>
      </c>
      <c r="D27" s="17" t="s">
        <v>62</v>
      </c>
      <c r="E27" s="17">
        <f>BoardQty*1</f>
        <v>0</v>
      </c>
      <c r="F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7" s="18">
        <f>iferror(E27*F27,"")</f>
        <v>0</v>
      </c>
      <c r="M27" s="17">
        <v>121662</v>
      </c>
      <c r="O27" s="18">
        <f>iferror(lookup(if(N27="",E27,N27),{0,1,50,100,500,4000},{0.0,0.14,0.133,0.114,0.099,0.099}),"")</f>
        <v>0</v>
      </c>
      <c r="P27" s="18">
        <f>iferror(if(N27="",E27,N27)*O27,"")</f>
        <v>0</v>
      </c>
      <c r="Q27" s="20" t="s">
        <v>179</v>
      </c>
      <c r="R27" s="17">
        <v>12192</v>
      </c>
      <c r="T27" s="18">
        <f>iferror(USD_GBP*lookup(if(S27="",E27,S27),{0,1,5,25,100,150,250,500,1000},{0.0,0.132,0.132,0.117,0.0957,0.0957,0.0899,0.0769,0.0754}),"")</f>
        <v>0</v>
      </c>
      <c r="U27" s="18">
        <f>iferror(if(S27="",E27,S27)*T27,"")</f>
        <v>0</v>
      </c>
      <c r="V27" s="20" t="s">
        <v>199</v>
      </c>
      <c r="AB27" s="17">
        <v>100878</v>
      </c>
      <c r="AD27" s="18">
        <f>iferror(lookup(if(AC27="",E27,AC27),{0,1,10,25,50,100,250},{0.0,0.14,0.14,0.14,0.133,0.114,0.1}),"")</f>
        <v>0</v>
      </c>
      <c r="AE27" s="18">
        <f>iferror(if(AC27="",E27,AC27)*AD27,"")</f>
        <v>0</v>
      </c>
      <c r="AF27" s="20" t="s">
        <v>218</v>
      </c>
      <c r="AG27" s="17">
        <v>11710</v>
      </c>
      <c r="AI27" s="18">
        <f>iferror(lookup(if(AH27="",E27,AH27),{0,1,5,10,25,50,100,250,500},{0.0,0.148,0.148,0.146,0.142,0.137,0.119,0.112,0.105}),"")</f>
        <v>0</v>
      </c>
      <c r="AJ27" s="18">
        <f>iferror(if(AH27="",E27,AH27)*AI27,"")</f>
        <v>0</v>
      </c>
      <c r="AK27" s="20" t="s">
        <v>240</v>
      </c>
      <c r="AL27" s="17">
        <v>5800</v>
      </c>
      <c r="AN27" s="18">
        <f>iferror(USD_GBP*lookup(if(AM27="",E27,AM27),{0,1,100,500,1000,2000,4000},{0.0,0.085,0.085,0.068,0.065,0.061,0.058}),"")</f>
        <v>0</v>
      </c>
      <c r="AO27" s="18">
        <f>iferror(if(AM27="",E27,AM27)*AN27,"")</f>
        <v>0</v>
      </c>
      <c r="AP27" s="20" t="s">
        <v>249</v>
      </c>
    </row>
    <row r="28" spans="1:47">
      <c r="A28" s="17" t="s">
        <v>63</v>
      </c>
      <c r="B28" s="17" t="s">
        <v>64</v>
      </c>
      <c r="C28" s="17" t="s">
        <v>65</v>
      </c>
      <c r="D28" s="17" t="s">
        <v>66</v>
      </c>
      <c r="E28" s="17">
        <f>BoardQty*3</f>
        <v>0</v>
      </c>
      <c r="F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8" s="18">
        <f>iferror(E28*F28,"")</f>
        <v>0</v>
      </c>
    </row>
    <row r="29" spans="1:47">
      <c r="A29" s="17" t="s">
        <v>67</v>
      </c>
      <c r="B29" s="17" t="s">
        <v>68</v>
      </c>
      <c r="C29" s="17" t="s">
        <v>68</v>
      </c>
      <c r="D29" s="17" t="s">
        <v>69</v>
      </c>
      <c r="E29" s="17">
        <f>BoardQty*2</f>
        <v>0</v>
      </c>
      <c r="F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9" s="18">
        <f>iferror(E29*F29,"")</f>
        <v>0</v>
      </c>
      <c r="M29" s="17">
        <v>455</v>
      </c>
      <c r="O29" s="18">
        <f>iferror(lookup(if(N29="",E29,N29),{0,1,10,25,50,100,250,500,1000,5000,10000,20000,30000,50000},{0.0,0.12,0.099,0.0772,0.0638,0.055,0.044,0.0396,0.033,0.0308,0.01595,0.0154,0.0143,0.01414}),"")</f>
        <v>0</v>
      </c>
      <c r="P29" s="18">
        <f>iferror(if(N29="",E29,N29)*O29,"")</f>
        <v>0</v>
      </c>
      <c r="Q29" s="20" t="s">
        <v>180</v>
      </c>
      <c r="AB29" s="17">
        <v>8000</v>
      </c>
      <c r="AD29" s="18">
        <f>iferror(lookup(if(AC29="",E29,AC29),{0,1,10,100,500,1000,2500},{0.0,0.1,0.054,0.029,0.026,0.022,0.019}),"")</f>
        <v>0</v>
      </c>
      <c r="AE29" s="18">
        <f>iferror(if(AC29="",E29,AC29)*AD29,"")</f>
        <v>0</v>
      </c>
      <c r="AF29" s="20" t="s">
        <v>219</v>
      </c>
    </row>
    <row r="30" spans="1:47">
      <c r="A30" s="17" t="s">
        <v>70</v>
      </c>
      <c r="B30" s="17" t="s">
        <v>71</v>
      </c>
      <c r="C30" s="17" t="s">
        <v>12</v>
      </c>
      <c r="D30" s="17" t="s">
        <v>72</v>
      </c>
      <c r="E30" s="17">
        <f>BoardQty*4</f>
        <v>0</v>
      </c>
      <c r="F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0" s="18">
        <f>iferror(E30*F30,"")</f>
        <v>0</v>
      </c>
      <c r="M30" s="17">
        <v>9217</v>
      </c>
      <c r="O30" s="18">
        <f>iferror(lookup(if(N30="",E30,N30),{0,1,10,100,500,1000,2500,10000,30000,50000,100000},{0.0,0.28,0.253,0.1739,0.14864,0.11385,0.10752,0.08525,0.0825,0.07975,0.077}),"")</f>
        <v>0</v>
      </c>
      <c r="P30" s="18">
        <f>iferror(if(N30="",E30,N30)*O30,"")</f>
        <v>0</v>
      </c>
      <c r="Q30" s="20" t="s">
        <v>181</v>
      </c>
      <c r="AB30" s="17">
        <v>15865</v>
      </c>
      <c r="AD30" s="18">
        <f>iferror(lookup(if(AC30="",E30,AC30),{0,1,10,100,500,1000,2500},{0.0,0.28,0.192,0.178,0.156,0.126,0.088}),"")</f>
        <v>0</v>
      </c>
      <c r="AE30" s="18">
        <f>iferror(if(AC30="",E30,AC30)*AD30,"")</f>
        <v>0</v>
      </c>
      <c r="AF30" s="20" t="s">
        <v>220</v>
      </c>
    </row>
    <row r="31" spans="1:47">
      <c r="A31" s="17" t="s">
        <v>73</v>
      </c>
      <c r="B31" s="17" t="s">
        <v>74</v>
      </c>
      <c r="C31" s="17" t="s">
        <v>75</v>
      </c>
      <c r="D31" s="17" t="s">
        <v>74</v>
      </c>
      <c r="E31" s="17">
        <f>BoardQty*1</f>
        <v>0</v>
      </c>
      <c r="F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1" s="18">
        <f>iferror(E31*F31,"")</f>
        <v>0</v>
      </c>
    </row>
    <row r="32" spans="1:47">
      <c r="A32" s="17" t="s">
        <v>76</v>
      </c>
      <c r="B32" s="17" t="s">
        <v>77</v>
      </c>
      <c r="C32" s="17" t="s">
        <v>78</v>
      </c>
      <c r="D32" s="17" t="s">
        <v>79</v>
      </c>
      <c r="E32" s="17">
        <f>BoardQty*3</f>
        <v>0</v>
      </c>
      <c r="F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2" s="18">
        <f>iferror(E32*F32,"")</f>
        <v>0</v>
      </c>
      <c r="M32" s="19" t="s">
        <v>166</v>
      </c>
      <c r="O32" s="18">
        <f>iferror(lookup(if(N32="",E32,N32),{0,1,10000},{0.0,0.03379,0.03379}),"")</f>
        <v>0</v>
      </c>
      <c r="P32" s="18">
        <f>iferror(if(N32="",E32,N32)*O32,"")</f>
        <v>0</v>
      </c>
      <c r="Q32" s="20" t="s">
        <v>182</v>
      </c>
      <c r="W32" s="17">
        <v>122790</v>
      </c>
      <c r="Y32" s="18">
        <f>iferror(lookup(if(X32="",E32,X32),{0,1,10,100,300,1000,5000,10000},{0.0,0.0541,0.0541,0.04024,0.03769,0.03514,0.03401,0.03345}),"")</f>
        <v>0</v>
      </c>
      <c r="Z32" s="18">
        <f>iferror(if(X32="",E32,X32)*Y32,"")</f>
        <v>0</v>
      </c>
      <c r="AA32" s="20" t="s">
        <v>202</v>
      </c>
      <c r="AB32" s="17">
        <v>119659</v>
      </c>
      <c r="AD32" s="18">
        <f>iferror(lookup(if(AC32="",E32,AC32),{0,1,10,25,100,500,1000},{0.0,0.12,0.097,0.072,0.062,0.054,0.046}),"")</f>
        <v>0</v>
      </c>
      <c r="AE32" s="18">
        <f>iferror(if(AC32="",E32,AC32)*AD32,"")</f>
        <v>0</v>
      </c>
      <c r="AF32" s="20" t="s">
        <v>221</v>
      </c>
    </row>
    <row r="33" spans="1:47">
      <c r="A33" s="17" t="s">
        <v>80</v>
      </c>
      <c r="B33" s="17" t="s">
        <v>81</v>
      </c>
      <c r="C33" s="17" t="s">
        <v>82</v>
      </c>
      <c r="D33" s="17" t="s">
        <v>83</v>
      </c>
      <c r="E33" s="17">
        <f>BoardQty*1</f>
        <v>0</v>
      </c>
      <c r="F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3" s="18">
        <f>iferror(E33*F33,"")</f>
        <v>0</v>
      </c>
      <c r="M33" s="17">
        <v>43082</v>
      </c>
      <c r="O33" s="18">
        <f>iferror(lookup(if(N33="",E33,N33),{0,1,10,100,1000,2500,5000,10000},{0.0,0.1,0.04,0.0165,0.00739,0.00642,0.0053,0.00419}),"")</f>
        <v>0</v>
      </c>
      <c r="P33" s="18">
        <f>iferror(if(N33="",E33,N33)*O33,"")</f>
        <v>0</v>
      </c>
      <c r="Q33" s="20" t="s">
        <v>183</v>
      </c>
      <c r="AB33" s="17">
        <v>38295</v>
      </c>
      <c r="AD33" s="18">
        <f>iferror(lookup(if(AC33="",E33,AC33),{0,1,10,100,1000,2500,10000},{0.0,0.1,0.041,0.017,0.007,0.005,0.005}),"")</f>
        <v>0</v>
      </c>
      <c r="AE33" s="18">
        <f>iferror(if(AC33="",E33,AC33)*AD33,"")</f>
        <v>0</v>
      </c>
      <c r="AF33" s="20" t="s">
        <v>222</v>
      </c>
      <c r="AG33" s="19" t="s">
        <v>166</v>
      </c>
      <c r="AK33" s="20" t="s">
        <v>241</v>
      </c>
    </row>
    <row r="34" spans="1:47">
      <c r="A34" s="17" t="s">
        <v>84</v>
      </c>
      <c r="B34" s="17" t="s">
        <v>85</v>
      </c>
      <c r="C34" s="17" t="s">
        <v>82</v>
      </c>
      <c r="D34" s="17" t="s">
        <v>86</v>
      </c>
      <c r="E34" s="17">
        <f>BoardQty*1</f>
        <v>0</v>
      </c>
      <c r="F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4" s="18">
        <f>iferror(E34*F34,"")</f>
        <v>0</v>
      </c>
      <c r="AB34" s="17">
        <v>4215</v>
      </c>
      <c r="AD34" s="18">
        <f>iferror(lookup(if(AC34="",E34,AC34),{0,1,10,100,1000,2500,10000},{0.0,0.56,0.316,0.146,0.114,0.098,0.094}),"")</f>
        <v>0</v>
      </c>
      <c r="AE34" s="18">
        <f>iferror(if(AC34="",E34,AC34)*AD34,"")</f>
        <v>0</v>
      </c>
      <c r="AF34" s="20" t="s">
        <v>223</v>
      </c>
    </row>
    <row r="35" spans="1:47">
      <c r="A35" s="17" t="s">
        <v>87</v>
      </c>
      <c r="B35" s="17" t="s">
        <v>88</v>
      </c>
      <c r="C35" s="17" t="s">
        <v>78</v>
      </c>
      <c r="D35" s="17" t="s">
        <v>89</v>
      </c>
      <c r="E35" s="17">
        <f>BoardQty*1</f>
        <v>0</v>
      </c>
      <c r="F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5" s="18">
        <f>iferror(E35*F35,"")</f>
        <v>0</v>
      </c>
      <c r="AB35" s="17">
        <v>135316</v>
      </c>
      <c r="AD35" s="18">
        <f>iferror(lookup(if(AC35="",E35,AC35),{0,1,10,100,1000,2500,10000},{0.0,0.1,0.01,0.004,0.003,0.002,0.002}),"")</f>
        <v>0</v>
      </c>
      <c r="AE35" s="18">
        <f>iferror(if(AC35="",E35,AC35)*AD35,"")</f>
        <v>0</v>
      </c>
      <c r="AF35" s="20" t="s">
        <v>224</v>
      </c>
    </row>
    <row r="36" spans="1:47">
      <c r="A36" s="17" t="s">
        <v>90</v>
      </c>
      <c r="B36" s="17" t="s">
        <v>91</v>
      </c>
      <c r="C36" s="17" t="s">
        <v>78</v>
      </c>
      <c r="D36" s="17" t="s">
        <v>79</v>
      </c>
      <c r="E36" s="17">
        <f>BoardQty*1</f>
        <v>0</v>
      </c>
      <c r="F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6" s="18">
        <f>iferror(E36*F36,"")</f>
        <v>0</v>
      </c>
      <c r="M36" s="19" t="s">
        <v>166</v>
      </c>
      <c r="O36" s="18">
        <f>iferror(lookup(if(N36="",E36,N36),{0,1,10000},{0.0,0.03379,0.03379}),"")</f>
        <v>0</v>
      </c>
      <c r="P36" s="18">
        <f>iferror(if(N36="",E36,N36)*O36,"")</f>
        <v>0</v>
      </c>
      <c r="Q36" s="20" t="s">
        <v>182</v>
      </c>
      <c r="W36" s="17">
        <v>122790</v>
      </c>
      <c r="Y36" s="18">
        <f>iferror(lookup(if(X36="",E36,X36),{0,1,10,100,300,1000,5000,10000},{0.0,0.0541,0.0541,0.04024,0.03769,0.03514,0.03401,0.03345}),"")</f>
        <v>0</v>
      </c>
      <c r="Z36" s="18">
        <f>iferror(if(X36="",E36,X36)*Y36,"")</f>
        <v>0</v>
      </c>
      <c r="AA36" s="20" t="s">
        <v>202</v>
      </c>
      <c r="AB36" s="17">
        <v>119659</v>
      </c>
      <c r="AD36" s="18">
        <f>iferror(lookup(if(AC36="",E36,AC36),{0,1,10,25,100,500,1000},{0.0,0.12,0.097,0.072,0.062,0.054,0.046}),"")</f>
        <v>0</v>
      </c>
      <c r="AE36" s="18">
        <f>iferror(if(AC36="",E36,AC36)*AD36,"")</f>
        <v>0</v>
      </c>
      <c r="AF36" s="20" t="s">
        <v>221</v>
      </c>
    </row>
    <row r="37" spans="1:47">
      <c r="A37" s="17" t="s">
        <v>92</v>
      </c>
      <c r="B37" s="17" t="s">
        <v>93</v>
      </c>
      <c r="C37" s="17" t="s">
        <v>78</v>
      </c>
      <c r="D37" s="17" t="s">
        <v>94</v>
      </c>
      <c r="E37" s="17">
        <f>BoardQty*1</f>
        <v>0</v>
      </c>
      <c r="F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7" s="18">
        <f>iferror(E37*F37,"")</f>
        <v>0</v>
      </c>
      <c r="M37" s="17">
        <v>967734</v>
      </c>
      <c r="O37" s="18">
        <f>iferror(lookup(if(N37="",E37,N37),{0,1,10,100,1000,2500,5000,10000},{0.0,0.1,0.032,0.013,0.00583,0.00506,0.00418,0.0033}),"")</f>
        <v>0</v>
      </c>
      <c r="P37" s="18">
        <f>iferror(if(N37="",E37,N37)*O37,"")</f>
        <v>0</v>
      </c>
      <c r="Q37" s="20" t="s">
        <v>184</v>
      </c>
      <c r="AB37" s="17">
        <v>325704</v>
      </c>
      <c r="AD37" s="18">
        <f>iferror(lookup(if(AC37="",E37,AC37),{0,1,10,100,1000,2500,10000},{0.0,0.1,0.032,0.013,0.005,0.003,0.003}),"")</f>
        <v>0</v>
      </c>
      <c r="AE37" s="18">
        <f>iferror(if(AC37="",E37,AC37)*AD37,"")</f>
        <v>0</v>
      </c>
      <c r="AF37" s="20" t="s">
        <v>225</v>
      </c>
      <c r="AG37" s="19" t="s">
        <v>166</v>
      </c>
      <c r="AI37" s="18">
        <f>iferror(lookup(if(AH37="",E37,AH37),{0,1,5000,10000},{0.0,0.008,0.007,0.005}),"")</f>
        <v>0</v>
      </c>
      <c r="AJ37" s="18">
        <f>iferror(if(AH37="",E37,AH37)*AI37,"")</f>
        <v>0</v>
      </c>
      <c r="AK37" s="20" t="s">
        <v>242</v>
      </c>
    </row>
    <row r="38" spans="1:47">
      <c r="A38" s="17" t="s">
        <v>95</v>
      </c>
      <c r="B38" s="17" t="s">
        <v>96</v>
      </c>
      <c r="C38" s="17" t="s">
        <v>78</v>
      </c>
      <c r="D38" s="17" t="s">
        <v>97</v>
      </c>
      <c r="E38" s="17">
        <f>BoardQty*7</f>
        <v>0</v>
      </c>
      <c r="F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8" s="18">
        <f>iferror(E38*F38,"")</f>
        <v>0</v>
      </c>
      <c r="M38" s="17">
        <v>3054006</v>
      </c>
      <c r="O38" s="18">
        <f>iferror(lookup(if(N38="",E38,N38),{0,1,10,25,50,100,250,500,1000,5000,10000},{0.0,0.1,0.013,0.0092,0.0072,0.0053,0.004,0.0032,0.00236,0.00169,0.00134}),"")</f>
        <v>0</v>
      </c>
      <c r="P38" s="18">
        <f>iferror(if(N38="",E38,N38)*O38,"")</f>
        <v>0</v>
      </c>
      <c r="Q38" s="20" t="s">
        <v>185</v>
      </c>
      <c r="AB38" s="17">
        <v>456604</v>
      </c>
      <c r="AD38" s="18">
        <f>iferror(lookup(if(AC38="",E38,AC38),{0,1,10,100,1000,2500,10000},{0.0,0.1,0.01,0.004,0.003,0.002,0.002}),"")</f>
        <v>0</v>
      </c>
      <c r="AE38" s="18">
        <f>iferror(if(AC38="",E38,AC38)*AD38,"")</f>
        <v>0</v>
      </c>
      <c r="AF38" s="20" t="s">
        <v>226</v>
      </c>
      <c r="AG38" s="19" t="s">
        <v>166</v>
      </c>
      <c r="AI38" s="18">
        <f>iferror(lookup(if(AH38="",E38,AH38),{0,1,5000,10000},{0.0,0.004,0.004,0.003}),"")</f>
        <v>0</v>
      </c>
      <c r="AJ38" s="18">
        <f>iferror(if(AH38="",E38,AH38)*AI38,"")</f>
        <v>0</v>
      </c>
      <c r="AK38" s="20" t="s">
        <v>243</v>
      </c>
      <c r="AQ38" s="19" t="s">
        <v>166</v>
      </c>
      <c r="AU38" s="20" t="s">
        <v>252</v>
      </c>
    </row>
    <row r="39" spans="1:47">
      <c r="A39" s="17" t="s">
        <v>98</v>
      </c>
      <c r="B39" s="17" t="s">
        <v>99</v>
      </c>
      <c r="C39" s="17" t="s">
        <v>78</v>
      </c>
      <c r="D39" s="17" t="s">
        <v>100</v>
      </c>
      <c r="E39" s="17">
        <f>BoardQty*1</f>
        <v>0</v>
      </c>
      <c r="F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9" s="18">
        <f>iferror(E39*F39,"")</f>
        <v>0</v>
      </c>
      <c r="M39" s="19" t="s">
        <v>166</v>
      </c>
      <c r="O39" s="18">
        <f>iferror(lookup(if(N39="",E39,N39),{0,1,10000},{0.0,0.03103,0.03103}),"")</f>
        <v>0</v>
      </c>
      <c r="P39" s="18">
        <f>iferror(if(N39="",E39,N39)*O39,"")</f>
        <v>0</v>
      </c>
      <c r="Q39" s="20" t="s">
        <v>186</v>
      </c>
      <c r="AB39" s="17">
        <v>5798</v>
      </c>
      <c r="AD39" s="18">
        <f>iferror(lookup(if(AC39="",E39,AC39),{0,1,10,25,100,500,1000},{0.0,0.1,0.087,0.064,0.055,0.048,0.041}),"")</f>
        <v>0</v>
      </c>
      <c r="AE39" s="18">
        <f>iferror(if(AC39="",E39,AC39)*AD39,"")</f>
        <v>0</v>
      </c>
      <c r="AF39" s="20" t="s">
        <v>227</v>
      </c>
    </row>
    <row r="40" spans="1:47">
      <c r="A40" s="17" t="s">
        <v>101</v>
      </c>
      <c r="B40" s="17" t="s">
        <v>102</v>
      </c>
      <c r="C40" s="17" t="s">
        <v>78</v>
      </c>
      <c r="D40" s="17" t="s">
        <v>94</v>
      </c>
      <c r="E40" s="17">
        <f>BoardQty*1</f>
        <v>0</v>
      </c>
      <c r="F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0" s="18">
        <f>iferror(E40*F40,"")</f>
        <v>0</v>
      </c>
      <c r="M40" s="17">
        <v>967734</v>
      </c>
      <c r="O40" s="18">
        <f>iferror(lookup(if(N40="",E40,N40),{0,1,10,100,1000,2500,5000,10000},{0.0,0.1,0.032,0.013,0.00583,0.00506,0.00418,0.0033}),"")</f>
        <v>0</v>
      </c>
      <c r="P40" s="18">
        <f>iferror(if(N40="",E40,N40)*O40,"")</f>
        <v>0</v>
      </c>
      <c r="Q40" s="20" t="s">
        <v>184</v>
      </c>
      <c r="AB40" s="17">
        <v>325704</v>
      </c>
      <c r="AD40" s="18">
        <f>iferror(lookup(if(AC40="",E40,AC40),{0,1,10,100,1000,2500,10000},{0.0,0.1,0.032,0.013,0.005,0.003,0.003}),"")</f>
        <v>0</v>
      </c>
      <c r="AE40" s="18">
        <f>iferror(if(AC40="",E40,AC40)*AD40,"")</f>
        <v>0</v>
      </c>
      <c r="AF40" s="20" t="s">
        <v>225</v>
      </c>
      <c r="AG40" s="19" t="s">
        <v>166</v>
      </c>
      <c r="AI40" s="18">
        <f>iferror(lookup(if(AH40="",E40,AH40),{0,1,5000,10000},{0.0,0.008,0.007,0.005}),"")</f>
        <v>0</v>
      </c>
      <c r="AJ40" s="18">
        <f>iferror(if(AH40="",E40,AH40)*AI40,"")</f>
        <v>0</v>
      </c>
      <c r="AK40" s="20" t="s">
        <v>242</v>
      </c>
    </row>
    <row r="41" spans="1:47">
      <c r="A41" s="17" t="s">
        <v>103</v>
      </c>
      <c r="B41" s="17" t="s">
        <v>104</v>
      </c>
      <c r="C41" s="17" t="s">
        <v>105</v>
      </c>
      <c r="E41" s="17">
        <f>BoardQty*1</f>
        <v>0</v>
      </c>
      <c r="F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1" s="18">
        <f>iferror(E41*F41,"")</f>
        <v>0</v>
      </c>
    </row>
    <row r="42" spans="1:47">
      <c r="A42" s="17" t="s">
        <v>106</v>
      </c>
      <c r="B42" s="17" t="s">
        <v>107</v>
      </c>
      <c r="C42" s="17" t="s">
        <v>105</v>
      </c>
      <c r="E42" s="17">
        <f>BoardQty*1</f>
        <v>0</v>
      </c>
      <c r="F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2" s="18">
        <f>iferror(E42*F42,"")</f>
        <v>0</v>
      </c>
    </row>
    <row r="43" spans="1:47">
      <c r="A43" s="17" t="s">
        <v>108</v>
      </c>
      <c r="B43" s="17" t="s">
        <v>109</v>
      </c>
      <c r="C43" s="17" t="s">
        <v>105</v>
      </c>
      <c r="E43" s="17">
        <f>BoardQty*1</f>
        <v>0</v>
      </c>
      <c r="F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3" s="18">
        <f>iferror(E43*F43,"")</f>
        <v>0</v>
      </c>
    </row>
    <row r="44" spans="1:47">
      <c r="A44" s="17" t="s">
        <v>110</v>
      </c>
      <c r="B44" s="17" t="s">
        <v>111</v>
      </c>
      <c r="C44" s="17" t="s">
        <v>105</v>
      </c>
      <c r="E44" s="17">
        <f>BoardQty*1</f>
        <v>0</v>
      </c>
      <c r="F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4" s="18">
        <f>iferror(E44*F44,"")</f>
        <v>0</v>
      </c>
    </row>
    <row r="45" spans="1:47">
      <c r="A45" s="17" t="s">
        <v>112</v>
      </c>
      <c r="B45" s="17" t="s">
        <v>113</v>
      </c>
      <c r="C45" s="17" t="s">
        <v>105</v>
      </c>
      <c r="E45" s="17">
        <f>BoardQty*1</f>
        <v>0</v>
      </c>
      <c r="F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5" s="18">
        <f>iferror(E45*F45,"")</f>
        <v>0</v>
      </c>
    </row>
    <row r="46" spans="1:47">
      <c r="A46" s="17" t="s">
        <v>114</v>
      </c>
      <c r="B46" s="17" t="s">
        <v>115</v>
      </c>
      <c r="C46" s="17" t="s">
        <v>105</v>
      </c>
      <c r="E46" s="17">
        <f>BoardQty*1</f>
        <v>0</v>
      </c>
      <c r="F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6" s="18">
        <f>iferror(E46*F46,"")</f>
        <v>0</v>
      </c>
    </row>
    <row r="47" spans="1:47">
      <c r="A47" s="17" t="s">
        <v>116</v>
      </c>
      <c r="B47" s="17" t="s">
        <v>117</v>
      </c>
      <c r="C47" s="17" t="s">
        <v>105</v>
      </c>
      <c r="E47" s="17">
        <f>BoardQty*1</f>
        <v>0</v>
      </c>
      <c r="F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7" s="18">
        <f>iferror(E47*F47,"")</f>
        <v>0</v>
      </c>
    </row>
    <row r="48" spans="1:47">
      <c r="A48" s="17" t="s">
        <v>118</v>
      </c>
      <c r="B48" s="17" t="s">
        <v>119</v>
      </c>
      <c r="C48" s="17" t="s">
        <v>105</v>
      </c>
      <c r="E48" s="17">
        <f>BoardQty*1</f>
        <v>0</v>
      </c>
      <c r="F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8" s="18">
        <f>iferror(E48*F48,"")</f>
        <v>0</v>
      </c>
    </row>
    <row r="49" spans="1:46">
      <c r="A49" s="17" t="s">
        <v>120</v>
      </c>
      <c r="B49" s="17" t="s">
        <v>121</v>
      </c>
      <c r="C49" s="17" t="s">
        <v>105</v>
      </c>
      <c r="E49" s="17">
        <f>BoardQty*2</f>
        <v>0</v>
      </c>
      <c r="F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49" s="18">
        <f>iferror(E49*F49,"")</f>
        <v>0</v>
      </c>
    </row>
    <row r="50" spans="1:46">
      <c r="A50" s="17" t="s">
        <v>122</v>
      </c>
      <c r="B50" s="17" t="s">
        <v>123</v>
      </c>
      <c r="C50" s="17" t="s">
        <v>105</v>
      </c>
      <c r="E50" s="17">
        <f>BoardQty*1</f>
        <v>0</v>
      </c>
      <c r="F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0" s="18">
        <f>iferror(E50*F50,"")</f>
        <v>0</v>
      </c>
    </row>
    <row r="51" spans="1:46">
      <c r="A51" s="17" t="s">
        <v>124</v>
      </c>
      <c r="B51" s="17" t="s">
        <v>125</v>
      </c>
      <c r="C51" s="17" t="s">
        <v>105</v>
      </c>
      <c r="E51" s="17">
        <f>BoardQty*1</f>
        <v>0</v>
      </c>
      <c r="F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1" s="18">
        <f>iferror(E51*F51,"")</f>
        <v>0</v>
      </c>
    </row>
    <row r="52" spans="1:46">
      <c r="A52" s="17" t="s">
        <v>126</v>
      </c>
      <c r="B52" s="17" t="s">
        <v>127</v>
      </c>
      <c r="C52" s="17" t="s">
        <v>105</v>
      </c>
      <c r="E52" s="17">
        <f>BoardQty*1</f>
        <v>0</v>
      </c>
      <c r="F5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2" s="18">
        <f>iferror(E52*F52,"")</f>
        <v>0</v>
      </c>
    </row>
    <row r="53" spans="1:46">
      <c r="A53" s="17" t="s">
        <v>128</v>
      </c>
      <c r="B53" s="17" t="s">
        <v>129</v>
      </c>
      <c r="C53" s="17" t="s">
        <v>105</v>
      </c>
      <c r="E53" s="17">
        <f>BoardQty*1</f>
        <v>0</v>
      </c>
      <c r="F5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3" s="18">
        <f>iferror(E53*F53,"")</f>
        <v>0</v>
      </c>
    </row>
    <row r="54" spans="1:46">
      <c r="A54" s="17" t="s">
        <v>130</v>
      </c>
      <c r="B54" s="17" t="s">
        <v>131</v>
      </c>
      <c r="C54" s="17" t="s">
        <v>132</v>
      </c>
      <c r="D54" s="17" t="s">
        <v>133</v>
      </c>
      <c r="E54" s="17">
        <f>BoardQty*1</f>
        <v>0</v>
      </c>
      <c r="F5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4" s="18">
        <f>iferror(E54*F54,"")</f>
        <v>0</v>
      </c>
      <c r="M54" s="17">
        <v>19790</v>
      </c>
      <c r="O54" s="18">
        <f>iferror(lookup(if(N54="",E54,N54),{0,1,10,25,100,250,500,1000,3000,6000},{0.0,1.95,1.749,1.65,1.32,1.155,1.122,0.891,0.858,0.825}),"")</f>
        <v>0</v>
      </c>
      <c r="P54" s="18">
        <f>iferror(if(N54="",E54,N54)*O54,"")</f>
        <v>0</v>
      </c>
      <c r="Q54" s="20" t="s">
        <v>187</v>
      </c>
      <c r="W54" s="17">
        <v>3</v>
      </c>
      <c r="Y54" s="18">
        <f>iferror(lookup(if(X54="",E54,X54),{0,1,10,30,100,500},{0.0,2.21455,2.15568,2.11591,2.07614,2.07614}),"")</f>
        <v>0</v>
      </c>
      <c r="Z54" s="18">
        <f>iferror(if(X54="",E54,X54)*Y54,"")</f>
        <v>0</v>
      </c>
      <c r="AA54" s="20" t="s">
        <v>203</v>
      </c>
      <c r="AB54" s="17">
        <v>6014</v>
      </c>
      <c r="AD54" s="18">
        <f>iferror(lookup(if(AC54="",E54,AC54),{0,1,10,100,250,500,1000},{0.0,1.95,1.65,1.32,1.16,1.13,0.891}),"")</f>
        <v>0</v>
      </c>
      <c r="AE54" s="18">
        <f>iferror(if(AC54="",E54,AC54)*AD54,"")</f>
        <v>0</v>
      </c>
      <c r="AF54" s="20" t="s">
        <v>228</v>
      </c>
    </row>
    <row r="55" spans="1:46">
      <c r="A55" s="17" t="s">
        <v>134</v>
      </c>
      <c r="B55" s="17" t="s">
        <v>135</v>
      </c>
      <c r="C55" s="17" t="s">
        <v>136</v>
      </c>
      <c r="D55" s="17" t="s">
        <v>137</v>
      </c>
      <c r="E55" s="17">
        <f>BoardQty*1</f>
        <v>0</v>
      </c>
      <c r="F5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5" s="18">
        <f>iferror(E55*F55,"")</f>
        <v>0</v>
      </c>
    </row>
    <row r="56" spans="1:46">
      <c r="A56" s="17" t="s">
        <v>138</v>
      </c>
      <c r="B56" s="17" t="s">
        <v>139</v>
      </c>
      <c r="C56" s="17" t="s">
        <v>140</v>
      </c>
      <c r="D56" s="17" t="s">
        <v>139</v>
      </c>
      <c r="E56" s="17">
        <f>BoardQty*1</f>
        <v>0</v>
      </c>
      <c r="F5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6" s="18">
        <f>iferror(E56*F56,"")</f>
        <v>0</v>
      </c>
    </row>
    <row r="57" spans="1:46">
      <c r="A57" s="17" t="s">
        <v>141</v>
      </c>
      <c r="B57" s="17" t="s">
        <v>142</v>
      </c>
      <c r="C57" s="17" t="s">
        <v>143</v>
      </c>
      <c r="D57" s="17" t="s">
        <v>144</v>
      </c>
      <c r="E57" s="17">
        <f>BoardQty*1</f>
        <v>0</v>
      </c>
      <c r="F5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57" s="18">
        <f>iferror(E57*F57,"")</f>
        <v>0</v>
      </c>
      <c r="M57" s="17">
        <v>5424</v>
      </c>
      <c r="O57" s="18">
        <f>iferror(lookup(if(N57="",E57,N57),{0,1,10,50,100,250,500,750,1250,2500,6250,12500},{0.0,0.59,0.495,0.4456,0.396,0.37236,0.35372,0.3258,0.29787,0.27926,0.26995,0.26064}),"")</f>
        <v>0</v>
      </c>
      <c r="P57" s="18">
        <f>iferror(if(N57="",E57,N57)*O57,"")</f>
        <v>0</v>
      </c>
      <c r="Q57" s="20" t="s">
        <v>188</v>
      </c>
      <c r="AB57" s="17">
        <v>817</v>
      </c>
      <c r="AD57" s="18">
        <f>iferror(lookup(if(AC57="",E57,AC57),{0,1,10,50,100,500,1000},{0.0,0.55,0.45,0.406,0.36,0.316,0.288}),"")</f>
        <v>0</v>
      </c>
      <c r="AE57" s="18">
        <f>iferror(if(AC57="",E57,AC57)*AD57,"")</f>
        <v>0</v>
      </c>
      <c r="AF57" s="20" t="s">
        <v>229</v>
      </c>
    </row>
    <row r="59" spans="1:46">
      <c r="B59" s="21" t="s">
        <v>147</v>
      </c>
      <c r="F59" s="1" t="s">
        <v>145</v>
      </c>
      <c r="G59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59" s="6">
        <f>IFERROR(IF(OR(I7:I57),COUNTIFS(I7:I57,"&gt;0",K7:K57,"&lt;&gt;")&amp;" of "&amp;(ROWS(K7:K57)-COUNTBLANK(K7:K57))&amp;" parts purchased",""),"")</f>
        <v>0</v>
      </c>
      <c r="K59" s="5">
        <f>SUMIF(I7:I57,"&gt;0",K7:K57)</f>
        <v>0</v>
      </c>
      <c r="N59" s="6">
        <f>IFERROR(IF(OR(N7:N57),COUNTIFS(N7:N57,"&gt;0",P7:P57,"&lt;&gt;")&amp;" of "&amp;(ROWS(P7:P57)-COUNTBLANK(P7:P57))&amp;" parts purchased",""),"")</f>
        <v>0</v>
      </c>
      <c r="P59" s="5">
        <f>SUMIF(N7:N57,"&gt;0",P7:P57)</f>
        <v>0</v>
      </c>
      <c r="S59" s="6">
        <f>IFERROR(IF(OR(S7:S57),COUNTIFS(S7:S57,"&gt;0",U7:U57,"&lt;&gt;")&amp;" of "&amp;(ROWS(U7:U57)-COUNTBLANK(U7:U57))&amp;" parts purchased",""),"")</f>
        <v>0</v>
      </c>
      <c r="U59" s="5">
        <f>SUMIF(S7:S57,"&gt;0",U7:U57)</f>
        <v>0</v>
      </c>
      <c r="X59" s="6">
        <f>IFERROR(IF(OR(X7:X57),COUNTIFS(X7:X57,"&gt;0",Z7:Z57,"&lt;&gt;")&amp;" of "&amp;(ROWS(Z7:Z57)-COUNTBLANK(Z7:Z57))&amp;" parts purchased",""),"")</f>
        <v>0</v>
      </c>
      <c r="Z59" s="5">
        <f>SUMIF(X7:X57,"&gt;0",Z7:Z57)</f>
        <v>0</v>
      </c>
      <c r="AC59" s="6">
        <f>IFERROR(IF(OR(AC7:AC57),COUNTIFS(AC7:AC57,"&gt;0",AE7:AE57,"&lt;&gt;")&amp;" of "&amp;(ROWS(AE7:AE57)-COUNTBLANK(AE7:AE57))&amp;" parts purchased",""),"")</f>
        <v>0</v>
      </c>
      <c r="AE59" s="5">
        <f>SUMIF(AC7:AC57,"&gt;0",AE7:AE57)</f>
        <v>0</v>
      </c>
      <c r="AH59" s="6">
        <f>IFERROR(IF(OR(AH7:AH57),COUNTIFS(AH7:AH57,"&gt;0",AJ7:AJ57,"&lt;&gt;")&amp;" of "&amp;(ROWS(AJ7:AJ57)-COUNTBLANK(AJ7:AJ57))&amp;" parts purchased",""),"")</f>
        <v>0</v>
      </c>
      <c r="AJ59" s="5">
        <f>SUMIF(AH7:AH57,"&gt;0",AJ7:AJ57)</f>
        <v>0</v>
      </c>
      <c r="AM59" s="6">
        <f>IFERROR(IF(OR(AM7:AM57),COUNTIFS(AM7:AM57,"&gt;0",AO7:AO57,"&lt;&gt;")&amp;" of "&amp;(ROWS(AO7:AO57)-COUNTBLANK(AO7:AO57))&amp;" parts purchased",""),"")</f>
        <v>0</v>
      </c>
      <c r="AO59" s="5">
        <f>SUMIF(AM7:AM57,"&gt;0",AO7:AO57)</f>
        <v>0</v>
      </c>
      <c r="AR59" s="6">
        <f>IFERROR(IF(OR(AR7:AR57),COUNTIFS(AR7:AR57,"&gt;0",AT7:AT57,"&lt;&gt;")&amp;" of "&amp;(ROWS(AT7:AT57)-COUNTBLANK(AT7:AT57))&amp;" parts purchased",""),"")</f>
        <v>0</v>
      </c>
      <c r="AT59" s="5">
        <f>SUMIF(AR7:AR57,"&gt;0",AT7:AT57)</f>
        <v>0</v>
      </c>
    </row>
    <row r="60" spans="1:46">
      <c r="B60" s="21" t="s">
        <v>148</v>
      </c>
      <c r="C60">
        <v>1.293378038558257</v>
      </c>
      <c r="F60" s="21" t="s">
        <v>146</v>
      </c>
      <c r="I60">
        <f t="array" ref="I60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0">
        <f t="array" ref="N60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0">
        <f t="array" ref="S60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0" s="6">
        <f>IFERROR(IF(COUNTIFS(X7:X57,"&gt;0",Z7:Z57,"&lt;&gt;")&gt;0,"Quantity,Comment,Designator,Footprint,LCSC Part #(optional)",""),"")</f>
        <v>0</v>
      </c>
      <c r="AC60">
        <f t="array" ref="AC60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0">
        <f t="array" ref="AH60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0">
        <f t="array" ref="AM60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0">
        <f t="array" ref="AR60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1" spans="1:46">
      <c r="I61">
        <f t="array" ref="I61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1">
        <f t="array" ref="N61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1">
        <f t="array" ref="S61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1">
        <f t="array" ref="X61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1">
        <f t="array" ref="AC61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1">
        <f t="array" ref="AH61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1">
        <f t="array" ref="AM61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1">
        <f t="array" ref="AR61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2" spans="1:46">
      <c r="A62" s="2" t="s">
        <v>253</v>
      </c>
      <c r="I62">
        <f t="array" ref="I62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2">
        <f t="array" ref="N62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2">
        <f t="array" ref="S62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2">
        <f t="array" ref="X62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2">
        <f t="array" ref="AC62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2">
        <f t="array" ref="AH62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2">
        <f t="array" ref="AM62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2">
        <f t="array" ref="AR62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3" spans="1:46">
      <c r="I63">
        <f t="array" ref="I63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3">
        <f t="array" ref="N63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3">
        <f t="array" ref="S63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3">
        <f t="array" ref="X63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3">
        <f t="array" ref="AC63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3">
        <f t="array" ref="AH63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3">
        <f t="array" ref="AM63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3">
        <f t="array" ref="AR63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4" spans="1:46">
      <c r="I64">
        <f t="array" ref="I64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4">
        <f t="array" ref="N64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4">
        <f t="array" ref="S64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4">
        <f t="array" ref="X64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4">
        <f t="array" ref="AC64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4">
        <f t="array" ref="AH64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4">
        <f t="array" ref="AM64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4">
        <f t="array" ref="AR64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5" spans="9:44">
      <c r="I65">
        <f t="array" ref="I65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5">
        <f t="array" ref="N65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5">
        <f t="array" ref="S65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5">
        <f t="array" ref="X65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5">
        <f t="array" ref="AC65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5">
        <f t="array" ref="AH65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5">
        <f t="array" ref="AM65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5">
        <f t="array" ref="AR65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6" spans="9:44">
      <c r="I66">
        <f t="array" ref="I66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6">
        <f t="array" ref="N66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6">
        <f t="array" ref="S66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6">
        <f t="array" ref="X66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6">
        <f t="array" ref="AC66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6">
        <f t="array" ref="AH66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6">
        <f t="array" ref="AM66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6">
        <f t="array" ref="AR66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7" spans="9:44">
      <c r="I67">
        <f t="array" ref="I67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7">
        <f t="array" ref="N67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7">
        <f t="array" ref="S67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7">
        <f t="array" ref="X67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7">
        <f t="array" ref="AC67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7">
        <f t="array" ref="AH67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7">
        <f t="array" ref="AM67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7">
        <f t="array" ref="AR67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8" spans="9:44">
      <c r="I68">
        <f t="array" ref="I68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8">
        <f t="array" ref="N68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8">
        <f t="array" ref="S68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8">
        <f t="array" ref="X68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8">
        <f t="array" ref="AC68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8">
        <f t="array" ref="AH68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8">
        <f t="array" ref="AM68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8">
        <f t="array" ref="AR68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69" spans="9:44">
      <c r="I69">
        <f t="array" ref="I69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69">
        <f t="array" ref="N69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69">
        <f t="array" ref="S69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69">
        <f t="array" ref="X69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69">
        <f t="array" ref="AC69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69">
        <f t="array" ref="AH69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69">
        <f t="array" ref="AM69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69">
        <f t="array" ref="AR69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0" spans="9:44">
      <c r="I70">
        <f t="array" ref="I70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0">
        <f t="array" ref="N70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0">
        <f t="array" ref="S70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0">
        <f t="array" ref="X70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0">
        <f t="array" ref="AC70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0">
        <f t="array" ref="AH70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0">
        <f t="array" ref="AM70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0">
        <f t="array" ref="AR70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1" spans="9:44">
      <c r="I71">
        <f t="array" ref="I71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1">
        <f t="array" ref="N71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1">
        <f t="array" ref="S71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1">
        <f t="array" ref="X71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1">
        <f t="array" ref="AC71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1">
        <f t="array" ref="AH71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1">
        <f t="array" ref="AM71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1">
        <f t="array" ref="AR71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2" spans="9:44">
      <c r="I72">
        <f t="array" ref="I72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2">
        <f t="array" ref="N72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2">
        <f t="array" ref="S72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2">
        <f t="array" ref="X72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2">
        <f t="array" ref="AC72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2">
        <f t="array" ref="AH72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2">
        <f t="array" ref="AM72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2">
        <f t="array" ref="AR72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3" spans="9:44">
      <c r="I73">
        <f t="array" ref="I73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3">
        <f t="array" ref="N73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3">
        <f t="array" ref="S73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3">
        <f t="array" ref="X73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3">
        <f t="array" ref="AC73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3">
        <f t="array" ref="AH73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3">
        <f t="array" ref="AM73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3">
        <f t="array" ref="AR73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4" spans="9:44">
      <c r="I74">
        <f t="array" ref="I74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4">
        <f t="array" ref="N74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4">
        <f t="array" ref="S74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4">
        <f t="array" ref="X74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4">
        <f t="array" ref="AC74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4">
        <f t="array" ref="AH74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4">
        <f t="array" ref="AM74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4">
        <f t="array" ref="AR74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5" spans="9:44">
      <c r="I75">
        <f t="array" ref="I75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5">
        <f t="array" ref="N75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5">
        <f t="array" ref="S75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5">
        <f t="array" ref="X75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5">
        <f t="array" ref="AC75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5">
        <f t="array" ref="AH75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5">
        <f t="array" ref="AM75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5">
        <f t="array" ref="AR75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6" spans="9:44">
      <c r="I76">
        <f t="array" ref="I76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6">
        <f t="array" ref="N76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6">
        <f t="array" ref="S76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6">
        <f t="array" ref="X76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6">
        <f t="array" ref="AC76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6">
        <f t="array" ref="AH76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6">
        <f t="array" ref="AM76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6">
        <f t="array" ref="AR76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7" spans="9:44">
      <c r="I77">
        <f t="array" ref="I77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7">
        <f t="array" ref="N77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7">
        <f t="array" ref="S77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7">
        <f t="array" ref="X77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7">
        <f t="array" ref="AC77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7">
        <f t="array" ref="AH77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7">
        <f t="array" ref="AM77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7">
        <f t="array" ref="AR77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8" spans="9:44">
      <c r="I78">
        <f t="array" ref="I78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8">
        <f t="array" ref="N78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8">
        <f t="array" ref="S78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8">
        <f t="array" ref="X78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8">
        <f t="array" ref="AC78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8">
        <f t="array" ref="AH78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8">
        <f t="array" ref="AM78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8">
        <f t="array" ref="AR78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79" spans="9:44">
      <c r="I79">
        <f t="array" ref="I79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79">
        <f t="array" ref="N79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79">
        <f t="array" ref="S79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79">
        <f t="array" ref="X79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79">
        <f t="array" ref="AC79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79">
        <f t="array" ref="AH79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79">
        <f t="array" ref="AM79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79">
        <f t="array" ref="AR79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0" spans="9:44">
      <c r="I80">
        <f t="array" ref="I80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0">
        <f t="array" ref="N80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0">
        <f t="array" ref="S80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0">
        <f t="array" ref="X80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0">
        <f t="array" ref="AC80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0">
        <f t="array" ref="AH80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0">
        <f t="array" ref="AM80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0">
        <f t="array" ref="AR80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1" spans="9:44">
      <c r="I81">
        <f t="array" ref="I81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1">
        <f t="array" ref="N81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1">
        <f t="array" ref="S81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1">
        <f t="array" ref="X81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1">
        <f t="array" ref="AC81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1">
        <f t="array" ref="AH81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1">
        <f t="array" ref="AM81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1">
        <f t="array" ref="AR81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2" spans="9:44">
      <c r="I82">
        <f t="array" ref="I82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2">
        <f t="array" ref="N82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2">
        <f t="array" ref="S82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2">
        <f t="array" ref="X82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2">
        <f t="array" ref="AC82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2">
        <f t="array" ref="AH82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2">
        <f t="array" ref="AM82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2">
        <f t="array" ref="AR82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3" spans="9:44">
      <c r="I83">
        <f t="array" ref="I83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3">
        <f t="array" ref="N83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3">
        <f t="array" ref="S83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3">
        <f t="array" ref="X83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3">
        <f t="array" ref="AC83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3">
        <f t="array" ref="AH83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3">
        <f t="array" ref="AM83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3">
        <f t="array" ref="AR83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4" spans="9:44">
      <c r="I84">
        <f t="array" ref="I84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4">
        <f t="array" ref="N84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4">
        <f t="array" ref="S84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4">
        <f t="array" ref="X84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4">
        <f t="array" ref="AC84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4">
        <f t="array" ref="AH84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4">
        <f t="array" ref="AM84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4">
        <f t="array" ref="AR84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5" spans="9:44">
      <c r="I85">
        <f t="array" ref="I85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5">
        <f t="array" ref="N85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5">
        <f t="array" ref="S85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5">
        <f t="array" ref="X85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5">
        <f t="array" ref="AC85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5">
        <f t="array" ref="AH85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5">
        <f t="array" ref="AM85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5">
        <f t="array" ref="AR85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6" spans="9:44">
      <c r="I86">
        <f t="array" ref="I86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6">
        <f t="array" ref="N86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6">
        <f t="array" ref="S86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6">
        <f t="array" ref="X86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6">
        <f t="array" ref="AC86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6">
        <f t="array" ref="AH86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6">
        <f t="array" ref="AM86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6">
        <f t="array" ref="AR86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7" spans="9:44">
      <c r="I87">
        <f t="array" ref="I87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7">
        <f t="array" ref="N87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7">
        <f t="array" ref="S87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7">
        <f t="array" ref="X87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7">
        <f t="array" ref="AC87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7">
        <f t="array" ref="AH87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7">
        <f t="array" ref="AM87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7">
        <f t="array" ref="AR87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8" spans="9:44">
      <c r="I88">
        <f t="array" ref="I88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8">
        <f t="array" ref="N88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8">
        <f t="array" ref="S88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8">
        <f t="array" ref="X88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8">
        <f t="array" ref="AC88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8">
        <f t="array" ref="AH88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8">
        <f t="array" ref="AM88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8">
        <f t="array" ref="AR88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89" spans="9:44">
      <c r="I89">
        <f t="array" ref="I89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89">
        <f t="array" ref="N89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89">
        <f t="array" ref="S89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89">
        <f t="array" ref="X89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89">
        <f t="array" ref="AC89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89">
        <f t="array" ref="AH89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89">
        <f t="array" ref="AM89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89">
        <f t="array" ref="AR89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0" spans="9:44">
      <c r="I90">
        <f t="array" ref="I90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0">
        <f t="array" ref="N90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0">
        <f t="array" ref="S90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0">
        <f t="array" ref="X90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0">
        <f t="array" ref="AC90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0">
        <f t="array" ref="AH90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0">
        <f t="array" ref="AM90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0">
        <f t="array" ref="AR90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1" spans="9:44">
      <c r="I91">
        <f t="array" ref="I91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1">
        <f t="array" ref="N91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1">
        <f t="array" ref="S91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1">
        <f t="array" ref="X91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1">
        <f t="array" ref="AC91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1">
        <f t="array" ref="AH91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1">
        <f t="array" ref="AM91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1">
        <f t="array" ref="AR91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2" spans="9:44">
      <c r="I92">
        <f t="array" ref="I92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2">
        <f t="array" ref="N92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2">
        <f t="array" ref="S92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2">
        <f t="array" ref="X92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2">
        <f t="array" ref="AC92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2">
        <f t="array" ref="AH92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2">
        <f t="array" ref="AM92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2">
        <f t="array" ref="AR92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3" spans="9:44">
      <c r="I93">
        <f t="array" ref="I93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3">
        <f t="array" ref="N93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3">
        <f t="array" ref="S93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3">
        <f t="array" ref="X93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3">
        <f t="array" ref="AC93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3">
        <f t="array" ref="AH93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3">
        <f t="array" ref="AM93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3">
        <f t="array" ref="AR93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4" spans="9:44">
      <c r="I94">
        <f t="array" ref="I94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4">
        <f t="array" ref="N94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4">
        <f t="array" ref="S94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4">
        <f t="array" ref="X94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4">
        <f t="array" ref="AC94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4">
        <f t="array" ref="AH94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4">
        <f t="array" ref="AM94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4">
        <f t="array" ref="AR94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5" spans="9:44">
      <c r="I95">
        <f t="array" ref="I95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5">
        <f t="array" ref="N95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5">
        <f t="array" ref="S95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5">
        <f t="array" ref="X95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5">
        <f t="array" ref="AC95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5">
        <f t="array" ref="AH95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5">
        <f t="array" ref="AM95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5">
        <f t="array" ref="AR95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6" spans="9:44">
      <c r="I96">
        <f t="array" ref="I96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6">
        <f t="array" ref="N96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6">
        <f t="array" ref="S96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6">
        <f t="array" ref="X96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6">
        <f t="array" ref="AC96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6">
        <f t="array" ref="AH96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6">
        <f t="array" ref="AM96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6">
        <f t="array" ref="AR96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7" spans="9:44">
      <c r="I97">
        <f t="array" ref="I97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7">
        <f t="array" ref="N97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7">
        <f t="array" ref="S97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7">
        <f t="array" ref="X97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7">
        <f t="array" ref="AC97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7">
        <f t="array" ref="AH97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7">
        <f t="array" ref="AM97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7">
        <f t="array" ref="AR97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8" spans="9:44">
      <c r="I98">
        <f t="array" ref="I98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8">
        <f t="array" ref="N98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8">
        <f t="array" ref="S98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8">
        <f t="array" ref="X98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8">
        <f t="array" ref="AC98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8">
        <f t="array" ref="AH98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8">
        <f t="array" ref="AM98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8">
        <f t="array" ref="AR98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99" spans="9:44">
      <c r="I99">
        <f t="array" ref="I99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99">
        <f t="array" ref="N99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99">
        <f t="array" ref="S99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99">
        <f t="array" ref="X99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99">
        <f t="array" ref="AC99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99">
        <f t="array" ref="AH99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99">
        <f t="array" ref="AM99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99">
        <f t="array" ref="AR99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0" spans="9:44">
      <c r="I100">
        <f t="array" ref="I100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0">
        <f t="array" ref="N100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0">
        <f t="array" ref="S100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0">
        <f t="array" ref="X100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0">
        <f t="array" ref="AC100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0">
        <f t="array" ref="AH100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0">
        <f t="array" ref="AM100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0">
        <f t="array" ref="AR100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1" spans="9:44">
      <c r="I101">
        <f t="array" ref="I101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1">
        <f t="array" ref="N101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1">
        <f t="array" ref="S101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1">
        <f t="array" ref="X101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1">
        <f t="array" ref="AC101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1">
        <f t="array" ref="AH101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1">
        <f t="array" ref="AM101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1">
        <f t="array" ref="AR101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2" spans="9:44">
      <c r="I102">
        <f t="array" ref="I102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2">
        <f t="array" ref="N102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2">
        <f t="array" ref="S102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2">
        <f t="array" ref="X102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2">
        <f t="array" ref="AC102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2">
        <f t="array" ref="AH102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2">
        <f t="array" ref="AM102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2">
        <f t="array" ref="AR102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3" spans="9:44">
      <c r="I103">
        <f t="array" ref="I103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3">
        <f t="array" ref="N103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3">
        <f t="array" ref="S103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3">
        <f t="array" ref="X103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3">
        <f t="array" ref="AC103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3">
        <f t="array" ref="AH103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3">
        <f t="array" ref="AM103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3">
        <f t="array" ref="AR103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4" spans="9:44">
      <c r="I104">
        <f t="array" ref="I104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4">
        <f t="array" ref="N104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4">
        <f t="array" ref="S104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4">
        <f t="array" ref="X104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4">
        <f t="array" ref="AC104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4">
        <f t="array" ref="AH104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4">
        <f t="array" ref="AM104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4">
        <f t="array" ref="AR104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5" spans="9:44">
      <c r="I105">
        <f t="array" ref="I105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5">
        <f t="array" ref="N105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5">
        <f t="array" ref="S105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5">
        <f t="array" ref="X105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5">
        <f t="array" ref="AC105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5">
        <f t="array" ref="AH105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5">
        <f t="array" ref="AM105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5">
        <f t="array" ref="AR105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6" spans="9:44">
      <c r="I106">
        <f t="array" ref="I106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6">
        <f t="array" ref="N106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6">
        <f t="array" ref="S106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6">
        <f t="array" ref="X106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6">
        <f t="array" ref="AC106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6">
        <f t="array" ref="AH106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6">
        <f t="array" ref="AM106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6">
        <f t="array" ref="AR106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7" spans="9:44">
      <c r="I107">
        <f t="array" ref="I107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7">
        <f t="array" ref="N107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7">
        <f t="array" ref="S107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7">
        <f t="array" ref="X107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7">
        <f t="array" ref="AC107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7">
        <f t="array" ref="AH107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7">
        <f t="array" ref="AM107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7">
        <f t="array" ref="AR107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8" spans="9:44">
      <c r="I108">
        <f t="array" ref="I108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8">
        <f t="array" ref="N108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8">
        <f t="array" ref="S108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8">
        <f t="array" ref="X108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8">
        <f t="array" ref="AC108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8">
        <f t="array" ref="AH108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8">
        <f t="array" ref="AM108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8">
        <f t="array" ref="AR108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09" spans="9:44">
      <c r="I109">
        <f t="array" ref="I109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09">
        <f t="array" ref="N109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09">
        <f t="array" ref="S109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09">
        <f t="array" ref="X109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09">
        <f t="array" ref="AC109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09">
        <f t="array" ref="AH109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09">
        <f t="array" ref="AM109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09">
        <f t="array" ref="AR109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10" spans="9:44">
      <c r="I110">
        <f t="array" ref="I110">IFERROR(CONCATENATE(INDEX(L7:L57,SMALL(IF(ISNUMBER(I7:I57),IF(I7:I57&gt;0,IF(L7:L57&lt;&gt;"",ROW(I7:I57)-MIN(ROW(I7:I57))+1))),ROW()-ROW(A$60)+1)),",",TEXT(INDEX(I7:I57,SMALL(IF(ISNUMBER(I7:I57),IF(I7:I57&gt;0,IF(L7:L57&lt;&gt;"",ROW(I7:I57)-MIN(ROW(I7:I57))+1))),ROW()-ROW(A$60)+1)),"##0"),",",SUBSTITUTE(INDEX(IF(PURCHASE_DESCRIPTION&lt;&gt;"",PURCHASE_DESCRIPTION&amp;":","")&amp;A7:A57,SMALL(IF(ISNUMBER(I7:I57),IF(I7:I57&gt;0,IF(L7:L57&lt;&gt;"",ROW(I7:I57)-MIN(ROW(I7:I57))+1))),ROW()-ROW(A$60)+1)),",",";")),"")</f>
        <v>0</v>
      </c>
      <c r="N110">
        <f t="array" ref="N110">IFERROR(CONCATENATE(TEXT(INDEX(N7:N57,SMALL(IF(ISNUMBER(N7:N57),IF(N7:N57&gt;0,IF(Q7:Q57&lt;&gt;"",ROW(N7:N57)-MIN(ROW(N7:N57))+1))),ROW()-ROW(A$60)+1)),"##0"),",",INDEX(Q7:Q57,SMALL(IF(ISNUMBER(N7:N57),IF(N7:N57&gt;0,IF(Q7:Q57&lt;&gt;"",ROW(N7:N57)-MIN(ROW(N7:N57))+1))),ROW()-ROW(A$60)+1)),",",SUBSTITUTE(INDEX(IF(PURCHASE_DESCRIPTION&lt;&gt;"",PURCHASE_DESCRIPTION&amp;":","")&amp;A7:A57,SMALL(IF(ISNUMBER(N7:N57),IF(N7:N57&gt;0,IF(Q7:Q57&lt;&gt;"",ROW(N7:N57)-MIN(ROW(N7:N57))+1))),ROW()-ROW(A$60)+1)),",",";")),"")</f>
        <v>0</v>
      </c>
      <c r="S110">
        <f t="array" ref="S110">IFERROR(CONCATENATE(INDEX(V7:V57,SMALL(IF(ISNUMBER(S7:S57),IF(S7:S57&gt;0,IF(V7:V57&lt;&gt;"",ROW(S7:S57)-MIN(ROW(S7:S57))+1))),ROW()-ROW(A$60)+1))," ",TEXT(INDEX(S7:S57,SMALL(IF(ISNUMBER(S7:S57),IF(S7:S57&gt;0,IF(V7:V57&lt;&gt;"",ROW(S7:S57)-MIN(ROW(S7:S57))+1))),ROW()-ROW(A$60)+1)),"##0")," ",SUBSTITUTE(INDEX(IF(PURCHASE_DESCRIPTION&lt;&gt;"",PURCHASE_DESCRIPTION&amp;":","")&amp;A7:A57,SMALL(IF(ISNUMBER(S7:S57),IF(S7:S57&gt;0,IF(V7:V57&lt;&gt;"",ROW(S7:S57)-MIN(ROW(S7:S57))+1))),ROW()-ROW(A$60)+1))," ",";")),"")</f>
        <v>0</v>
      </c>
      <c r="X110">
        <f t="array" ref="X110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  <c r="AC110">
        <f t="array" ref="AC110">IFERROR(CONCATENATE(INDEX(AF7:AF57,SMALL(IF(ISNUMBER(AC7:AC57),IF(AC7:AC57&gt;0,IF(AF7:AF57&lt;&gt;"",ROW(AC7:AC57)-MIN(ROW(AC7:AC57))+1))),ROW()-ROW(A$60)+1)),"|",TEXT(INDEX(AC7:AC57,SMALL(IF(ISNUMBER(AC7:AC57),IF(AC7:AC57&gt;0,IF(AF7:AF57&lt;&gt;"",ROW(AC7:AC57)-MIN(ROW(AC7:AC57))+1))),ROW()-ROW(A$60)+1)),"##0"),"|",SUBSTITUTE(SUBSTITUTE(INDEX(IF(PURCHASE_DESCRIPTION&lt;&gt;"",PURCHASE_DESCRIPTION&amp;":","")&amp;A7:A57,SMALL(IF(ISNUMBER(AC7:AC57),IF(AC7:AC57&gt;0,IF(AF7:AF57&lt;&gt;"",ROW(AC7:AC57)-MIN(ROW(AC7:AC57))+1))),ROW()-ROW(A$60)+1)),"|",";")," ","_")),"")</f>
        <v>0</v>
      </c>
      <c r="AH110">
        <f t="array" ref="AH110">IFERROR(CONCATENATE(INDEX(AK7:AK57,SMALL(IF(ISNUMBER(AH7:AH57),IF(AH7:AH57&gt;0,IF(AK7:AK57&lt;&gt;"",ROW(AH7:AH57)-MIN(ROW(AH7:AH57))+1))),ROW()-ROW(A$60)+1)),",",TEXT(INDEX(AH7:AH57,SMALL(IF(ISNUMBER(AH7:AH57),IF(AH7:AH57&gt;0,IF(AK7:AK57&lt;&gt;"",ROW(AH7:AH57)-MIN(ROW(AH7:AH57))+1))),ROW()-ROW(A$60)+1)),"##0"),",",SUBSTITUTE(INDEX(IF(PURCHASE_DESCRIPTION&lt;&gt;"",PURCHASE_DESCRIPTION&amp;":","")&amp;A7:A57,SMALL(IF(ISNUMBER(AH7:AH57),IF(AH7:AH57&gt;0,IF(AK7:AK57&lt;&gt;"",ROW(AH7:AH57)-MIN(ROW(AH7:AH57))+1))),ROW()-ROW(A$60)+1)),",",";")),"")</f>
        <v>0</v>
      </c>
      <c r="AM110">
        <f t="array" ref="AM110">IFERROR(CONCATENATE(INDEX(AP7:AP57,SMALL(IF(ISNUMBER(AM7:AM57),IF(AM7:AM57&gt;0,IF(AP7:AP57&lt;&gt;"",ROW(AM7:AM57)-MIN(ROW(AM7:AM57))+1))),ROW()-ROW(A$60)+1))," ",TEXT(INDEX(AM7:AM57,SMALL(IF(ISNUMBER(AM7:AM57),IF(AM7:AM57&gt;0,IF(AP7:AP57&lt;&gt;"",ROW(AM7:AM57)-MIN(ROW(AM7:AM57))+1))),ROW()-ROW(A$60)+1)),"##0")," ",SUBSTITUTE(INDEX(IF(PURCHASE_DESCRIPTION&lt;&gt;"",PURCHASE_DESCRIPTION&amp;":","")&amp;A7:A57,SMALL(IF(ISNUMBER(AM7:AM57),IF(AM7:AM57&gt;0,IF(AP7:AP57&lt;&gt;"",ROW(AM7:AM57)-MIN(ROW(AM7:AM57))+1))),ROW()-ROW(A$60)+1))," ",";")),"")</f>
        <v>0</v>
      </c>
      <c r="AR110">
        <f t="array" ref="AR110">IFERROR(CONCATENATE(INDEX(AU7:AU57,SMALL(IF(ISNUMBER(AR7:AR57),IF(AR7:AR57&gt;0,IF(AU7:AU57&lt;&gt;"",ROW(AR7:AR57)-MIN(ROW(AR7:AR57))+1))),ROW()-ROW(A$60)+1))," ",TEXT(INDEX(AR7:AR57,SMALL(IF(ISNUMBER(AR7:AR57),IF(AR7:AR57&gt;0,IF(AU7:AU57&lt;&gt;"",ROW(AR7:AR57)-MIN(ROW(AR7:AR57))+1))),ROW()-ROW(A$60)+1)),"##0")," ",SUBSTITUTE(INDEX(IF(PURCHASE_DESCRIPTION&lt;&gt;"",PURCHASE_DESCRIPTION&amp;":","")&amp;A7:A57,SMALL(IF(ISNUMBER(AR7:AR57),IF(AR7:AR57&gt;0,IF(AU7:AU57&lt;&gt;"",ROW(AR7:AR57)-MIN(ROW(AR7:AR57))+1))),ROW()-ROW(A$60)+1))," ",";")),"")</f>
        <v>0</v>
      </c>
    </row>
    <row r="111" spans="9:44">
      <c r="X111">
        <f t="array" ref="X111">IFERROR(CONCATENATE(TEXT(INDEX(X7:X57,SMALL(IF(ISNUMBER(X7:X57),IF(X7:X57&gt;0,IF(AA7:AA57&lt;&gt;"",ROW(X7:X57)-MIN(ROW(X7:X57))+1))),ROW()-ROW(A$61)+1)),"##0"),",",SUBSTITUTE(INDEX(IF(PURCHASE_DESCRIPTION&lt;&gt;"",PURCHASE_DESCRIPTION&amp;":","")&amp;A7:A57,SMALL(IF(ISNUMBER(X7:X57),IF(X7:X57&gt;0,IF(AA7:AA57&lt;&gt;"",ROW(X7:X57)-MIN(ROW(X7:X57))+1))),ROW()-ROW(A$61)+1)),",",";"),",",SUBSTITUTE(INDEX(IF(PURCHASE_DESCRIPTION&lt;&gt;"",PURCHASE_DESCRIPTION&amp;":","")&amp;C7:C57,SMALL(IF(ISNUMBER(X7:X57),IF(X7:X57&gt;0,IF(AA7:AA57&lt;&gt;"",ROW(X7:X57)-MIN(ROW(X7:X57))+1))),ROW()-ROW(A$61)+1)),",",";"),",",INDEX(AA7:AA57,SMALL(IF(ISNUMBER(X7:X57),IF(X7:X57&gt;0,IF(AA7:AA57&lt;&gt;"",ROW(X7:X57)-MIN(ROW(X7:X57))+1))),ROW()-ROW(A$61)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0">
    <cfRule type="cellIs" dxfId="1" priority="434" operator="equal">
      <formula>0</formula>
    </cfRule>
    <cfRule type="cellIs" dxfId="2" priority="435" operator="lessThan">
      <formula>E10</formula>
    </cfRule>
  </conditionalFormatting>
  <conditionalFormatting sqref="AB11">
    <cfRule type="cellIs" dxfId="1" priority="439" operator="equal">
      <formula>0</formula>
    </cfRule>
    <cfRule type="cellIs" dxfId="2" priority="440" operator="lessThan">
      <formula>E11</formula>
    </cfRule>
  </conditionalFormatting>
  <conditionalFormatting sqref="AB12">
    <cfRule type="cellIs" dxfId="1" priority="444" operator="equal">
      <formula>0</formula>
    </cfRule>
    <cfRule type="cellIs" dxfId="2" priority="445" operator="lessThan">
      <formula>E12</formula>
    </cfRule>
  </conditionalFormatting>
  <conditionalFormatting sqref="AB13">
    <cfRule type="cellIs" dxfId="1" priority="449" operator="equal">
      <formula>0</formula>
    </cfRule>
    <cfRule type="cellIs" dxfId="2" priority="450" operator="lessThan">
      <formula>E13</formula>
    </cfRule>
  </conditionalFormatting>
  <conditionalFormatting sqref="AB14">
    <cfRule type="cellIs" dxfId="1" priority="454" operator="equal">
      <formula>0</formula>
    </cfRule>
    <cfRule type="cellIs" dxfId="2" priority="455" operator="lessThan">
      <formula>E14</formula>
    </cfRule>
  </conditionalFormatting>
  <conditionalFormatting sqref="AB16">
    <cfRule type="cellIs" dxfId="1" priority="459" operator="equal">
      <formula>0</formula>
    </cfRule>
    <cfRule type="cellIs" dxfId="2" priority="460" operator="lessThan">
      <formula>E16</formula>
    </cfRule>
  </conditionalFormatting>
  <conditionalFormatting sqref="AB17">
    <cfRule type="cellIs" dxfId="1" priority="464" operator="equal">
      <formula>0</formula>
    </cfRule>
    <cfRule type="cellIs" dxfId="2" priority="465" operator="lessThan">
      <formula>E17</formula>
    </cfRule>
  </conditionalFormatting>
  <conditionalFormatting sqref="AB20">
    <cfRule type="cellIs" dxfId="1" priority="469" operator="equal">
      <formula>0</formula>
    </cfRule>
    <cfRule type="cellIs" dxfId="2" priority="470" operator="lessThan">
      <formula>E20</formula>
    </cfRule>
  </conditionalFormatting>
  <conditionalFormatting sqref="AB21">
    <cfRule type="cellIs" dxfId="1" priority="474" operator="equal">
      <formula>0</formula>
    </cfRule>
    <cfRule type="cellIs" dxfId="2" priority="475" operator="lessThan">
      <formula>E21</formula>
    </cfRule>
  </conditionalFormatting>
  <conditionalFormatting sqref="AB22">
    <cfRule type="cellIs" dxfId="1" priority="479" operator="equal">
      <formula>0</formula>
    </cfRule>
    <cfRule type="cellIs" dxfId="2" priority="480" operator="lessThan">
      <formula>E22</formula>
    </cfRule>
  </conditionalFormatting>
  <conditionalFormatting sqref="AB23">
    <cfRule type="cellIs" dxfId="1" priority="484" operator="equal">
      <formula>0</formula>
    </cfRule>
    <cfRule type="cellIs" dxfId="2" priority="485" operator="lessThan">
      <formula>E23</formula>
    </cfRule>
  </conditionalFormatting>
  <conditionalFormatting sqref="AB24">
    <cfRule type="cellIs" dxfId="1" priority="489" operator="equal">
      <formula>0</formula>
    </cfRule>
    <cfRule type="cellIs" dxfId="2" priority="490" operator="lessThan">
      <formula>E24</formula>
    </cfRule>
  </conditionalFormatting>
  <conditionalFormatting sqref="AB26">
    <cfRule type="cellIs" dxfId="1" priority="494" operator="equal">
      <formula>0</formula>
    </cfRule>
    <cfRule type="cellIs" dxfId="2" priority="495" operator="lessThan">
      <formula>E26</formula>
    </cfRule>
  </conditionalFormatting>
  <conditionalFormatting sqref="AB27">
    <cfRule type="cellIs" dxfId="1" priority="499" operator="equal">
      <formula>0</formula>
    </cfRule>
    <cfRule type="cellIs" dxfId="2" priority="500" operator="lessThan">
      <formula>E27</formula>
    </cfRule>
  </conditionalFormatting>
  <conditionalFormatting sqref="AB29">
    <cfRule type="cellIs" dxfId="1" priority="504" operator="equal">
      <formula>0</formula>
    </cfRule>
    <cfRule type="cellIs" dxfId="2" priority="505" operator="lessThan">
      <formula>E29</formula>
    </cfRule>
  </conditionalFormatting>
  <conditionalFormatting sqref="AB30">
    <cfRule type="cellIs" dxfId="1" priority="509" operator="equal">
      <formula>0</formula>
    </cfRule>
    <cfRule type="cellIs" dxfId="2" priority="510" operator="lessThan">
      <formula>E30</formula>
    </cfRule>
  </conditionalFormatting>
  <conditionalFormatting sqref="AB32">
    <cfRule type="cellIs" dxfId="1" priority="514" operator="equal">
      <formula>0</formula>
    </cfRule>
    <cfRule type="cellIs" dxfId="2" priority="515" operator="lessThan">
      <formula>E32</formula>
    </cfRule>
  </conditionalFormatting>
  <conditionalFormatting sqref="AB33">
    <cfRule type="cellIs" dxfId="1" priority="519" operator="equal">
      <formula>0</formula>
    </cfRule>
    <cfRule type="cellIs" dxfId="2" priority="520" operator="lessThan">
      <formula>E33</formula>
    </cfRule>
  </conditionalFormatting>
  <conditionalFormatting sqref="AB34">
    <cfRule type="cellIs" dxfId="1" priority="524" operator="equal">
      <formula>0</formula>
    </cfRule>
    <cfRule type="cellIs" dxfId="2" priority="525" operator="lessThan">
      <formula>E34</formula>
    </cfRule>
  </conditionalFormatting>
  <conditionalFormatting sqref="AB35">
    <cfRule type="cellIs" dxfId="1" priority="529" operator="equal">
      <formula>0</formula>
    </cfRule>
    <cfRule type="cellIs" dxfId="2" priority="530" operator="lessThan">
      <formula>E35</formula>
    </cfRule>
  </conditionalFormatting>
  <conditionalFormatting sqref="AB36">
    <cfRule type="cellIs" dxfId="1" priority="534" operator="equal">
      <formula>0</formula>
    </cfRule>
    <cfRule type="cellIs" dxfId="2" priority="535" operator="lessThan">
      <formula>E36</formula>
    </cfRule>
  </conditionalFormatting>
  <conditionalFormatting sqref="AB37">
    <cfRule type="cellIs" dxfId="1" priority="539" operator="equal">
      <formula>0</formula>
    </cfRule>
    <cfRule type="cellIs" dxfId="2" priority="540" operator="lessThan">
      <formula>E37</formula>
    </cfRule>
  </conditionalFormatting>
  <conditionalFormatting sqref="AB38">
    <cfRule type="cellIs" dxfId="1" priority="544" operator="equal">
      <formula>0</formula>
    </cfRule>
    <cfRule type="cellIs" dxfId="2" priority="545" operator="lessThan">
      <formula>E38</formula>
    </cfRule>
  </conditionalFormatting>
  <conditionalFormatting sqref="AB39">
    <cfRule type="cellIs" dxfId="1" priority="549" operator="equal">
      <formula>0</formula>
    </cfRule>
    <cfRule type="cellIs" dxfId="2" priority="550" operator="lessThan">
      <formula>E39</formula>
    </cfRule>
  </conditionalFormatting>
  <conditionalFormatting sqref="AB40">
    <cfRule type="cellIs" dxfId="1" priority="554" operator="equal">
      <formula>0</formula>
    </cfRule>
    <cfRule type="cellIs" dxfId="2" priority="555" operator="lessThan">
      <formula>E40</formula>
    </cfRule>
  </conditionalFormatting>
  <conditionalFormatting sqref="AB54">
    <cfRule type="cellIs" dxfId="1" priority="559" operator="equal">
      <formula>0</formula>
    </cfRule>
    <cfRule type="cellIs" dxfId="2" priority="560" operator="lessThan">
      <formula>E54</formula>
    </cfRule>
  </conditionalFormatting>
  <conditionalFormatting sqref="AB57">
    <cfRule type="cellIs" dxfId="1" priority="564" operator="equal">
      <formula>0</formula>
    </cfRule>
    <cfRule type="cellIs" dxfId="2" priority="565" operator="lessThan">
      <formula>E57</formula>
    </cfRule>
  </conditionalFormatting>
  <conditionalFormatting sqref="AB8">
    <cfRule type="cellIs" dxfId="1" priority="429" operator="equal">
      <formula>0</formula>
    </cfRule>
    <cfRule type="cellIs" dxfId="2" priority="430" operator="lessThan">
      <formula>E8</formula>
    </cfRule>
  </conditionalFormatting>
  <conditionalFormatting sqref="AC10">
    <cfRule type="cellIs" dxfId="1" priority="436" operator="greaterThan">
      <formula>AB10</formula>
    </cfRule>
  </conditionalFormatting>
  <conditionalFormatting sqref="AC11">
    <cfRule type="cellIs" dxfId="1" priority="441" operator="greaterThan">
      <formula>AB11</formula>
    </cfRule>
  </conditionalFormatting>
  <conditionalFormatting sqref="AC12">
    <cfRule type="cellIs" dxfId="1" priority="446" operator="greaterThan">
      <formula>AB12</formula>
    </cfRule>
  </conditionalFormatting>
  <conditionalFormatting sqref="AC13">
    <cfRule type="cellIs" dxfId="1" priority="451" operator="greaterThan">
      <formula>AB13</formula>
    </cfRule>
  </conditionalFormatting>
  <conditionalFormatting sqref="AC14">
    <cfRule type="cellIs" dxfId="1" priority="456" operator="greaterThan">
      <formula>AB14</formula>
    </cfRule>
  </conditionalFormatting>
  <conditionalFormatting sqref="AC16">
    <cfRule type="cellIs" dxfId="1" priority="461" operator="greaterThan">
      <formula>AB16</formula>
    </cfRule>
  </conditionalFormatting>
  <conditionalFormatting sqref="AC17">
    <cfRule type="cellIs" dxfId="1" priority="466" operator="greaterThan">
      <formula>AB17</formula>
    </cfRule>
  </conditionalFormatting>
  <conditionalFormatting sqref="AC20">
    <cfRule type="cellIs" dxfId="1" priority="471" operator="greaterThan">
      <formula>AB20</formula>
    </cfRule>
  </conditionalFormatting>
  <conditionalFormatting sqref="AC21">
    <cfRule type="cellIs" dxfId="1" priority="476" operator="greaterThan">
      <formula>AB21</formula>
    </cfRule>
  </conditionalFormatting>
  <conditionalFormatting sqref="AC22">
    <cfRule type="cellIs" dxfId="1" priority="481" operator="greaterThan">
      <formula>AB22</formula>
    </cfRule>
  </conditionalFormatting>
  <conditionalFormatting sqref="AC23">
    <cfRule type="cellIs" dxfId="1" priority="486" operator="greaterThan">
      <formula>AB23</formula>
    </cfRule>
  </conditionalFormatting>
  <conditionalFormatting sqref="AC24">
    <cfRule type="cellIs" dxfId="1" priority="491" operator="greaterThan">
      <formula>AB24</formula>
    </cfRule>
  </conditionalFormatting>
  <conditionalFormatting sqref="AC26">
    <cfRule type="cellIs" dxfId="1" priority="496" operator="greaterThan">
      <formula>AB26</formula>
    </cfRule>
  </conditionalFormatting>
  <conditionalFormatting sqref="AC27">
    <cfRule type="cellIs" dxfId="1" priority="501" operator="greaterThan">
      <formula>AB27</formula>
    </cfRule>
  </conditionalFormatting>
  <conditionalFormatting sqref="AC29">
    <cfRule type="cellIs" dxfId="1" priority="506" operator="greaterThan">
      <formula>AB29</formula>
    </cfRule>
  </conditionalFormatting>
  <conditionalFormatting sqref="AC30">
    <cfRule type="cellIs" dxfId="1" priority="511" operator="greaterThan">
      <formula>AB30</formula>
    </cfRule>
  </conditionalFormatting>
  <conditionalFormatting sqref="AC32">
    <cfRule type="cellIs" dxfId="1" priority="516" operator="greaterThan">
      <formula>AB32</formula>
    </cfRule>
  </conditionalFormatting>
  <conditionalFormatting sqref="AC33">
    <cfRule type="cellIs" dxfId="1" priority="521" operator="greaterThan">
      <formula>AB33</formula>
    </cfRule>
  </conditionalFormatting>
  <conditionalFormatting sqref="AC34">
    <cfRule type="cellIs" dxfId="1" priority="526" operator="greaterThan">
      <formula>AB34</formula>
    </cfRule>
  </conditionalFormatting>
  <conditionalFormatting sqref="AC35">
    <cfRule type="cellIs" dxfId="1" priority="531" operator="greaterThan">
      <formula>AB35</formula>
    </cfRule>
  </conditionalFormatting>
  <conditionalFormatting sqref="AC36">
    <cfRule type="cellIs" dxfId="1" priority="536" operator="greaterThan">
      <formula>AB36</formula>
    </cfRule>
  </conditionalFormatting>
  <conditionalFormatting sqref="AC37">
    <cfRule type="cellIs" dxfId="1" priority="541" operator="greaterThan">
      <formula>AB37</formula>
    </cfRule>
  </conditionalFormatting>
  <conditionalFormatting sqref="AC38">
    <cfRule type="cellIs" dxfId="1" priority="546" operator="greaterThan">
      <formula>AB38</formula>
    </cfRule>
  </conditionalFormatting>
  <conditionalFormatting sqref="AC39">
    <cfRule type="cellIs" dxfId="1" priority="551" operator="greaterThan">
      <formula>AB39</formula>
    </cfRule>
  </conditionalFormatting>
  <conditionalFormatting sqref="AC40">
    <cfRule type="cellIs" dxfId="1" priority="556" operator="greaterThan">
      <formula>AB40</formula>
    </cfRule>
  </conditionalFormatting>
  <conditionalFormatting sqref="AC54">
    <cfRule type="cellIs" dxfId="1" priority="561" operator="greaterThan">
      <formula>AB54</formula>
    </cfRule>
  </conditionalFormatting>
  <conditionalFormatting sqref="AC57">
    <cfRule type="cellIs" dxfId="1" priority="566" operator="greaterThan">
      <formula>AB57</formula>
    </cfRule>
  </conditionalFormatting>
  <conditionalFormatting sqref="AC8">
    <cfRule type="cellIs" dxfId="1" priority="431" operator="greaterThan">
      <formula>AB8</formula>
    </cfRule>
  </conditionalFormatting>
  <conditionalFormatting sqref="AD10">
    <cfRule type="cellIs" dxfId="4" priority="438" operator="lessThanOrEqual">
      <formula>F10</formula>
    </cfRule>
  </conditionalFormatting>
  <conditionalFormatting sqref="AD11">
    <cfRule type="cellIs" dxfId="4" priority="443" operator="lessThanOrEqual">
      <formula>F11</formula>
    </cfRule>
  </conditionalFormatting>
  <conditionalFormatting sqref="AD12">
    <cfRule type="cellIs" dxfId="4" priority="448" operator="lessThanOrEqual">
      <formula>F12</formula>
    </cfRule>
  </conditionalFormatting>
  <conditionalFormatting sqref="AD13">
    <cfRule type="cellIs" dxfId="4" priority="453" operator="lessThanOrEqual">
      <formula>F13</formula>
    </cfRule>
  </conditionalFormatting>
  <conditionalFormatting sqref="AD14">
    <cfRule type="cellIs" dxfId="4" priority="458" operator="lessThanOrEqual">
      <formula>F14</formula>
    </cfRule>
  </conditionalFormatting>
  <conditionalFormatting sqref="AD16">
    <cfRule type="cellIs" dxfId="4" priority="463" operator="lessThanOrEqual">
      <formula>F16</formula>
    </cfRule>
  </conditionalFormatting>
  <conditionalFormatting sqref="AD17">
    <cfRule type="cellIs" dxfId="4" priority="468" operator="lessThanOrEqual">
      <formula>F17</formula>
    </cfRule>
  </conditionalFormatting>
  <conditionalFormatting sqref="AD20">
    <cfRule type="cellIs" dxfId="4" priority="473" operator="lessThanOrEqual">
      <formula>F20</formula>
    </cfRule>
  </conditionalFormatting>
  <conditionalFormatting sqref="AD21">
    <cfRule type="cellIs" dxfId="4" priority="478" operator="lessThanOrEqual">
      <formula>F21</formula>
    </cfRule>
  </conditionalFormatting>
  <conditionalFormatting sqref="AD22">
    <cfRule type="cellIs" dxfId="4" priority="483" operator="lessThanOrEqual">
      <formula>F22</formula>
    </cfRule>
  </conditionalFormatting>
  <conditionalFormatting sqref="AD23">
    <cfRule type="cellIs" dxfId="4" priority="488" operator="lessThanOrEqual">
      <formula>F23</formula>
    </cfRule>
  </conditionalFormatting>
  <conditionalFormatting sqref="AD24">
    <cfRule type="cellIs" dxfId="4" priority="493" operator="lessThanOrEqual">
      <formula>F24</formula>
    </cfRule>
  </conditionalFormatting>
  <conditionalFormatting sqref="AD26">
    <cfRule type="cellIs" dxfId="4" priority="498" operator="lessThanOrEqual">
      <formula>F26</formula>
    </cfRule>
  </conditionalFormatting>
  <conditionalFormatting sqref="AD27">
    <cfRule type="cellIs" dxfId="4" priority="503" operator="lessThanOrEqual">
      <formula>F27</formula>
    </cfRule>
  </conditionalFormatting>
  <conditionalFormatting sqref="AD29">
    <cfRule type="cellIs" dxfId="4" priority="508" operator="lessThanOrEqual">
      <formula>F29</formula>
    </cfRule>
  </conditionalFormatting>
  <conditionalFormatting sqref="AD30">
    <cfRule type="cellIs" dxfId="4" priority="513" operator="lessThanOrEqual">
      <formula>F30</formula>
    </cfRule>
  </conditionalFormatting>
  <conditionalFormatting sqref="AD32">
    <cfRule type="cellIs" dxfId="4" priority="518" operator="lessThanOrEqual">
      <formula>F32</formula>
    </cfRule>
  </conditionalFormatting>
  <conditionalFormatting sqref="AD33">
    <cfRule type="cellIs" dxfId="4" priority="523" operator="lessThanOrEqual">
      <formula>F33</formula>
    </cfRule>
  </conditionalFormatting>
  <conditionalFormatting sqref="AD34">
    <cfRule type="cellIs" dxfId="4" priority="528" operator="lessThanOrEqual">
      <formula>F34</formula>
    </cfRule>
  </conditionalFormatting>
  <conditionalFormatting sqref="AD35">
    <cfRule type="cellIs" dxfId="4" priority="533" operator="lessThanOrEqual">
      <formula>F35</formula>
    </cfRule>
  </conditionalFormatting>
  <conditionalFormatting sqref="AD36">
    <cfRule type="cellIs" dxfId="4" priority="538" operator="lessThanOrEqual">
      <formula>F36</formula>
    </cfRule>
  </conditionalFormatting>
  <conditionalFormatting sqref="AD37">
    <cfRule type="cellIs" dxfId="4" priority="543" operator="lessThanOrEqual">
      <formula>F37</formula>
    </cfRule>
  </conditionalFormatting>
  <conditionalFormatting sqref="AD38">
    <cfRule type="cellIs" dxfId="4" priority="548" operator="lessThanOrEqual">
      <formula>F38</formula>
    </cfRule>
  </conditionalFormatting>
  <conditionalFormatting sqref="AD39">
    <cfRule type="cellIs" dxfId="4" priority="553" operator="lessThanOrEqual">
      <formula>F39</formula>
    </cfRule>
  </conditionalFormatting>
  <conditionalFormatting sqref="AD40">
    <cfRule type="cellIs" dxfId="4" priority="558" operator="lessThanOrEqual">
      <formula>F40</formula>
    </cfRule>
  </conditionalFormatting>
  <conditionalFormatting sqref="AD54">
    <cfRule type="cellIs" dxfId="4" priority="563" operator="lessThanOrEqual">
      <formula>F54</formula>
    </cfRule>
  </conditionalFormatting>
  <conditionalFormatting sqref="AD57">
    <cfRule type="cellIs" dxfId="4" priority="568" operator="lessThanOrEqual">
      <formula>F57</formula>
    </cfRule>
  </conditionalFormatting>
  <conditionalFormatting sqref="AD8">
    <cfRule type="cellIs" dxfId="4" priority="433" operator="lessThanOrEqual">
      <formula>F8</formula>
    </cfRule>
  </conditionalFormatting>
  <conditionalFormatting sqref="AE10">
    <cfRule type="cellIs" dxfId="4" priority="437" operator="lessThanOrEqual">
      <formula>G10</formula>
    </cfRule>
  </conditionalFormatting>
  <conditionalFormatting sqref="AE11">
    <cfRule type="cellIs" dxfId="4" priority="442" operator="lessThanOrEqual">
      <formula>G11</formula>
    </cfRule>
  </conditionalFormatting>
  <conditionalFormatting sqref="AE12">
    <cfRule type="cellIs" dxfId="4" priority="447" operator="lessThanOrEqual">
      <formula>G12</formula>
    </cfRule>
  </conditionalFormatting>
  <conditionalFormatting sqref="AE13">
    <cfRule type="cellIs" dxfId="4" priority="452" operator="lessThanOrEqual">
      <formula>G13</formula>
    </cfRule>
  </conditionalFormatting>
  <conditionalFormatting sqref="AE14">
    <cfRule type="cellIs" dxfId="4" priority="457" operator="lessThanOrEqual">
      <formula>G14</formula>
    </cfRule>
  </conditionalFormatting>
  <conditionalFormatting sqref="AE16">
    <cfRule type="cellIs" dxfId="4" priority="462" operator="lessThanOrEqual">
      <formula>G16</formula>
    </cfRule>
  </conditionalFormatting>
  <conditionalFormatting sqref="AE17">
    <cfRule type="cellIs" dxfId="4" priority="467" operator="lessThanOrEqual">
      <formula>G17</formula>
    </cfRule>
  </conditionalFormatting>
  <conditionalFormatting sqref="AE20">
    <cfRule type="cellIs" dxfId="4" priority="472" operator="lessThanOrEqual">
      <formula>G20</formula>
    </cfRule>
  </conditionalFormatting>
  <conditionalFormatting sqref="AE21">
    <cfRule type="cellIs" dxfId="4" priority="477" operator="lessThanOrEqual">
      <formula>G21</formula>
    </cfRule>
  </conditionalFormatting>
  <conditionalFormatting sqref="AE22">
    <cfRule type="cellIs" dxfId="4" priority="482" operator="lessThanOrEqual">
      <formula>G22</formula>
    </cfRule>
  </conditionalFormatting>
  <conditionalFormatting sqref="AE23">
    <cfRule type="cellIs" dxfId="4" priority="487" operator="lessThanOrEqual">
      <formula>G23</formula>
    </cfRule>
  </conditionalFormatting>
  <conditionalFormatting sqref="AE24">
    <cfRule type="cellIs" dxfId="4" priority="492" operator="lessThanOrEqual">
      <formula>G24</formula>
    </cfRule>
  </conditionalFormatting>
  <conditionalFormatting sqref="AE26">
    <cfRule type="cellIs" dxfId="4" priority="497" operator="lessThanOrEqual">
      <formula>G26</formula>
    </cfRule>
  </conditionalFormatting>
  <conditionalFormatting sqref="AE27">
    <cfRule type="cellIs" dxfId="4" priority="502" operator="lessThanOrEqual">
      <formula>G27</formula>
    </cfRule>
  </conditionalFormatting>
  <conditionalFormatting sqref="AE29">
    <cfRule type="cellIs" dxfId="4" priority="507" operator="lessThanOrEqual">
      <formula>G29</formula>
    </cfRule>
  </conditionalFormatting>
  <conditionalFormatting sqref="AE30">
    <cfRule type="cellIs" dxfId="4" priority="512" operator="lessThanOrEqual">
      <formula>G30</formula>
    </cfRule>
  </conditionalFormatting>
  <conditionalFormatting sqref="AE32">
    <cfRule type="cellIs" dxfId="4" priority="517" operator="lessThanOrEqual">
      <formula>G32</formula>
    </cfRule>
  </conditionalFormatting>
  <conditionalFormatting sqref="AE33">
    <cfRule type="cellIs" dxfId="4" priority="522" operator="lessThanOrEqual">
      <formula>G33</formula>
    </cfRule>
  </conditionalFormatting>
  <conditionalFormatting sqref="AE34">
    <cfRule type="cellIs" dxfId="4" priority="527" operator="lessThanOrEqual">
      <formula>G34</formula>
    </cfRule>
  </conditionalFormatting>
  <conditionalFormatting sqref="AE35">
    <cfRule type="cellIs" dxfId="4" priority="532" operator="lessThanOrEqual">
      <formula>G35</formula>
    </cfRule>
  </conditionalFormatting>
  <conditionalFormatting sqref="AE36">
    <cfRule type="cellIs" dxfId="4" priority="537" operator="lessThanOrEqual">
      <formula>G36</formula>
    </cfRule>
  </conditionalFormatting>
  <conditionalFormatting sqref="AE37">
    <cfRule type="cellIs" dxfId="4" priority="542" operator="lessThanOrEqual">
      <formula>G37</formula>
    </cfRule>
  </conditionalFormatting>
  <conditionalFormatting sqref="AE38">
    <cfRule type="cellIs" dxfId="4" priority="547" operator="lessThanOrEqual">
      <formula>G38</formula>
    </cfRule>
  </conditionalFormatting>
  <conditionalFormatting sqref="AE39">
    <cfRule type="cellIs" dxfId="4" priority="552" operator="lessThanOrEqual">
      <formula>G39</formula>
    </cfRule>
  </conditionalFormatting>
  <conditionalFormatting sqref="AE40">
    <cfRule type="cellIs" dxfId="4" priority="557" operator="lessThanOrEqual">
      <formula>G40</formula>
    </cfRule>
  </conditionalFormatting>
  <conditionalFormatting sqref="AE54">
    <cfRule type="cellIs" dxfId="4" priority="562" operator="lessThanOrEqual">
      <formula>G54</formula>
    </cfRule>
  </conditionalFormatting>
  <conditionalFormatting sqref="AE57">
    <cfRule type="cellIs" dxfId="4" priority="567" operator="lessThanOrEqual">
      <formula>G57</formula>
    </cfRule>
  </conditionalFormatting>
  <conditionalFormatting sqref="AE8">
    <cfRule type="cellIs" dxfId="4" priority="432" operator="lessThanOrEqual">
      <formula>G8</formula>
    </cfRule>
  </conditionalFormatting>
  <conditionalFormatting sqref="AG11">
    <cfRule type="cellIs" dxfId="1" priority="569" operator="equal">
      <formula>0</formula>
    </cfRule>
    <cfRule type="cellIs" dxfId="2" priority="570" operator="lessThan">
      <formula>E11</formula>
    </cfRule>
  </conditionalFormatting>
  <conditionalFormatting sqref="AG13">
    <cfRule type="cellIs" dxfId="1" priority="574" operator="equal">
      <formula>0</formula>
    </cfRule>
    <cfRule type="cellIs" dxfId="2" priority="575" operator="lessThan">
      <formula>E13</formula>
    </cfRule>
  </conditionalFormatting>
  <conditionalFormatting sqref="AG14">
    <cfRule type="cellIs" dxfId="1" priority="579" operator="equal">
      <formula>0</formula>
    </cfRule>
    <cfRule type="cellIs" dxfId="2" priority="580" operator="lessThan">
      <formula>E14</formula>
    </cfRule>
  </conditionalFormatting>
  <conditionalFormatting sqref="AG17">
    <cfRule type="cellIs" dxfId="1" priority="584" operator="equal">
      <formula>0</formula>
    </cfRule>
    <cfRule type="cellIs" dxfId="2" priority="585" operator="lessThan">
      <formula>E17</formula>
    </cfRule>
  </conditionalFormatting>
  <conditionalFormatting sqref="AG20">
    <cfRule type="cellIs" dxfId="1" priority="589" operator="equal">
      <formula>0</formula>
    </cfRule>
    <cfRule type="cellIs" dxfId="2" priority="590" operator="lessThan">
      <formula>E20</formula>
    </cfRule>
  </conditionalFormatting>
  <conditionalFormatting sqref="AG22">
    <cfRule type="cellIs" dxfId="1" priority="594" operator="equal">
      <formula>0</formula>
    </cfRule>
    <cfRule type="cellIs" dxfId="2" priority="595" operator="lessThan">
      <formula>E22</formula>
    </cfRule>
  </conditionalFormatting>
  <conditionalFormatting sqref="AG23">
    <cfRule type="cellIs" dxfId="1" priority="599" operator="equal">
      <formula>0</formula>
    </cfRule>
    <cfRule type="cellIs" dxfId="2" priority="600" operator="lessThan">
      <formula>E23</formula>
    </cfRule>
  </conditionalFormatting>
  <conditionalFormatting sqref="AG24">
    <cfRule type="cellIs" dxfId="1" priority="604" operator="equal">
      <formula>0</formula>
    </cfRule>
    <cfRule type="cellIs" dxfId="2" priority="605" operator="lessThan">
      <formula>E24</formula>
    </cfRule>
  </conditionalFormatting>
  <conditionalFormatting sqref="AG26">
    <cfRule type="cellIs" dxfId="1" priority="609" operator="equal">
      <formula>0</formula>
    </cfRule>
    <cfRule type="cellIs" dxfId="2" priority="610" operator="lessThan">
      <formula>E26</formula>
    </cfRule>
  </conditionalFormatting>
  <conditionalFormatting sqref="AG27">
    <cfRule type="cellIs" dxfId="1" priority="615" operator="equal">
      <formula>0</formula>
    </cfRule>
    <cfRule type="cellIs" dxfId="2" priority="616" operator="lessThan">
      <formula>E27</formula>
    </cfRule>
  </conditionalFormatting>
  <conditionalFormatting sqref="AG37">
    <cfRule type="cellIs" dxfId="1" priority="621" operator="equal">
      <formula>0</formula>
    </cfRule>
    <cfRule type="cellIs" dxfId="2" priority="622" operator="lessThan">
      <formula>E37</formula>
    </cfRule>
  </conditionalFormatting>
  <conditionalFormatting sqref="AG38">
    <cfRule type="cellIs" dxfId="1" priority="626" operator="equal">
      <formula>0</formula>
    </cfRule>
    <cfRule type="cellIs" dxfId="2" priority="627" operator="lessThan">
      <formula>E38</formula>
    </cfRule>
  </conditionalFormatting>
  <conditionalFormatting sqref="AG40">
    <cfRule type="cellIs" dxfId="1" priority="631" operator="equal">
      <formula>0</formula>
    </cfRule>
    <cfRule type="cellIs" dxfId="2" priority="632" operator="lessThan">
      <formula>E40</formula>
    </cfRule>
  </conditionalFormatting>
  <conditionalFormatting sqref="AH11">
    <cfRule type="cellIs" dxfId="1" priority="571" operator="greaterThan">
      <formula>AG11</formula>
    </cfRule>
  </conditionalFormatting>
  <conditionalFormatting sqref="AH13">
    <cfRule type="cellIs" dxfId="1" priority="576" operator="greaterThan">
      <formula>AG13</formula>
    </cfRule>
  </conditionalFormatting>
  <conditionalFormatting sqref="AH14">
    <cfRule type="cellIs" dxfId="1" priority="581" operator="greaterThan">
      <formula>AG14</formula>
    </cfRule>
  </conditionalFormatting>
  <conditionalFormatting sqref="AH17">
    <cfRule type="cellIs" dxfId="1" priority="586" operator="greaterThan">
      <formula>AG17</formula>
    </cfRule>
  </conditionalFormatting>
  <conditionalFormatting sqref="AH20">
    <cfRule type="cellIs" dxfId="1" priority="591" operator="greaterThan">
      <formula>AG20</formula>
    </cfRule>
  </conditionalFormatting>
  <conditionalFormatting sqref="AH22">
    <cfRule type="cellIs" dxfId="1" priority="596" operator="greaterThan">
      <formula>AG22</formula>
    </cfRule>
  </conditionalFormatting>
  <conditionalFormatting sqref="AH23">
    <cfRule type="cellIs" dxfId="1" priority="601" operator="greaterThan">
      <formula>AG23</formula>
    </cfRule>
  </conditionalFormatting>
  <conditionalFormatting sqref="AH24">
    <cfRule type="cellIs" dxfId="1" priority="606" operator="greaterThan">
      <formula>AG24</formula>
    </cfRule>
  </conditionalFormatting>
  <conditionalFormatting sqref="AH26">
    <cfRule type="expression" dxfId="3" priority="611">
      <formula>AND(AH26&gt;0,AH26&lt;5)</formula>
    </cfRule>
    <cfRule type="cellIs" dxfId="1" priority="612" operator="greaterThan">
      <formula>AG26</formula>
    </cfRule>
  </conditionalFormatting>
  <conditionalFormatting sqref="AH27">
    <cfRule type="expression" dxfId="3" priority="617">
      <formula>AND(AH27&gt;0,AH27&lt;5)</formula>
    </cfRule>
    <cfRule type="cellIs" dxfId="1" priority="618" operator="greaterThan">
      <formula>AG27</formula>
    </cfRule>
  </conditionalFormatting>
  <conditionalFormatting sqref="AH37">
    <cfRule type="cellIs" dxfId="1" priority="623" operator="greaterThan">
      <formula>AG37</formula>
    </cfRule>
  </conditionalFormatting>
  <conditionalFormatting sqref="AH38">
    <cfRule type="cellIs" dxfId="1" priority="628" operator="greaterThan">
      <formula>AG38</formula>
    </cfRule>
  </conditionalFormatting>
  <conditionalFormatting sqref="AH40">
    <cfRule type="cellIs" dxfId="1" priority="633" operator="greaterThan">
      <formula>AG40</formula>
    </cfRule>
  </conditionalFormatting>
  <conditionalFormatting sqref="AI11">
    <cfRule type="cellIs" dxfId="4" priority="573" operator="lessThanOrEqual">
      <formula>F11</formula>
    </cfRule>
  </conditionalFormatting>
  <conditionalFormatting sqref="AI13">
    <cfRule type="cellIs" dxfId="4" priority="578" operator="lessThanOrEqual">
      <formula>F13</formula>
    </cfRule>
  </conditionalFormatting>
  <conditionalFormatting sqref="AI14">
    <cfRule type="cellIs" dxfId="4" priority="583" operator="lessThanOrEqual">
      <formula>F14</formula>
    </cfRule>
  </conditionalFormatting>
  <conditionalFormatting sqref="AI17">
    <cfRule type="cellIs" dxfId="4" priority="588" operator="lessThanOrEqual">
      <formula>F17</formula>
    </cfRule>
  </conditionalFormatting>
  <conditionalFormatting sqref="AI20">
    <cfRule type="cellIs" dxfId="4" priority="593" operator="lessThanOrEqual">
      <formula>F20</formula>
    </cfRule>
  </conditionalFormatting>
  <conditionalFormatting sqref="AI22">
    <cfRule type="cellIs" dxfId="4" priority="598" operator="lessThanOrEqual">
      <formula>F22</formula>
    </cfRule>
  </conditionalFormatting>
  <conditionalFormatting sqref="AI23">
    <cfRule type="cellIs" dxfId="4" priority="603" operator="lessThanOrEqual">
      <formula>F23</formula>
    </cfRule>
  </conditionalFormatting>
  <conditionalFormatting sqref="AI24">
    <cfRule type="cellIs" dxfId="4" priority="608" operator="lessThanOrEqual">
      <formula>F24</formula>
    </cfRule>
  </conditionalFormatting>
  <conditionalFormatting sqref="AI26">
    <cfRule type="cellIs" dxfId="4" priority="614" operator="lessThanOrEqual">
      <formula>F26</formula>
    </cfRule>
  </conditionalFormatting>
  <conditionalFormatting sqref="AI27">
    <cfRule type="cellIs" dxfId="4" priority="620" operator="lessThanOrEqual">
      <formula>F27</formula>
    </cfRule>
  </conditionalFormatting>
  <conditionalFormatting sqref="AI37">
    <cfRule type="cellIs" dxfId="4" priority="625" operator="lessThanOrEqual">
      <formula>F37</formula>
    </cfRule>
  </conditionalFormatting>
  <conditionalFormatting sqref="AI38">
    <cfRule type="cellIs" dxfId="4" priority="630" operator="lessThanOrEqual">
      <formula>F38</formula>
    </cfRule>
  </conditionalFormatting>
  <conditionalFormatting sqref="AI40">
    <cfRule type="cellIs" dxfId="4" priority="635" operator="lessThanOrEqual">
      <formula>F40</formula>
    </cfRule>
  </conditionalFormatting>
  <conditionalFormatting sqref="AJ11">
    <cfRule type="cellIs" dxfId="4" priority="572" operator="lessThanOrEqual">
      <formula>G11</formula>
    </cfRule>
  </conditionalFormatting>
  <conditionalFormatting sqref="AJ13">
    <cfRule type="cellIs" dxfId="4" priority="577" operator="lessThanOrEqual">
      <formula>G13</formula>
    </cfRule>
  </conditionalFormatting>
  <conditionalFormatting sqref="AJ14">
    <cfRule type="cellIs" dxfId="4" priority="582" operator="lessThanOrEqual">
      <formula>G14</formula>
    </cfRule>
  </conditionalFormatting>
  <conditionalFormatting sqref="AJ17">
    <cfRule type="cellIs" dxfId="4" priority="587" operator="lessThanOrEqual">
      <formula>G17</formula>
    </cfRule>
  </conditionalFormatting>
  <conditionalFormatting sqref="AJ20">
    <cfRule type="cellIs" dxfId="4" priority="592" operator="lessThanOrEqual">
      <formula>G20</formula>
    </cfRule>
  </conditionalFormatting>
  <conditionalFormatting sqref="AJ22">
    <cfRule type="cellIs" dxfId="4" priority="597" operator="lessThanOrEqual">
      <formula>G22</formula>
    </cfRule>
  </conditionalFormatting>
  <conditionalFormatting sqref="AJ23">
    <cfRule type="cellIs" dxfId="4" priority="602" operator="lessThanOrEqual">
      <formula>G23</formula>
    </cfRule>
  </conditionalFormatting>
  <conditionalFormatting sqref="AJ24">
    <cfRule type="cellIs" dxfId="4" priority="607" operator="lessThanOrEqual">
      <formula>G24</formula>
    </cfRule>
  </conditionalFormatting>
  <conditionalFormatting sqref="AJ26">
    <cfRule type="cellIs" dxfId="4" priority="613" operator="lessThanOrEqual">
      <formula>G26</formula>
    </cfRule>
  </conditionalFormatting>
  <conditionalFormatting sqref="AJ27">
    <cfRule type="cellIs" dxfId="4" priority="619" operator="lessThanOrEqual">
      <formula>G27</formula>
    </cfRule>
  </conditionalFormatting>
  <conditionalFormatting sqref="AJ37">
    <cfRule type="cellIs" dxfId="4" priority="624" operator="lessThanOrEqual">
      <formula>G37</formula>
    </cfRule>
  </conditionalFormatting>
  <conditionalFormatting sqref="AJ38">
    <cfRule type="cellIs" dxfId="4" priority="629" operator="lessThanOrEqual">
      <formula>G38</formula>
    </cfRule>
  </conditionalFormatting>
  <conditionalFormatting sqref="AJ40">
    <cfRule type="cellIs" dxfId="4" priority="634" operator="lessThanOrEqual">
      <formula>G40</formula>
    </cfRule>
  </conditionalFormatting>
  <conditionalFormatting sqref="AL17">
    <cfRule type="cellIs" dxfId="1" priority="636" operator="equal">
      <formula>0</formula>
    </cfRule>
    <cfRule type="cellIs" dxfId="2" priority="637" operator="lessThan">
      <formula>E17</formula>
    </cfRule>
  </conditionalFormatting>
  <conditionalFormatting sqref="AL20">
    <cfRule type="cellIs" dxfId="1" priority="642" operator="equal">
      <formula>0</formula>
    </cfRule>
    <cfRule type="cellIs" dxfId="2" priority="643" operator="lessThan">
      <formula>E20</formula>
    </cfRule>
  </conditionalFormatting>
  <conditionalFormatting sqref="AL22">
    <cfRule type="cellIs" dxfId="1" priority="648" operator="equal">
      <formula>0</formula>
    </cfRule>
    <cfRule type="cellIs" dxfId="2" priority="649" operator="lessThan">
      <formula>E22</formula>
    </cfRule>
  </conditionalFormatting>
  <conditionalFormatting sqref="AL23">
    <cfRule type="cellIs" dxfId="1" priority="654" operator="equal">
      <formula>0</formula>
    </cfRule>
    <cfRule type="cellIs" dxfId="2" priority="655" operator="lessThan">
      <formula>E23</formula>
    </cfRule>
  </conditionalFormatting>
  <conditionalFormatting sqref="AL26">
    <cfRule type="cellIs" dxfId="1" priority="660" operator="equal">
      <formula>0</formula>
    </cfRule>
    <cfRule type="cellIs" dxfId="2" priority="661" operator="lessThan">
      <formula>E26</formula>
    </cfRule>
  </conditionalFormatting>
  <conditionalFormatting sqref="AL27">
    <cfRule type="cellIs" dxfId="1" priority="666" operator="equal">
      <formula>0</formula>
    </cfRule>
    <cfRule type="cellIs" dxfId="2" priority="667" operator="lessThan">
      <formula>E27</formula>
    </cfRule>
  </conditionalFormatting>
  <conditionalFormatting sqref="AM17">
    <cfRule type="expression" dxfId="3" priority="638">
      <formula>AND(AM17&gt;0,AM17&lt;200)</formula>
    </cfRule>
    <cfRule type="cellIs" dxfId="1" priority="639" operator="greaterThan">
      <formula>AL17</formula>
    </cfRule>
  </conditionalFormatting>
  <conditionalFormatting sqref="AM20">
    <cfRule type="expression" dxfId="3" priority="644">
      <formula>AND(AM20&gt;0,AM20&lt;50)</formula>
    </cfRule>
    <cfRule type="cellIs" dxfId="1" priority="645" operator="greaterThan">
      <formula>AL20</formula>
    </cfRule>
  </conditionalFormatting>
  <conditionalFormatting sqref="AM22">
    <cfRule type="expression" dxfId="3" priority="650">
      <formula>AND(AM22&gt;0,AM22&lt;500)</formula>
    </cfRule>
    <cfRule type="cellIs" dxfId="1" priority="651" operator="greaterThan">
      <formula>AL22</formula>
    </cfRule>
  </conditionalFormatting>
  <conditionalFormatting sqref="AM23">
    <cfRule type="expression" dxfId="3" priority="656">
      <formula>AND(AM23&gt;0,AM23&lt;500)</formula>
    </cfRule>
    <cfRule type="cellIs" dxfId="1" priority="657" operator="greaterThan">
      <formula>AL23</formula>
    </cfRule>
  </conditionalFormatting>
  <conditionalFormatting sqref="AM26">
    <cfRule type="expression" dxfId="3" priority="662">
      <formula>AND(AM26&gt;0,AM26&lt;100)</formula>
    </cfRule>
    <cfRule type="cellIs" dxfId="1" priority="663" operator="greaterThan">
      <formula>AL26</formula>
    </cfRule>
  </conditionalFormatting>
  <conditionalFormatting sqref="AM27">
    <cfRule type="expression" dxfId="3" priority="668">
      <formula>AND(AM27&gt;0,AM27&lt;100)</formula>
    </cfRule>
    <cfRule type="cellIs" dxfId="1" priority="669" operator="greaterThan">
      <formula>AL27</formula>
    </cfRule>
  </conditionalFormatting>
  <conditionalFormatting sqref="AN17">
    <cfRule type="cellIs" dxfId="4" priority="641" operator="lessThanOrEqual">
      <formula>F17</formula>
    </cfRule>
  </conditionalFormatting>
  <conditionalFormatting sqref="AN20">
    <cfRule type="cellIs" dxfId="4" priority="647" operator="lessThanOrEqual">
      <formula>F20</formula>
    </cfRule>
  </conditionalFormatting>
  <conditionalFormatting sqref="AN22">
    <cfRule type="cellIs" dxfId="4" priority="653" operator="lessThanOrEqual">
      <formula>F22</formula>
    </cfRule>
  </conditionalFormatting>
  <conditionalFormatting sqref="AN23">
    <cfRule type="cellIs" dxfId="4" priority="659" operator="lessThanOrEqual">
      <formula>F23</formula>
    </cfRule>
  </conditionalFormatting>
  <conditionalFormatting sqref="AN26">
    <cfRule type="cellIs" dxfId="4" priority="665" operator="lessThanOrEqual">
      <formula>F26</formula>
    </cfRule>
  </conditionalFormatting>
  <conditionalFormatting sqref="AN27">
    <cfRule type="cellIs" dxfId="4" priority="671" operator="lessThanOrEqual">
      <formula>F27</formula>
    </cfRule>
  </conditionalFormatting>
  <conditionalFormatting sqref="AO17">
    <cfRule type="cellIs" dxfId="4" priority="640" operator="lessThanOrEqual">
      <formula>G17</formula>
    </cfRule>
  </conditionalFormatting>
  <conditionalFormatting sqref="AO20">
    <cfRule type="cellIs" dxfId="4" priority="646" operator="lessThanOrEqual">
      <formula>G20</formula>
    </cfRule>
  </conditionalFormatting>
  <conditionalFormatting sqref="AO22">
    <cfRule type="cellIs" dxfId="4" priority="652" operator="lessThanOrEqual">
      <formula>G22</formula>
    </cfRule>
  </conditionalFormatting>
  <conditionalFormatting sqref="AO23">
    <cfRule type="cellIs" dxfId="4" priority="658" operator="lessThanOrEqual">
      <formula>G23</formula>
    </cfRule>
  </conditionalFormatting>
  <conditionalFormatting sqref="AO26">
    <cfRule type="cellIs" dxfId="4" priority="664" operator="lessThanOrEqual">
      <formula>G26</formula>
    </cfRule>
  </conditionalFormatting>
  <conditionalFormatting sqref="AO27">
    <cfRule type="cellIs" dxfId="4" priority="670" operator="lessThanOrEqual">
      <formula>G27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dxfId="0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dxfId="0" priority="89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dxfId="0" priority="93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dxfId="0" priority="97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dxfId="0" priority="101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dxfId="0" priority="105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4">
    <cfRule type="expression" dxfId="0" priority="109">
      <formula>AND(ISBLANK(D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5">
    <cfRule type="expression" dxfId="0" priority="113">
      <formula>AND(ISBLANK(D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6">
    <cfRule type="expression" dxfId="0" priority="117">
      <formula>AND(ISBLANK(D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7">
    <cfRule type="expression" dxfId="0" priority="121">
      <formula>AND(ISBLANK(D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8">
    <cfRule type="expression" dxfId="0" priority="125">
      <formula>AND(ISBLANK(D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9">
    <cfRule type="expression" dxfId="0" priority="129">
      <formula>AND(ISBLANK(D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0">
    <cfRule type="expression" dxfId="0" priority="133">
      <formula>AND(ISBLANK(D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1">
    <cfRule type="expression" dxfId="0" priority="137">
      <formula>AND(ISBLANK(D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2">
    <cfRule type="expression" dxfId="0" priority="141">
      <formula>AND(ISBLANK(D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3">
    <cfRule type="expression" dxfId="0" priority="145">
      <formula>AND(ISBLANK(D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4">
    <cfRule type="expression" dxfId="0" priority="149">
      <formula>AND(ISBLANK(D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5">
    <cfRule type="expression" dxfId="0" priority="153">
      <formula>AND(ISBLANK(D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6">
    <cfRule type="expression" dxfId="0" priority="157">
      <formula>AND(ISBLANK(D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7">
    <cfRule type="expression" dxfId="0" priority="161">
      <formula>AND(ISBLANK(D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8">
    <cfRule type="expression" dxfId="0" priority="165">
      <formula>AND(ISBLANK(D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49">
    <cfRule type="expression" dxfId="0" priority="169">
      <formula>AND(ISBLANK(D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0">
    <cfRule type="expression" dxfId="0" priority="173">
      <formula>AND(ISBLANK(D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1">
    <cfRule type="expression" dxfId="0" priority="177">
      <formula>AND(ISBLANK(D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2">
    <cfRule type="expression" dxfId="0" priority="181">
      <formula>AND(ISBLANK(D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3">
    <cfRule type="expression" dxfId="0" priority="185">
      <formula>AND(ISBLANK(D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4">
    <cfRule type="expression" dxfId="0" priority="189">
      <formula>AND(ISBLANK(D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5">
    <cfRule type="expression" dxfId="0" priority="193">
      <formula>AND(ISBLANK(D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6">
    <cfRule type="expression" dxfId="0" priority="197">
      <formula>AND(ISBLANK(D56)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57">
    <cfRule type="expression" dxfId="0" priority="201">
      <formula>AND(ISBLANK(D57)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215" operator="equal">
      <formula>0</formula>
    </cfRule>
    <cfRule type="cellIs" dxfId="2" priority="216" operator="lessThan">
      <formula>E10</formula>
    </cfRule>
  </conditionalFormatting>
  <conditionalFormatting sqref="M11">
    <cfRule type="cellIs" dxfId="1" priority="221" operator="equal">
      <formula>0</formula>
    </cfRule>
    <cfRule type="cellIs" dxfId="2" priority="222" operator="lessThan">
      <formula>E11</formula>
    </cfRule>
  </conditionalFormatting>
  <conditionalFormatting sqref="M12">
    <cfRule type="cellIs" dxfId="1" priority="226" operator="equal">
      <formula>0</formula>
    </cfRule>
    <cfRule type="cellIs" dxfId="2" priority="227" operator="lessThan">
      <formula>E12</formula>
    </cfRule>
  </conditionalFormatting>
  <conditionalFormatting sqref="M14">
    <cfRule type="cellIs" dxfId="1" priority="232" operator="equal">
      <formula>0</formula>
    </cfRule>
    <cfRule type="cellIs" dxfId="2" priority="233" operator="lessThan">
      <formula>E14</formula>
    </cfRule>
  </conditionalFormatting>
  <conditionalFormatting sqref="M16">
    <cfRule type="cellIs" dxfId="1" priority="237" operator="equal">
      <formula>0</formula>
    </cfRule>
    <cfRule type="cellIs" dxfId="2" priority="238" operator="lessThan">
      <formula>E16</formula>
    </cfRule>
  </conditionalFormatting>
  <conditionalFormatting sqref="M17">
    <cfRule type="cellIs" dxfId="1" priority="242" operator="equal">
      <formula>0</formula>
    </cfRule>
    <cfRule type="cellIs" dxfId="2" priority="243" operator="lessThan">
      <formula>E17</formula>
    </cfRule>
  </conditionalFormatting>
  <conditionalFormatting sqref="M20">
    <cfRule type="cellIs" dxfId="1" priority="247" operator="equal">
      <formula>0</formula>
    </cfRule>
    <cfRule type="cellIs" dxfId="2" priority="248" operator="lessThan">
      <formula>E20</formula>
    </cfRule>
  </conditionalFormatting>
  <conditionalFormatting sqref="M21">
    <cfRule type="cellIs" dxfId="1" priority="252" operator="equal">
      <formula>0</formula>
    </cfRule>
    <cfRule type="cellIs" dxfId="2" priority="253" operator="lessThan">
      <formula>E21</formula>
    </cfRule>
  </conditionalFormatting>
  <conditionalFormatting sqref="M22">
    <cfRule type="cellIs" dxfId="1" priority="258" operator="equal">
      <formula>0</formula>
    </cfRule>
    <cfRule type="cellIs" dxfId="2" priority="259" operator="lessThan">
      <formula>E22</formula>
    </cfRule>
  </conditionalFormatting>
  <conditionalFormatting sqref="M23">
    <cfRule type="cellIs" dxfId="1" priority="263" operator="equal">
      <formula>0</formula>
    </cfRule>
    <cfRule type="cellIs" dxfId="2" priority="264" operator="lessThan">
      <formula>E23</formula>
    </cfRule>
  </conditionalFormatting>
  <conditionalFormatting sqref="M24">
    <cfRule type="cellIs" dxfId="1" priority="268" operator="equal">
      <formula>0</formula>
    </cfRule>
    <cfRule type="cellIs" dxfId="2" priority="269" operator="lessThan">
      <formula>E24</formula>
    </cfRule>
  </conditionalFormatting>
  <conditionalFormatting sqref="M26">
    <cfRule type="cellIs" dxfId="1" priority="273" operator="equal">
      <formula>0</formula>
    </cfRule>
    <cfRule type="cellIs" dxfId="2" priority="274" operator="lessThan">
      <formula>E26</formula>
    </cfRule>
  </conditionalFormatting>
  <conditionalFormatting sqref="M27">
    <cfRule type="cellIs" dxfId="1" priority="278" operator="equal">
      <formula>0</formula>
    </cfRule>
    <cfRule type="cellIs" dxfId="2" priority="279" operator="lessThan">
      <formula>E27</formula>
    </cfRule>
  </conditionalFormatting>
  <conditionalFormatting sqref="M29">
    <cfRule type="cellIs" dxfId="1" priority="283" operator="equal">
      <formula>0</formula>
    </cfRule>
    <cfRule type="cellIs" dxfId="2" priority="284" operator="lessThan">
      <formula>E29</formula>
    </cfRule>
  </conditionalFormatting>
  <conditionalFormatting sqref="M30">
    <cfRule type="cellIs" dxfId="1" priority="288" operator="equal">
      <formula>0</formula>
    </cfRule>
    <cfRule type="cellIs" dxfId="2" priority="289" operator="lessThan">
      <formula>E30</formula>
    </cfRule>
  </conditionalFormatting>
  <conditionalFormatting sqref="M32">
    <cfRule type="cellIs" dxfId="1" priority="293" operator="equal">
      <formula>0</formula>
    </cfRule>
    <cfRule type="cellIs" dxfId="2" priority="294" operator="lessThan">
      <formula>E32</formula>
    </cfRule>
  </conditionalFormatting>
  <conditionalFormatting sqref="M33">
    <cfRule type="cellIs" dxfId="1" priority="299" operator="equal">
      <formula>0</formula>
    </cfRule>
    <cfRule type="cellIs" dxfId="2" priority="300" operator="lessThan">
      <formula>E33</formula>
    </cfRule>
  </conditionalFormatting>
  <conditionalFormatting sqref="M36">
    <cfRule type="cellIs" dxfId="1" priority="304" operator="equal">
      <formula>0</formula>
    </cfRule>
    <cfRule type="cellIs" dxfId="2" priority="305" operator="lessThan">
      <formula>E36</formula>
    </cfRule>
  </conditionalFormatting>
  <conditionalFormatting sqref="M37">
    <cfRule type="cellIs" dxfId="1" priority="310" operator="equal">
      <formula>0</formula>
    </cfRule>
    <cfRule type="cellIs" dxfId="2" priority="311" operator="lessThan">
      <formula>E37</formula>
    </cfRule>
  </conditionalFormatting>
  <conditionalFormatting sqref="M38">
    <cfRule type="cellIs" dxfId="1" priority="315" operator="equal">
      <formula>0</formula>
    </cfRule>
    <cfRule type="cellIs" dxfId="2" priority="316" operator="lessThan">
      <formula>E38</formula>
    </cfRule>
  </conditionalFormatting>
  <conditionalFormatting sqref="M39">
    <cfRule type="cellIs" dxfId="1" priority="320" operator="equal">
      <formula>0</formula>
    </cfRule>
    <cfRule type="cellIs" dxfId="2" priority="321" operator="lessThan">
      <formula>E39</formula>
    </cfRule>
  </conditionalFormatting>
  <conditionalFormatting sqref="M40">
    <cfRule type="cellIs" dxfId="1" priority="326" operator="equal">
      <formula>0</formula>
    </cfRule>
    <cfRule type="cellIs" dxfId="2" priority="327" operator="lessThan">
      <formula>E40</formula>
    </cfRule>
  </conditionalFormatting>
  <conditionalFormatting sqref="M54">
    <cfRule type="cellIs" dxfId="1" priority="331" operator="equal">
      <formula>0</formula>
    </cfRule>
    <cfRule type="cellIs" dxfId="2" priority="332" operator="lessThan">
      <formula>E54</formula>
    </cfRule>
  </conditionalFormatting>
  <conditionalFormatting sqref="M57">
    <cfRule type="cellIs" dxfId="1" priority="336" operator="equal">
      <formula>0</formula>
    </cfRule>
    <cfRule type="cellIs" dxfId="2" priority="337" operator="lessThan">
      <formula>E57</formula>
    </cfRule>
  </conditionalFormatting>
  <conditionalFormatting sqref="M8">
    <cfRule type="cellIs" dxfId="1" priority="205" operator="equal">
      <formula>0</formula>
    </cfRule>
    <cfRule type="cellIs" dxfId="2" priority="206" operator="lessThan">
      <formula>E8</formula>
    </cfRule>
  </conditionalFormatting>
  <conditionalFormatting sqref="M9">
    <cfRule type="cellIs" dxfId="1" priority="210" operator="equal">
      <formula>0</formula>
    </cfRule>
    <cfRule type="cellIs" dxfId="2" priority="211" operator="lessThan">
      <formula>E9</formula>
    </cfRule>
  </conditionalFormatting>
  <conditionalFormatting sqref="N10">
    <cfRule type="expression" dxfId="3" priority="217">
      <formula>AND(N10&gt;0,N10&lt;40000)</formula>
    </cfRule>
    <cfRule type="cellIs" dxfId="1" priority="218" operator="greaterThan">
      <formula>M10</formula>
    </cfRule>
  </conditionalFormatting>
  <conditionalFormatting sqref="N11">
    <cfRule type="cellIs" dxfId="1" priority="223" operator="greaterThan">
      <formula>M11</formula>
    </cfRule>
  </conditionalFormatting>
  <conditionalFormatting sqref="N12">
    <cfRule type="expression" dxfId="3" priority="228">
      <formula>AND(N12&gt;0,N12&lt;50000)</formula>
    </cfRule>
    <cfRule type="cellIs" dxfId="1" priority="229" operator="greaterThan">
      <formula>M12</formula>
    </cfRule>
  </conditionalFormatting>
  <conditionalFormatting sqref="N14">
    <cfRule type="cellIs" dxfId="1" priority="234" operator="greaterThan">
      <formula>M14</formula>
    </cfRule>
  </conditionalFormatting>
  <conditionalFormatting sqref="N16">
    <cfRule type="cellIs" dxfId="1" priority="239" operator="greaterThan">
      <formula>M16</formula>
    </cfRule>
  </conditionalFormatting>
  <conditionalFormatting sqref="N17">
    <cfRule type="cellIs" dxfId="1" priority="244" operator="greaterThan">
      <formula>M17</formula>
    </cfRule>
  </conditionalFormatting>
  <conditionalFormatting sqref="N20">
    <cfRule type="cellIs" dxfId="1" priority="249" operator="greaterThan">
      <formula>M20</formula>
    </cfRule>
  </conditionalFormatting>
  <conditionalFormatting sqref="N21">
    <cfRule type="expression" dxfId="3" priority="254">
      <formula>AND(N21&gt;0,N21&lt;20000)</formula>
    </cfRule>
    <cfRule type="cellIs" dxfId="1" priority="255" operator="greaterThan">
      <formula>M21</formula>
    </cfRule>
  </conditionalFormatting>
  <conditionalFormatting sqref="N22">
    <cfRule type="cellIs" dxfId="1" priority="260" operator="greaterThan">
      <formula>M22</formula>
    </cfRule>
  </conditionalFormatting>
  <conditionalFormatting sqref="N23">
    <cfRule type="cellIs" dxfId="1" priority="265" operator="greaterThan">
      <formula>M23</formula>
    </cfRule>
  </conditionalFormatting>
  <conditionalFormatting sqref="N24">
    <cfRule type="cellIs" dxfId="1" priority="270" operator="greaterThan">
      <formula>M24</formula>
    </cfRule>
  </conditionalFormatting>
  <conditionalFormatting sqref="N26">
    <cfRule type="cellIs" dxfId="1" priority="275" operator="greaterThan">
      <formula>M26</formula>
    </cfRule>
  </conditionalFormatting>
  <conditionalFormatting sqref="N27">
    <cfRule type="cellIs" dxfId="1" priority="280" operator="greaterThan">
      <formula>M27</formula>
    </cfRule>
  </conditionalFormatting>
  <conditionalFormatting sqref="N29">
    <cfRule type="cellIs" dxfId="1" priority="285" operator="greaterThan">
      <formula>M29</formula>
    </cfRule>
  </conditionalFormatting>
  <conditionalFormatting sqref="N30">
    <cfRule type="cellIs" dxfId="1" priority="290" operator="greaterThan">
      <formula>M30</formula>
    </cfRule>
  </conditionalFormatting>
  <conditionalFormatting sqref="N32">
    <cfRule type="expression" dxfId="3" priority="295">
      <formula>AND(N32&gt;0,N32&lt;10000)</formula>
    </cfRule>
    <cfRule type="cellIs" dxfId="1" priority="296" operator="greaterThan">
      <formula>M32</formula>
    </cfRule>
  </conditionalFormatting>
  <conditionalFormatting sqref="N33">
    <cfRule type="cellIs" dxfId="1" priority="301" operator="greaterThan">
      <formula>M33</formula>
    </cfRule>
  </conditionalFormatting>
  <conditionalFormatting sqref="N36">
    <cfRule type="expression" dxfId="3" priority="306">
      <formula>AND(N36&gt;0,N36&lt;10000)</formula>
    </cfRule>
    <cfRule type="cellIs" dxfId="1" priority="307" operator="greaterThan">
      <formula>M36</formula>
    </cfRule>
  </conditionalFormatting>
  <conditionalFormatting sqref="N37">
    <cfRule type="cellIs" dxfId="1" priority="312" operator="greaterThan">
      <formula>M37</formula>
    </cfRule>
  </conditionalFormatting>
  <conditionalFormatting sqref="N38">
    <cfRule type="cellIs" dxfId="1" priority="317" operator="greaterThan">
      <formula>M38</formula>
    </cfRule>
  </conditionalFormatting>
  <conditionalFormatting sqref="N39">
    <cfRule type="expression" dxfId="3" priority="322">
      <formula>AND(N39&gt;0,N39&lt;10000)</formula>
    </cfRule>
    <cfRule type="cellIs" dxfId="1" priority="323" operator="greaterThan">
      <formula>M39</formula>
    </cfRule>
  </conditionalFormatting>
  <conditionalFormatting sqref="N40">
    <cfRule type="cellIs" dxfId="1" priority="328" operator="greaterThan">
      <formula>M40</formula>
    </cfRule>
  </conditionalFormatting>
  <conditionalFormatting sqref="N54">
    <cfRule type="cellIs" dxfId="1" priority="333" operator="greaterThan">
      <formula>M54</formula>
    </cfRule>
  </conditionalFormatting>
  <conditionalFormatting sqref="N57">
    <cfRule type="cellIs" dxfId="1" priority="338" operator="greaterThan">
      <formula>M57</formula>
    </cfRule>
  </conditionalFormatting>
  <conditionalFormatting sqref="N8">
    <cfRule type="cellIs" dxfId="1" priority="207" operator="greaterThan">
      <formula>M8</formula>
    </cfRule>
  </conditionalFormatting>
  <conditionalFormatting sqref="N9">
    <cfRule type="cellIs" dxfId="1" priority="212" operator="greaterThan">
      <formula>M9</formula>
    </cfRule>
  </conditionalFormatting>
  <conditionalFormatting sqref="O10">
    <cfRule type="cellIs" dxfId="4" priority="220" operator="lessThanOrEqual">
      <formula>F10</formula>
    </cfRule>
  </conditionalFormatting>
  <conditionalFormatting sqref="O11">
    <cfRule type="cellIs" dxfId="4" priority="225" operator="lessThanOrEqual">
      <formula>F11</formula>
    </cfRule>
  </conditionalFormatting>
  <conditionalFormatting sqref="O12">
    <cfRule type="cellIs" dxfId="4" priority="231" operator="lessThanOrEqual">
      <formula>F12</formula>
    </cfRule>
  </conditionalFormatting>
  <conditionalFormatting sqref="O14">
    <cfRule type="cellIs" dxfId="4" priority="236" operator="lessThanOrEqual">
      <formula>F14</formula>
    </cfRule>
  </conditionalFormatting>
  <conditionalFormatting sqref="O16">
    <cfRule type="cellIs" dxfId="4" priority="241" operator="lessThanOrEqual">
      <formula>F16</formula>
    </cfRule>
  </conditionalFormatting>
  <conditionalFormatting sqref="O17">
    <cfRule type="cellIs" dxfId="4" priority="246" operator="lessThanOrEqual">
      <formula>F17</formula>
    </cfRule>
  </conditionalFormatting>
  <conditionalFormatting sqref="O20">
    <cfRule type="cellIs" dxfId="4" priority="251" operator="lessThanOrEqual">
      <formula>F20</formula>
    </cfRule>
  </conditionalFormatting>
  <conditionalFormatting sqref="O21">
    <cfRule type="cellIs" dxfId="4" priority="257" operator="lessThanOrEqual">
      <formula>F21</formula>
    </cfRule>
  </conditionalFormatting>
  <conditionalFormatting sqref="O22">
    <cfRule type="cellIs" dxfId="4" priority="262" operator="lessThanOrEqual">
      <formula>F22</formula>
    </cfRule>
  </conditionalFormatting>
  <conditionalFormatting sqref="O23">
    <cfRule type="cellIs" dxfId="4" priority="267" operator="lessThanOrEqual">
      <formula>F23</formula>
    </cfRule>
  </conditionalFormatting>
  <conditionalFormatting sqref="O24">
    <cfRule type="cellIs" dxfId="4" priority="272" operator="lessThanOrEqual">
      <formula>F24</formula>
    </cfRule>
  </conditionalFormatting>
  <conditionalFormatting sqref="O26">
    <cfRule type="cellIs" dxfId="4" priority="277" operator="lessThanOrEqual">
      <formula>F26</formula>
    </cfRule>
  </conditionalFormatting>
  <conditionalFormatting sqref="O27">
    <cfRule type="cellIs" dxfId="4" priority="282" operator="lessThanOrEqual">
      <formula>F27</formula>
    </cfRule>
  </conditionalFormatting>
  <conditionalFormatting sqref="O29">
    <cfRule type="cellIs" dxfId="4" priority="287" operator="lessThanOrEqual">
      <formula>F29</formula>
    </cfRule>
  </conditionalFormatting>
  <conditionalFormatting sqref="O30">
    <cfRule type="cellIs" dxfId="4" priority="292" operator="lessThanOrEqual">
      <formula>F30</formula>
    </cfRule>
  </conditionalFormatting>
  <conditionalFormatting sqref="O32">
    <cfRule type="cellIs" dxfId="4" priority="298" operator="lessThanOrEqual">
      <formula>F32</formula>
    </cfRule>
  </conditionalFormatting>
  <conditionalFormatting sqref="O33">
    <cfRule type="cellIs" dxfId="4" priority="303" operator="lessThanOrEqual">
      <formula>F33</formula>
    </cfRule>
  </conditionalFormatting>
  <conditionalFormatting sqref="O36">
    <cfRule type="cellIs" dxfId="4" priority="309" operator="lessThanOrEqual">
      <formula>F36</formula>
    </cfRule>
  </conditionalFormatting>
  <conditionalFormatting sqref="O37">
    <cfRule type="cellIs" dxfId="4" priority="314" operator="lessThanOrEqual">
      <formula>F37</formula>
    </cfRule>
  </conditionalFormatting>
  <conditionalFormatting sqref="O38">
    <cfRule type="cellIs" dxfId="4" priority="319" operator="lessThanOrEqual">
      <formula>F38</formula>
    </cfRule>
  </conditionalFormatting>
  <conditionalFormatting sqref="O39">
    <cfRule type="cellIs" dxfId="4" priority="325" operator="lessThanOrEqual">
      <formula>F39</formula>
    </cfRule>
  </conditionalFormatting>
  <conditionalFormatting sqref="O40">
    <cfRule type="cellIs" dxfId="4" priority="330" operator="lessThanOrEqual">
      <formula>F40</formula>
    </cfRule>
  </conditionalFormatting>
  <conditionalFormatting sqref="O54">
    <cfRule type="cellIs" dxfId="4" priority="335" operator="lessThanOrEqual">
      <formula>F54</formula>
    </cfRule>
  </conditionalFormatting>
  <conditionalFormatting sqref="O57">
    <cfRule type="cellIs" dxfId="4" priority="340" operator="lessThanOrEqual">
      <formula>F57</formula>
    </cfRule>
  </conditionalFormatting>
  <conditionalFormatting sqref="O8">
    <cfRule type="cellIs" dxfId="4" priority="209" operator="lessThanOrEqual">
      <formula>F8</formula>
    </cfRule>
  </conditionalFormatting>
  <conditionalFormatting sqref="O9">
    <cfRule type="cellIs" dxfId="4" priority="214" operator="lessThanOrEqual">
      <formula>F9</formula>
    </cfRule>
  </conditionalFormatting>
  <conditionalFormatting sqref="P10">
    <cfRule type="cellIs" dxfId="4" priority="219" operator="lessThanOrEqual">
      <formula>G10</formula>
    </cfRule>
  </conditionalFormatting>
  <conditionalFormatting sqref="P11">
    <cfRule type="cellIs" dxfId="4" priority="224" operator="lessThanOrEqual">
      <formula>G11</formula>
    </cfRule>
  </conditionalFormatting>
  <conditionalFormatting sqref="P12">
    <cfRule type="cellIs" dxfId="4" priority="230" operator="lessThanOrEqual">
      <formula>G12</formula>
    </cfRule>
  </conditionalFormatting>
  <conditionalFormatting sqref="P14">
    <cfRule type="cellIs" dxfId="4" priority="235" operator="lessThanOrEqual">
      <formula>G14</formula>
    </cfRule>
  </conditionalFormatting>
  <conditionalFormatting sqref="P16">
    <cfRule type="cellIs" dxfId="4" priority="240" operator="lessThanOrEqual">
      <formula>G16</formula>
    </cfRule>
  </conditionalFormatting>
  <conditionalFormatting sqref="P17">
    <cfRule type="cellIs" dxfId="4" priority="245" operator="lessThanOrEqual">
      <formula>G17</formula>
    </cfRule>
  </conditionalFormatting>
  <conditionalFormatting sqref="P20">
    <cfRule type="cellIs" dxfId="4" priority="250" operator="lessThanOrEqual">
      <formula>G20</formula>
    </cfRule>
  </conditionalFormatting>
  <conditionalFormatting sqref="P21">
    <cfRule type="cellIs" dxfId="4" priority="256" operator="lessThanOrEqual">
      <formula>G21</formula>
    </cfRule>
  </conditionalFormatting>
  <conditionalFormatting sqref="P22">
    <cfRule type="cellIs" dxfId="4" priority="261" operator="lessThanOrEqual">
      <formula>G22</formula>
    </cfRule>
  </conditionalFormatting>
  <conditionalFormatting sqref="P23">
    <cfRule type="cellIs" dxfId="4" priority="266" operator="lessThanOrEqual">
      <formula>G23</formula>
    </cfRule>
  </conditionalFormatting>
  <conditionalFormatting sqref="P24">
    <cfRule type="cellIs" dxfId="4" priority="271" operator="lessThanOrEqual">
      <formula>G24</formula>
    </cfRule>
  </conditionalFormatting>
  <conditionalFormatting sqref="P26">
    <cfRule type="cellIs" dxfId="4" priority="276" operator="lessThanOrEqual">
      <formula>G26</formula>
    </cfRule>
  </conditionalFormatting>
  <conditionalFormatting sqref="P27">
    <cfRule type="cellIs" dxfId="4" priority="281" operator="lessThanOrEqual">
      <formula>G27</formula>
    </cfRule>
  </conditionalFormatting>
  <conditionalFormatting sqref="P29">
    <cfRule type="cellIs" dxfId="4" priority="286" operator="lessThanOrEqual">
      <formula>G29</formula>
    </cfRule>
  </conditionalFormatting>
  <conditionalFormatting sqref="P30">
    <cfRule type="cellIs" dxfId="4" priority="291" operator="lessThanOrEqual">
      <formula>G30</formula>
    </cfRule>
  </conditionalFormatting>
  <conditionalFormatting sqref="P32">
    <cfRule type="cellIs" dxfId="4" priority="297" operator="lessThanOrEqual">
      <formula>G32</formula>
    </cfRule>
  </conditionalFormatting>
  <conditionalFormatting sqref="P33">
    <cfRule type="cellIs" dxfId="4" priority="302" operator="lessThanOrEqual">
      <formula>G33</formula>
    </cfRule>
  </conditionalFormatting>
  <conditionalFormatting sqref="P36">
    <cfRule type="cellIs" dxfId="4" priority="308" operator="lessThanOrEqual">
      <formula>G36</formula>
    </cfRule>
  </conditionalFormatting>
  <conditionalFormatting sqref="P37">
    <cfRule type="cellIs" dxfId="4" priority="313" operator="lessThanOrEqual">
      <formula>G37</formula>
    </cfRule>
  </conditionalFormatting>
  <conditionalFormatting sqref="P38">
    <cfRule type="cellIs" dxfId="4" priority="318" operator="lessThanOrEqual">
      <formula>G38</formula>
    </cfRule>
  </conditionalFormatting>
  <conditionalFormatting sqref="P39">
    <cfRule type="cellIs" dxfId="4" priority="324" operator="lessThanOrEqual">
      <formula>G39</formula>
    </cfRule>
  </conditionalFormatting>
  <conditionalFormatting sqref="P40">
    <cfRule type="cellIs" dxfId="4" priority="329" operator="lessThanOrEqual">
      <formula>G40</formula>
    </cfRule>
  </conditionalFormatting>
  <conditionalFormatting sqref="P54">
    <cfRule type="cellIs" dxfId="4" priority="334" operator="lessThanOrEqual">
      <formula>G54</formula>
    </cfRule>
  </conditionalFormatting>
  <conditionalFormatting sqref="P57">
    <cfRule type="cellIs" dxfId="4" priority="339" operator="lessThanOrEqual">
      <formula>G57</formula>
    </cfRule>
  </conditionalFormatting>
  <conditionalFormatting sqref="P8">
    <cfRule type="cellIs" dxfId="4" priority="208" operator="lessThanOrEqual">
      <formula>G8</formula>
    </cfRule>
  </conditionalFormatting>
  <conditionalFormatting sqref="P9">
    <cfRule type="cellIs" dxfId="4" priority="213" operator="lessThanOrEqual">
      <formula>G9</formula>
    </cfRule>
  </conditionalFormatting>
  <conditionalFormatting sqref="R11">
    <cfRule type="cellIs" dxfId="1" priority="341" operator="equal">
      <formula>0</formula>
    </cfRule>
    <cfRule type="cellIs" dxfId="2" priority="342" operator="lessThan">
      <formula>E11</formula>
    </cfRule>
  </conditionalFormatting>
  <conditionalFormatting sqref="R13">
    <cfRule type="cellIs" dxfId="1" priority="347" operator="equal">
      <formula>0</formula>
    </cfRule>
    <cfRule type="cellIs" dxfId="2" priority="348" operator="lessThan">
      <formula>E13</formula>
    </cfRule>
  </conditionalFormatting>
  <conditionalFormatting sqref="R14">
    <cfRule type="cellIs" dxfId="1" priority="353" operator="equal">
      <formula>0</formula>
    </cfRule>
    <cfRule type="cellIs" dxfId="2" priority="354" operator="lessThan">
      <formula>E14</formula>
    </cfRule>
  </conditionalFormatting>
  <conditionalFormatting sqref="R17">
    <cfRule type="cellIs" dxfId="1" priority="359" operator="equal">
      <formula>0</formula>
    </cfRule>
    <cfRule type="cellIs" dxfId="2" priority="360" operator="lessThan">
      <formula>E17</formula>
    </cfRule>
  </conditionalFormatting>
  <conditionalFormatting sqref="R20">
    <cfRule type="cellIs" dxfId="1" priority="365" operator="equal">
      <formula>0</formula>
    </cfRule>
    <cfRule type="cellIs" dxfId="2" priority="366" operator="lessThan">
      <formula>E20</formula>
    </cfRule>
  </conditionalFormatting>
  <conditionalFormatting sqref="R21">
    <cfRule type="cellIs" dxfId="1" priority="371" operator="equal">
      <formula>0</formula>
    </cfRule>
    <cfRule type="cellIs" dxfId="2" priority="372" operator="lessThan">
      <formula>E21</formula>
    </cfRule>
  </conditionalFormatting>
  <conditionalFormatting sqref="R22">
    <cfRule type="cellIs" dxfId="1" priority="377" operator="equal">
      <formula>0</formula>
    </cfRule>
    <cfRule type="cellIs" dxfId="2" priority="378" operator="lessThan">
      <formula>E22</formula>
    </cfRule>
  </conditionalFormatting>
  <conditionalFormatting sqref="R23">
    <cfRule type="cellIs" dxfId="1" priority="383" operator="equal">
      <formula>0</formula>
    </cfRule>
    <cfRule type="cellIs" dxfId="2" priority="384" operator="lessThan">
      <formula>E23</formula>
    </cfRule>
  </conditionalFormatting>
  <conditionalFormatting sqref="R24">
    <cfRule type="cellIs" dxfId="1" priority="389" operator="equal">
      <formula>0</formula>
    </cfRule>
    <cfRule type="cellIs" dxfId="2" priority="390" operator="lessThan">
      <formula>E24</formula>
    </cfRule>
  </conditionalFormatting>
  <conditionalFormatting sqref="R26">
    <cfRule type="cellIs" dxfId="1" priority="394" operator="equal">
      <formula>0</formula>
    </cfRule>
    <cfRule type="cellIs" dxfId="2" priority="395" operator="lessThan">
      <formula>E26</formula>
    </cfRule>
  </conditionalFormatting>
  <conditionalFormatting sqref="R27">
    <cfRule type="cellIs" dxfId="1" priority="400" operator="equal">
      <formula>0</formula>
    </cfRule>
    <cfRule type="cellIs" dxfId="2" priority="401" operator="lessThan">
      <formula>E27</formula>
    </cfRule>
  </conditionalFormatting>
  <conditionalFormatting sqref="S11">
    <cfRule type="expression" dxfId="3" priority="343">
      <formula>AND(S11&gt;0,S11&lt;10000)</formula>
    </cfRule>
    <cfRule type="cellIs" dxfId="1" priority="344" operator="greaterThan">
      <formula>R11</formula>
    </cfRule>
  </conditionalFormatting>
  <conditionalFormatting sqref="S13">
    <cfRule type="expression" dxfId="3" priority="349">
      <formula>AND(S13&gt;0,S13&lt;10)</formula>
    </cfRule>
    <cfRule type="cellIs" dxfId="1" priority="350" operator="greaterThan">
      <formula>R13</formula>
    </cfRule>
  </conditionalFormatting>
  <conditionalFormatting sqref="S14">
    <cfRule type="expression" dxfId="3" priority="355">
      <formula>AND(S14&gt;0,S14&lt;10)</formula>
    </cfRule>
    <cfRule type="cellIs" dxfId="1" priority="356" operator="greaterThan">
      <formula>R14</formula>
    </cfRule>
  </conditionalFormatting>
  <conditionalFormatting sqref="S17">
    <cfRule type="expression" dxfId="3" priority="361">
      <formula>AND(S17&gt;0,S17&lt;10)</formula>
    </cfRule>
    <cfRule type="cellIs" dxfId="1" priority="362" operator="greaterThan">
      <formula>R17</formula>
    </cfRule>
  </conditionalFormatting>
  <conditionalFormatting sqref="S20">
    <cfRule type="expression" dxfId="3" priority="367">
      <formula>AND(S20&gt;0,S20&lt;10)</formula>
    </cfRule>
    <cfRule type="cellIs" dxfId="1" priority="368" operator="greaterThan">
      <formula>R20</formula>
    </cfRule>
  </conditionalFormatting>
  <conditionalFormatting sqref="S21">
    <cfRule type="expression" dxfId="3" priority="373">
      <formula>AND(S21&gt;0,S21&lt;10000)</formula>
    </cfRule>
    <cfRule type="cellIs" dxfId="1" priority="374" operator="greaterThan">
      <formula>R21</formula>
    </cfRule>
  </conditionalFormatting>
  <conditionalFormatting sqref="S22">
    <cfRule type="expression" dxfId="3" priority="379">
      <formula>AND(S22&gt;0,S22&lt;15000)</formula>
    </cfRule>
    <cfRule type="cellIs" dxfId="1" priority="380" operator="greaterThan">
      <formula>R22</formula>
    </cfRule>
  </conditionalFormatting>
  <conditionalFormatting sqref="S23">
    <cfRule type="expression" dxfId="3" priority="385">
      <formula>AND(S23&gt;0,S23&lt;15000)</formula>
    </cfRule>
    <cfRule type="cellIs" dxfId="1" priority="386" operator="greaterThan">
      <formula>R23</formula>
    </cfRule>
  </conditionalFormatting>
  <conditionalFormatting sqref="S24">
    <cfRule type="cellIs" dxfId="1" priority="391" operator="greaterThan">
      <formula>R24</formula>
    </cfRule>
  </conditionalFormatting>
  <conditionalFormatting sqref="S26">
    <cfRule type="expression" dxfId="3" priority="396">
      <formula>AND(S26&gt;0,S26&lt;5)</formula>
    </cfRule>
    <cfRule type="cellIs" dxfId="1" priority="397" operator="greaterThan">
      <formula>R26</formula>
    </cfRule>
  </conditionalFormatting>
  <conditionalFormatting sqref="S27">
    <cfRule type="expression" dxfId="3" priority="402">
      <formula>AND(S27&gt;0,S27&lt;5)</formula>
    </cfRule>
    <cfRule type="cellIs" dxfId="1" priority="403" operator="greaterThan">
      <formula>R27</formula>
    </cfRule>
  </conditionalFormatting>
  <conditionalFormatting sqref="T11">
    <cfRule type="cellIs" dxfId="4" priority="346" operator="lessThanOrEqual">
      <formula>F11</formula>
    </cfRule>
  </conditionalFormatting>
  <conditionalFormatting sqref="T13">
    <cfRule type="cellIs" dxfId="4" priority="352" operator="lessThanOrEqual">
      <formula>F13</formula>
    </cfRule>
  </conditionalFormatting>
  <conditionalFormatting sqref="T14">
    <cfRule type="cellIs" dxfId="4" priority="358" operator="lessThanOrEqual">
      <formula>F14</formula>
    </cfRule>
  </conditionalFormatting>
  <conditionalFormatting sqref="T17">
    <cfRule type="cellIs" dxfId="4" priority="364" operator="lessThanOrEqual">
      <formula>F17</formula>
    </cfRule>
  </conditionalFormatting>
  <conditionalFormatting sqref="T20">
    <cfRule type="cellIs" dxfId="4" priority="370" operator="lessThanOrEqual">
      <formula>F20</formula>
    </cfRule>
  </conditionalFormatting>
  <conditionalFormatting sqref="T21">
    <cfRule type="cellIs" dxfId="4" priority="376" operator="lessThanOrEqual">
      <formula>F21</formula>
    </cfRule>
  </conditionalFormatting>
  <conditionalFormatting sqref="T22">
    <cfRule type="cellIs" dxfId="4" priority="382" operator="lessThanOrEqual">
      <formula>F22</formula>
    </cfRule>
  </conditionalFormatting>
  <conditionalFormatting sqref="T23">
    <cfRule type="cellIs" dxfId="4" priority="388" operator="lessThanOrEqual">
      <formula>F23</formula>
    </cfRule>
  </conditionalFormatting>
  <conditionalFormatting sqref="T24">
    <cfRule type="cellIs" dxfId="4" priority="393" operator="lessThanOrEqual">
      <formula>F24</formula>
    </cfRule>
  </conditionalFormatting>
  <conditionalFormatting sqref="T26">
    <cfRule type="cellIs" dxfId="4" priority="399" operator="lessThanOrEqual">
      <formula>F26</formula>
    </cfRule>
  </conditionalFormatting>
  <conditionalFormatting sqref="T27">
    <cfRule type="cellIs" dxfId="4" priority="405" operator="lessThanOrEqual">
      <formula>F27</formula>
    </cfRule>
  </conditionalFormatting>
  <conditionalFormatting sqref="U11">
    <cfRule type="cellIs" dxfId="4" priority="345" operator="lessThanOrEqual">
      <formula>G11</formula>
    </cfRule>
  </conditionalFormatting>
  <conditionalFormatting sqref="U13">
    <cfRule type="cellIs" dxfId="4" priority="351" operator="lessThanOrEqual">
      <formula>G13</formula>
    </cfRule>
  </conditionalFormatting>
  <conditionalFormatting sqref="U14">
    <cfRule type="cellIs" dxfId="4" priority="357" operator="lessThanOrEqual">
      <formula>G14</formula>
    </cfRule>
  </conditionalFormatting>
  <conditionalFormatting sqref="U17">
    <cfRule type="cellIs" dxfId="4" priority="363" operator="lessThanOrEqual">
      <formula>G17</formula>
    </cfRule>
  </conditionalFormatting>
  <conditionalFormatting sqref="U20">
    <cfRule type="cellIs" dxfId="4" priority="369" operator="lessThanOrEqual">
      <formula>G20</formula>
    </cfRule>
  </conditionalFormatting>
  <conditionalFormatting sqref="U21">
    <cfRule type="cellIs" dxfId="4" priority="375" operator="lessThanOrEqual">
      <formula>G21</formula>
    </cfRule>
  </conditionalFormatting>
  <conditionalFormatting sqref="U22">
    <cfRule type="cellIs" dxfId="4" priority="381" operator="lessThanOrEqual">
      <formula>G22</formula>
    </cfRule>
  </conditionalFormatting>
  <conditionalFormatting sqref="U23">
    <cfRule type="cellIs" dxfId="4" priority="387" operator="lessThanOrEqual">
      <formula>G23</formula>
    </cfRule>
  </conditionalFormatting>
  <conditionalFormatting sqref="U24">
    <cfRule type="cellIs" dxfId="4" priority="392" operator="lessThanOrEqual">
      <formula>G24</formula>
    </cfRule>
  </conditionalFormatting>
  <conditionalFormatting sqref="U26">
    <cfRule type="cellIs" dxfId="4" priority="398" operator="lessThanOrEqual">
      <formula>G26</formula>
    </cfRule>
  </conditionalFormatting>
  <conditionalFormatting sqref="U27">
    <cfRule type="cellIs" dxfId="4" priority="404" operator="lessThanOrEqual">
      <formula>G27</formula>
    </cfRule>
  </conditionalFormatting>
  <conditionalFormatting sqref="W17">
    <cfRule type="cellIs" dxfId="1" priority="406" operator="equal">
      <formula>0</formula>
    </cfRule>
    <cfRule type="cellIs" dxfId="2" priority="407" operator="lessThan">
      <formula>E17</formula>
    </cfRule>
  </conditionalFormatting>
  <conditionalFormatting sqref="W32">
    <cfRule type="cellIs" dxfId="1" priority="412" operator="equal">
      <formula>0</formula>
    </cfRule>
    <cfRule type="cellIs" dxfId="2" priority="413" operator="lessThan">
      <formula>E32</formula>
    </cfRule>
  </conditionalFormatting>
  <conditionalFormatting sqref="W36">
    <cfRule type="cellIs" dxfId="1" priority="418" operator="equal">
      <formula>0</formula>
    </cfRule>
    <cfRule type="cellIs" dxfId="2" priority="419" operator="lessThan">
      <formula>E36</formula>
    </cfRule>
  </conditionalFormatting>
  <conditionalFormatting sqref="W54">
    <cfRule type="cellIs" dxfId="1" priority="424" operator="equal">
      <formula>0</formula>
    </cfRule>
    <cfRule type="cellIs" dxfId="2" priority="425" operator="lessThan">
      <formula>E54</formula>
    </cfRule>
  </conditionalFormatting>
  <conditionalFormatting sqref="X17">
    <cfRule type="expression" dxfId="3" priority="408">
      <formula>AND(X17&gt;0,X17&lt;100)</formula>
    </cfRule>
    <cfRule type="cellIs" dxfId="1" priority="409" operator="greaterThan">
      <formula>W17</formula>
    </cfRule>
  </conditionalFormatting>
  <conditionalFormatting sqref="X32">
    <cfRule type="expression" dxfId="3" priority="414">
      <formula>AND(X32&gt;0,X32&lt;10)</formula>
    </cfRule>
    <cfRule type="cellIs" dxfId="1" priority="415" operator="greaterThan">
      <formula>W32</formula>
    </cfRule>
  </conditionalFormatting>
  <conditionalFormatting sqref="X36">
    <cfRule type="expression" dxfId="3" priority="420">
      <formula>AND(X36&gt;0,X36&lt;10)</formula>
    </cfRule>
    <cfRule type="cellIs" dxfId="1" priority="421" operator="greaterThan">
      <formula>W36</formula>
    </cfRule>
  </conditionalFormatting>
  <conditionalFormatting sqref="X54">
    <cfRule type="cellIs" dxfId="1" priority="426" operator="greaterThan">
      <formula>W54</formula>
    </cfRule>
  </conditionalFormatting>
  <conditionalFormatting sqref="Y17">
    <cfRule type="cellIs" dxfId="4" priority="411" operator="lessThanOrEqual">
      <formula>F17</formula>
    </cfRule>
  </conditionalFormatting>
  <conditionalFormatting sqref="Y32">
    <cfRule type="cellIs" dxfId="4" priority="417" operator="lessThanOrEqual">
      <formula>F32</formula>
    </cfRule>
  </conditionalFormatting>
  <conditionalFormatting sqref="Y36">
    <cfRule type="cellIs" dxfId="4" priority="423" operator="lessThanOrEqual">
      <formula>F36</formula>
    </cfRule>
  </conditionalFormatting>
  <conditionalFormatting sqref="Y54">
    <cfRule type="cellIs" dxfId="4" priority="428" operator="lessThanOrEqual">
      <formula>F54</formula>
    </cfRule>
  </conditionalFormatting>
  <conditionalFormatting sqref="Z17">
    <cfRule type="cellIs" dxfId="4" priority="410" operator="lessThanOrEqual">
      <formula>G17</formula>
    </cfRule>
  </conditionalFormatting>
  <conditionalFormatting sqref="Z32">
    <cfRule type="cellIs" dxfId="4" priority="416" operator="lessThanOrEqual">
      <formula>G32</formula>
    </cfRule>
  </conditionalFormatting>
  <conditionalFormatting sqref="Z36">
    <cfRule type="cellIs" dxfId="4" priority="422" operator="lessThanOrEqual">
      <formula>G36</formula>
    </cfRule>
  </conditionalFormatting>
  <conditionalFormatting sqref="Z54">
    <cfRule type="cellIs" dxfId="4" priority="427" operator="lessThanOrEqual">
      <formula>G54</formula>
    </cfRule>
  </conditionalFormatting>
  <hyperlinks>
    <hyperlink ref="D8" r:id="rId1"/>
    <hyperlink ref="Q8" r:id="rId2"/>
    <hyperlink ref="AF8" r:id="rId3"/>
    <hyperlink ref="D9" r:id="rId4"/>
    <hyperlink ref="Q9" r:id="rId5"/>
    <hyperlink ref="D10" r:id="rId6"/>
    <hyperlink ref="Q10" r:id="rId7"/>
    <hyperlink ref="AF10" r:id="rId8"/>
    <hyperlink ref="D11" r:id="rId9"/>
    <hyperlink ref="Q11" r:id="rId10"/>
    <hyperlink ref="V11" r:id="rId11"/>
    <hyperlink ref="AF11" r:id="rId12"/>
    <hyperlink ref="AK11" r:id="rId13"/>
    <hyperlink ref="D12" r:id="rId14"/>
    <hyperlink ref="Q12" r:id="rId15"/>
    <hyperlink ref="AF12" r:id="rId16"/>
    <hyperlink ref="V13" r:id="rId17"/>
    <hyperlink ref="AF13" r:id="rId18"/>
    <hyperlink ref="AK13" r:id="rId19"/>
    <hyperlink ref="D14" r:id="rId20"/>
    <hyperlink ref="Q14" r:id="rId21"/>
    <hyperlink ref="V14" r:id="rId22"/>
    <hyperlink ref="AF14" r:id="rId23"/>
    <hyperlink ref="AK14" r:id="rId24"/>
    <hyperlink ref="AU14" r:id="rId25"/>
    <hyperlink ref="Q16" r:id="rId26"/>
    <hyperlink ref="AF16" r:id="rId27"/>
    <hyperlink ref="D17" r:id="rId28"/>
    <hyperlink ref="Q17" r:id="rId29"/>
    <hyperlink ref="V17" r:id="rId30"/>
    <hyperlink ref="AA17" r:id="rId31"/>
    <hyperlink ref="AF17" r:id="rId32"/>
    <hyperlink ref="AK17" r:id="rId33"/>
    <hyperlink ref="AP17" r:id="rId34"/>
    <hyperlink ref="AU17" r:id="rId35"/>
    <hyperlink ref="D20" r:id="rId36"/>
    <hyperlink ref="Q20" r:id="rId37"/>
    <hyperlink ref="V20" r:id="rId38"/>
    <hyperlink ref="AF20" r:id="rId39"/>
    <hyperlink ref="AK20" r:id="rId40"/>
    <hyperlink ref="AP20" r:id="rId41"/>
    <hyperlink ref="AU20" r:id="rId42"/>
    <hyperlink ref="D21" r:id="rId43"/>
    <hyperlink ref="Q21" r:id="rId44"/>
    <hyperlink ref="V21" r:id="rId45"/>
    <hyperlink ref="AF21" r:id="rId46"/>
    <hyperlink ref="AK21" r:id="rId47"/>
    <hyperlink ref="D22" r:id="rId48"/>
    <hyperlink ref="Q22" r:id="rId49"/>
    <hyperlink ref="V22" r:id="rId50"/>
    <hyperlink ref="AF22" r:id="rId51"/>
    <hyperlink ref="AK22" r:id="rId52"/>
    <hyperlink ref="AP22" r:id="rId53"/>
    <hyperlink ref="D23" r:id="rId54"/>
    <hyperlink ref="Q23" r:id="rId55"/>
    <hyperlink ref="V23" r:id="rId56"/>
    <hyperlink ref="AF23" r:id="rId57"/>
    <hyperlink ref="AK23" r:id="rId58"/>
    <hyperlink ref="AP23" r:id="rId59"/>
    <hyperlink ref="D24" r:id="rId60"/>
    <hyperlink ref="Q24" r:id="rId61"/>
    <hyperlink ref="V24" r:id="rId62"/>
    <hyperlink ref="AF24" r:id="rId63"/>
    <hyperlink ref="AK24" r:id="rId64"/>
    <hyperlink ref="D26" r:id="rId65"/>
    <hyperlink ref="Q26" r:id="rId66"/>
    <hyperlink ref="V26" r:id="rId67"/>
    <hyperlink ref="AF26" r:id="rId68"/>
    <hyperlink ref="AK26" r:id="rId69"/>
    <hyperlink ref="AP26" r:id="rId70"/>
    <hyperlink ref="D27" r:id="rId71"/>
    <hyperlink ref="Q27" r:id="rId72"/>
    <hyperlink ref="V27" r:id="rId73"/>
    <hyperlink ref="AF27" r:id="rId74"/>
    <hyperlink ref="AK27" r:id="rId75"/>
    <hyperlink ref="AP27" r:id="rId76"/>
    <hyperlink ref="Q29" r:id="rId77"/>
    <hyperlink ref="AF29" r:id="rId78"/>
    <hyperlink ref="Q30" r:id="rId79"/>
    <hyperlink ref="AF30" r:id="rId80"/>
    <hyperlink ref="D32" r:id="rId81"/>
    <hyperlink ref="Q32" r:id="rId82"/>
    <hyperlink ref="AA32" r:id="rId83"/>
    <hyperlink ref="AF32" r:id="rId84"/>
    <hyperlink ref="D33" r:id="rId85"/>
    <hyperlink ref="Q33" r:id="rId86"/>
    <hyperlink ref="AF33" r:id="rId87"/>
    <hyperlink ref="AK33" r:id="rId88"/>
    <hyperlink ref="D34" r:id="rId89"/>
    <hyperlink ref="AF34" r:id="rId90"/>
    <hyperlink ref="D35" r:id="rId91"/>
    <hyperlink ref="AF35" r:id="rId92"/>
    <hyperlink ref="D36" r:id="rId93"/>
    <hyperlink ref="Q36" r:id="rId94"/>
    <hyperlink ref="AA36" r:id="rId95"/>
    <hyperlink ref="AF36" r:id="rId96"/>
    <hyperlink ref="D37" r:id="rId97"/>
    <hyperlink ref="Q37" r:id="rId98"/>
    <hyperlink ref="AF37" r:id="rId99"/>
    <hyperlink ref="AK37" r:id="rId100"/>
    <hyperlink ref="D38" r:id="rId101"/>
    <hyperlink ref="Q38" r:id="rId102"/>
    <hyperlink ref="AF38" r:id="rId103"/>
    <hyperlink ref="AK38" r:id="rId104"/>
    <hyperlink ref="AU38" r:id="rId105"/>
    <hyperlink ref="D39" r:id="rId106"/>
    <hyperlink ref="Q39" r:id="rId107"/>
    <hyperlink ref="AF39" r:id="rId108"/>
    <hyperlink ref="D40" r:id="rId109"/>
    <hyperlink ref="Q40" r:id="rId110"/>
    <hyperlink ref="AF40" r:id="rId111"/>
    <hyperlink ref="AK40" r:id="rId112"/>
    <hyperlink ref="Q54" r:id="rId113"/>
    <hyperlink ref="AA54" r:id="rId114"/>
    <hyperlink ref="AF54" r:id="rId115"/>
    <hyperlink ref="D57" r:id="rId116"/>
    <hyperlink ref="Q57" r:id="rId117"/>
    <hyperlink ref="AF57" r:id="rId118"/>
  </hyperlinks>
  <pageMargins left="0.7" right="0.7" top="0.75" bottom="0.75" header="0.3" footer="0.3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EV01.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2020-04-28T06:39:09Z</dcterms:created>
  <dcterms:modified xsi:type="dcterms:W3CDTF">2020-04-28T06:39:09Z</dcterms:modified>
</cp:coreProperties>
</file>