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8" windowWidth="14640" windowHeight="7536" tabRatio="874" activeTab="4"/>
  </bookViews>
  <sheets>
    <sheet name="Report Summary" sheetId="23" r:id="rId1"/>
    <sheet name="Report Calculations Summary" sheetId="24" r:id="rId2"/>
    <sheet name="Summary Report" sheetId="8" r:id="rId3"/>
    <sheet name="Ad Viewership Detail" sheetId="25" r:id="rId4"/>
    <sheet name="Ad Vwrship Summary (Mult Prog)" sheetId="4" r:id="rId5"/>
    <sheet name="Ad Viewership Summary (1 Prog)" sheetId="18" r:id="rId6"/>
    <sheet name="Ad Viewership Log" sheetId="6" state="hidden" r:id="rId7"/>
    <sheet name="Ad Viewrship Log (Mult Prog)" sheetId="19" state="hidden" r:id="rId8"/>
    <sheet name="Campaign Summary (Mult Prog)" sheetId="21" r:id="rId9"/>
    <sheet name="Campaign Summary" sheetId="13" r:id="rId10"/>
    <sheet name="Campaign PoP (Prog View)" sheetId="14" r:id="rId11"/>
    <sheet name="Campaign PoP (Advertiser View)" sheetId="22" r:id="rId12"/>
  </sheets>
  <calcPr calcId="145621"/>
</workbook>
</file>

<file path=xl/calcChain.xml><?xml version="1.0" encoding="utf-8"?>
<calcChain xmlns="http://schemas.openxmlformats.org/spreadsheetml/2006/main">
  <c r="E30" i="22" l="1"/>
  <c r="E26" i="22"/>
  <c r="E22" i="22"/>
  <c r="E18" i="22"/>
  <c r="E14" i="22"/>
  <c r="D31" i="14"/>
  <c r="D32" i="14" s="1"/>
  <c r="C30" i="14"/>
  <c r="D27" i="14"/>
  <c r="D28" i="14" s="1"/>
  <c r="D23" i="14"/>
  <c r="D24" i="14" s="1"/>
  <c r="D19" i="14"/>
  <c r="D20" i="14" s="1"/>
  <c r="D15" i="14"/>
  <c r="C18" i="14" s="1"/>
  <c r="C14" i="14"/>
  <c r="L23" i="13"/>
  <c r="J23" i="13"/>
  <c r="N22" i="13"/>
  <c r="O22" i="13" s="1"/>
  <c r="K22" i="13"/>
  <c r="I22" i="13"/>
  <c r="N21" i="13"/>
  <c r="O21" i="13" s="1"/>
  <c r="R21" i="13" s="1"/>
  <c r="K21" i="13"/>
  <c r="I21" i="13"/>
  <c r="N20" i="13"/>
  <c r="K20" i="13"/>
  <c r="I20" i="13"/>
  <c r="E20" i="13"/>
  <c r="N19" i="13"/>
  <c r="O19" i="13" s="1"/>
  <c r="K19" i="13"/>
  <c r="I19" i="13"/>
  <c r="D19" i="13" s="1"/>
  <c r="E19" i="13"/>
  <c r="C19" i="13" s="1"/>
  <c r="N18" i="13"/>
  <c r="O18" i="13" s="1"/>
  <c r="Y18" i="13" s="1"/>
  <c r="K18" i="13"/>
  <c r="I18" i="13"/>
  <c r="N17" i="13"/>
  <c r="O17" i="13" s="1"/>
  <c r="K17" i="13"/>
  <c r="I17" i="13"/>
  <c r="N16" i="13"/>
  <c r="O16" i="13" s="1"/>
  <c r="K16" i="13"/>
  <c r="I16" i="13"/>
  <c r="N15" i="13"/>
  <c r="O15" i="13" s="1"/>
  <c r="Y15" i="13" s="1"/>
  <c r="K15" i="13"/>
  <c r="I15" i="13"/>
  <c r="E15" i="13"/>
  <c r="C15" i="13" s="1"/>
  <c r="N14" i="13"/>
  <c r="O14" i="13" s="1"/>
  <c r="P14" i="13" s="1"/>
  <c r="K14" i="13"/>
  <c r="I14" i="13"/>
  <c r="N13" i="13"/>
  <c r="O13" i="13" s="1"/>
  <c r="P13" i="13" s="1"/>
  <c r="K13" i="13"/>
  <c r="I13" i="13"/>
  <c r="E13" i="13"/>
  <c r="C13" i="13" s="1"/>
  <c r="M22" i="21"/>
  <c r="K22" i="21"/>
  <c r="O21" i="21"/>
  <c r="P21" i="21" s="1"/>
  <c r="Z21" i="21" s="1"/>
  <c r="L21" i="21"/>
  <c r="J21" i="21"/>
  <c r="O20" i="21"/>
  <c r="P20" i="21" s="1"/>
  <c r="L20" i="21"/>
  <c r="J20" i="21"/>
  <c r="O19" i="21"/>
  <c r="P19" i="21" s="1"/>
  <c r="Z19" i="21" s="1"/>
  <c r="AB19" i="21" s="1"/>
  <c r="L19" i="21"/>
  <c r="J19" i="21"/>
  <c r="F19" i="21"/>
  <c r="F22" i="21" s="1"/>
  <c r="O18" i="21"/>
  <c r="P18" i="21" s="1"/>
  <c r="R18" i="21" s="1"/>
  <c r="L18" i="21"/>
  <c r="J18" i="21"/>
  <c r="E18" i="21" s="1"/>
  <c r="F18" i="21"/>
  <c r="D18" i="21" s="1"/>
  <c r="O17" i="21"/>
  <c r="P17" i="21" s="1"/>
  <c r="L17" i="21"/>
  <c r="J17" i="21"/>
  <c r="O16" i="21"/>
  <c r="P16" i="21" s="1"/>
  <c r="S16" i="21" s="1"/>
  <c r="L16" i="21"/>
  <c r="J16" i="21"/>
  <c r="O15" i="21"/>
  <c r="P15" i="21" s="1"/>
  <c r="L15" i="21"/>
  <c r="J15" i="21"/>
  <c r="O14" i="21"/>
  <c r="P14" i="21" s="1"/>
  <c r="S14" i="21" s="1"/>
  <c r="L14" i="21"/>
  <c r="J14" i="21"/>
  <c r="F14" i="21"/>
  <c r="D14" i="21" s="1"/>
  <c r="O13" i="21"/>
  <c r="P13" i="21" s="1"/>
  <c r="L13" i="21"/>
  <c r="J13" i="21"/>
  <c r="O12" i="21"/>
  <c r="P12" i="21" s="1"/>
  <c r="L12" i="21"/>
  <c r="J12" i="21"/>
  <c r="F12" i="21"/>
  <c r="D12" i="21" s="1"/>
  <c r="L19" i="19"/>
  <c r="L18" i="19"/>
  <c r="L17" i="19"/>
  <c r="L16" i="19"/>
  <c r="L15" i="19"/>
  <c r="C15" i="19"/>
  <c r="C16" i="19" s="1"/>
  <c r="C17" i="19" s="1"/>
  <c r="C18" i="19" s="1"/>
  <c r="L14" i="19"/>
  <c r="C14" i="19"/>
  <c r="B14" i="19"/>
  <c r="B15" i="19" s="1"/>
  <c r="B16" i="19" s="1"/>
  <c r="B17" i="19" s="1"/>
  <c r="B18" i="19" s="1"/>
  <c r="L13" i="19"/>
  <c r="K19" i="6"/>
  <c r="B19" i="6"/>
  <c r="K18" i="6"/>
  <c r="K17" i="6"/>
  <c r="K16" i="6"/>
  <c r="C16" i="6"/>
  <c r="C17" i="6" s="1"/>
  <c r="C18" i="6" s="1"/>
  <c r="C19" i="6" s="1"/>
  <c r="K15" i="6"/>
  <c r="C15" i="6"/>
  <c r="B15" i="6"/>
  <c r="B16" i="6" s="1"/>
  <c r="B17" i="6" s="1"/>
  <c r="B18" i="6" s="1"/>
  <c r="K14" i="6"/>
  <c r="K20" i="6" s="1"/>
  <c r="H39" i="18"/>
  <c r="F39" i="18"/>
  <c r="J38" i="18"/>
  <c r="H38" i="18"/>
  <c r="G38" i="18"/>
  <c r="F38" i="18"/>
  <c r="N37" i="18"/>
  <c r="N38" i="18" s="1"/>
  <c r="K37" i="18"/>
  <c r="K38" i="18" s="1"/>
  <c r="J37" i="18"/>
  <c r="G37" i="18"/>
  <c r="E37" i="18"/>
  <c r="E38" i="18" s="1"/>
  <c r="N36" i="18"/>
  <c r="J36" i="18"/>
  <c r="H36" i="18"/>
  <c r="F36" i="18"/>
  <c r="N35" i="18"/>
  <c r="M35" i="18"/>
  <c r="M36" i="18" s="1"/>
  <c r="L35" i="18"/>
  <c r="L36" i="18" s="1"/>
  <c r="I36" i="18" s="1"/>
  <c r="J35" i="18"/>
  <c r="K35" i="18" s="1"/>
  <c r="K36" i="18" s="1"/>
  <c r="G35" i="18"/>
  <c r="E35" i="18"/>
  <c r="E36" i="18" s="1"/>
  <c r="H34" i="18"/>
  <c r="G34" i="18"/>
  <c r="F34" i="18"/>
  <c r="J33" i="18"/>
  <c r="J34" i="18" s="1"/>
  <c r="G33" i="18"/>
  <c r="E33" i="18"/>
  <c r="E34" i="18" s="1"/>
  <c r="H32" i="18"/>
  <c r="F32" i="18"/>
  <c r="J31" i="18"/>
  <c r="G31" i="18"/>
  <c r="E31" i="18"/>
  <c r="E32" i="18" s="1"/>
  <c r="U30" i="18"/>
  <c r="P30" i="18"/>
  <c r="M30" i="18"/>
  <c r="H30" i="18"/>
  <c r="G30" i="18" s="1"/>
  <c r="F30" i="18"/>
  <c r="U29" i="18"/>
  <c r="Q29" i="18"/>
  <c r="Q30" i="18" s="1"/>
  <c r="P29" i="18"/>
  <c r="M29" i="18"/>
  <c r="L29" i="18"/>
  <c r="K29" i="18"/>
  <c r="K30" i="18" s="1"/>
  <c r="J29" i="18"/>
  <c r="J30" i="18" s="1"/>
  <c r="G29" i="18"/>
  <c r="E29" i="18"/>
  <c r="E30" i="18" s="1"/>
  <c r="H26" i="18"/>
  <c r="F26" i="18"/>
  <c r="J25" i="18"/>
  <c r="G25" i="18"/>
  <c r="E25" i="18"/>
  <c r="U24" i="18"/>
  <c r="P24" i="18"/>
  <c r="M24" i="18"/>
  <c r="H24" i="18"/>
  <c r="G24" i="18" s="1"/>
  <c r="F24" i="18"/>
  <c r="U23" i="18"/>
  <c r="Q23" i="18"/>
  <c r="Q24" i="18" s="1"/>
  <c r="P23" i="18"/>
  <c r="M23" i="18"/>
  <c r="L23" i="18"/>
  <c r="L24" i="18" s="1"/>
  <c r="K23" i="18"/>
  <c r="K24" i="18" s="1"/>
  <c r="J23" i="18"/>
  <c r="J24" i="18" s="1"/>
  <c r="G23" i="18"/>
  <c r="E23" i="18"/>
  <c r="E24" i="18" s="1"/>
  <c r="K22" i="18"/>
  <c r="H22" i="18"/>
  <c r="G22" i="18"/>
  <c r="F22" i="18"/>
  <c r="K21" i="18"/>
  <c r="J21" i="18"/>
  <c r="J22" i="18" s="1"/>
  <c r="G21" i="18"/>
  <c r="E21" i="18"/>
  <c r="E22" i="18" s="1"/>
  <c r="U18" i="18"/>
  <c r="P18" i="18"/>
  <c r="P19" i="18" s="1"/>
  <c r="H18" i="18"/>
  <c r="F18" i="18"/>
  <c r="U17" i="18"/>
  <c r="Q17" i="18"/>
  <c r="P17" i="18"/>
  <c r="M17" i="18"/>
  <c r="L17" i="18"/>
  <c r="K17" i="18"/>
  <c r="J17" i="18"/>
  <c r="G17" i="18"/>
  <c r="E17" i="18"/>
  <c r="E18" i="18" s="1"/>
  <c r="E19" i="18" s="1"/>
  <c r="E20" i="18" s="1"/>
  <c r="J15" i="18"/>
  <c r="J16" i="18" s="1"/>
  <c r="H15" i="18"/>
  <c r="H16" i="18" s="1"/>
  <c r="F15" i="18"/>
  <c r="F16" i="18" s="1"/>
  <c r="N14" i="18"/>
  <c r="N15" i="18" s="1"/>
  <c r="K14" i="18"/>
  <c r="K15" i="18" s="1"/>
  <c r="K16" i="18" s="1"/>
  <c r="J14" i="18"/>
  <c r="G14" i="18"/>
  <c r="E14" i="18"/>
  <c r="I38" i="4"/>
  <c r="G38" i="4"/>
  <c r="I37" i="4"/>
  <c r="H37" i="4" s="1"/>
  <c r="G37" i="4"/>
  <c r="V36" i="4"/>
  <c r="Y36" i="4" s="1"/>
  <c r="Y37" i="4" s="1"/>
  <c r="Q36" i="4"/>
  <c r="Q37" i="4" s="1"/>
  <c r="N36" i="4"/>
  <c r="N37" i="4" s="1"/>
  <c r="M36" i="4"/>
  <c r="M37" i="4" s="1"/>
  <c r="L36" i="4"/>
  <c r="L37" i="4" s="1"/>
  <c r="K36" i="4"/>
  <c r="K37" i="4" s="1"/>
  <c r="H36" i="4"/>
  <c r="F36" i="4"/>
  <c r="F37" i="4" s="1"/>
  <c r="I35" i="4"/>
  <c r="H35" i="4"/>
  <c r="G35" i="4"/>
  <c r="L34" i="4"/>
  <c r="K34" i="4"/>
  <c r="K35" i="4" s="1"/>
  <c r="H34" i="4"/>
  <c r="F34" i="4"/>
  <c r="F35" i="4" s="1"/>
  <c r="I33" i="4"/>
  <c r="H33" i="4" s="1"/>
  <c r="G33" i="4"/>
  <c r="V32" i="4"/>
  <c r="Y32" i="4" s="1"/>
  <c r="Y33" i="4" s="1"/>
  <c r="Q32" i="4"/>
  <c r="N32" i="4"/>
  <c r="N33" i="4" s="1"/>
  <c r="M32" i="4"/>
  <c r="M33" i="4" s="1"/>
  <c r="L32" i="4"/>
  <c r="L33" i="4" s="1"/>
  <c r="K32" i="4"/>
  <c r="K33" i="4" s="1"/>
  <c r="H32" i="4"/>
  <c r="F32" i="4"/>
  <c r="F33" i="4" s="1"/>
  <c r="O31" i="4"/>
  <c r="I31" i="4"/>
  <c r="H31" i="4"/>
  <c r="G31" i="4"/>
  <c r="O30" i="4"/>
  <c r="L30" i="4"/>
  <c r="K30" i="4"/>
  <c r="K31" i="4" s="1"/>
  <c r="H30" i="4"/>
  <c r="F30" i="4"/>
  <c r="F31" i="4" s="1"/>
  <c r="I29" i="4"/>
  <c r="H29" i="4"/>
  <c r="G29" i="4"/>
  <c r="L28" i="4"/>
  <c r="L29" i="4" s="1"/>
  <c r="K28" i="4"/>
  <c r="K29" i="4" s="1"/>
  <c r="H28" i="4"/>
  <c r="F28" i="4"/>
  <c r="F29" i="4" s="1"/>
  <c r="I25" i="4"/>
  <c r="G25" i="4"/>
  <c r="L24" i="4"/>
  <c r="K24" i="4"/>
  <c r="H24" i="4"/>
  <c r="F24" i="4"/>
  <c r="I23" i="4"/>
  <c r="G23" i="4"/>
  <c r="H23" i="4" s="1"/>
  <c r="K22" i="4"/>
  <c r="L22" i="4" s="1"/>
  <c r="H22" i="4"/>
  <c r="F22" i="4"/>
  <c r="F23" i="4" s="1"/>
  <c r="I21" i="4"/>
  <c r="H21" i="4"/>
  <c r="G21" i="4"/>
  <c r="N20" i="4"/>
  <c r="N21" i="4" s="1"/>
  <c r="M20" i="4"/>
  <c r="M21" i="4" s="1"/>
  <c r="L20" i="4"/>
  <c r="O20" i="4" s="1"/>
  <c r="O21" i="4" s="1"/>
  <c r="K20" i="4"/>
  <c r="K21" i="4" s="1"/>
  <c r="H20" i="4"/>
  <c r="F20" i="4"/>
  <c r="F21" i="4" s="1"/>
  <c r="I17" i="4"/>
  <c r="G17" i="4"/>
  <c r="G18" i="4" s="1"/>
  <c r="O16" i="4"/>
  <c r="N16" i="4"/>
  <c r="L16" i="4"/>
  <c r="K16" i="4"/>
  <c r="K17" i="4" s="1"/>
  <c r="H16" i="4"/>
  <c r="F16" i="4"/>
  <c r="F17" i="4" s="1"/>
  <c r="F18" i="4" s="1"/>
  <c r="F19" i="4" s="1"/>
  <c r="I14" i="4"/>
  <c r="I15" i="4" s="1"/>
  <c r="G14" i="4"/>
  <c r="G15" i="4" s="1"/>
  <c r="L13" i="4"/>
  <c r="K13" i="4"/>
  <c r="H13" i="4"/>
  <c r="F13" i="4"/>
  <c r="D18" i="8"/>
  <c r="C17" i="8"/>
  <c r="C16" i="8"/>
  <c r="C15" i="8"/>
  <c r="C14" i="8"/>
  <c r="C13" i="8"/>
  <c r="R16" i="13" l="1"/>
  <c r="P16" i="13"/>
  <c r="Q16" i="13"/>
  <c r="T19" i="13"/>
  <c r="W19" i="13" s="1"/>
  <c r="P19" i="13"/>
  <c r="K23" i="13"/>
  <c r="P21" i="13"/>
  <c r="Q13" i="13"/>
  <c r="M13" i="13" s="1"/>
  <c r="Q21" i="13"/>
  <c r="R13" i="13"/>
  <c r="N23" i="13"/>
  <c r="R16" i="21"/>
  <c r="Q21" i="21"/>
  <c r="L22" i="21"/>
  <c r="Z16" i="21"/>
  <c r="AB16" i="21" s="1"/>
  <c r="R21" i="21"/>
  <c r="O22" i="21"/>
  <c r="J22" i="21"/>
  <c r="R19" i="21"/>
  <c r="S21" i="21"/>
  <c r="AC19" i="21"/>
  <c r="Q19" i="21"/>
  <c r="S19" i="21"/>
  <c r="U12" i="21"/>
  <c r="W12" i="21" s="1"/>
  <c r="Q12" i="21"/>
  <c r="R14" i="21"/>
  <c r="S18" i="21"/>
  <c r="Z14" i="21"/>
  <c r="AA14" i="21" s="1"/>
  <c r="Q14" i="21"/>
  <c r="U14" i="21"/>
  <c r="V14" i="21" s="1"/>
  <c r="Q16" i="21"/>
  <c r="D19" i="21"/>
  <c r="D22" i="21" s="1"/>
  <c r="AA19" i="21"/>
  <c r="D15" i="13"/>
  <c r="G15" i="18"/>
  <c r="H25" i="4"/>
  <c r="G16" i="18"/>
  <c r="E14" i="21"/>
  <c r="C15" i="14"/>
  <c r="C18" i="8"/>
  <c r="F38" i="4"/>
  <c r="F14" i="4"/>
  <c r="F15" i="4" s="1"/>
  <c r="H17" i="4"/>
  <c r="I26" i="4"/>
  <c r="I27" i="4" s="1"/>
  <c r="D13" i="13"/>
  <c r="D25" i="14"/>
  <c r="H15" i="4"/>
  <c r="P20" i="18"/>
  <c r="E12" i="21"/>
  <c r="E19" i="21"/>
  <c r="E22" i="21" s="1"/>
  <c r="N17" i="4"/>
  <c r="N18" i="4" s="1"/>
  <c r="N19" i="4" s="1"/>
  <c r="Q22" i="4"/>
  <c r="M22" i="4"/>
  <c r="N22" i="4"/>
  <c r="N23" i="4" s="1"/>
  <c r="L23" i="4"/>
  <c r="V22" i="4"/>
  <c r="O22" i="4"/>
  <c r="O23" i="4" s="1"/>
  <c r="G19" i="4"/>
  <c r="K18" i="4"/>
  <c r="K19" i="4" s="1"/>
  <c r="O24" i="4"/>
  <c r="T32" i="4"/>
  <c r="T33" i="4" s="1"/>
  <c r="S32" i="4"/>
  <c r="S33" i="4" s="1"/>
  <c r="R32" i="4"/>
  <c r="E39" i="18"/>
  <c r="E15" i="18"/>
  <c r="E16" i="18" s="1"/>
  <c r="J26" i="18"/>
  <c r="J27" i="18" s="1"/>
  <c r="J28" i="18" s="1"/>
  <c r="K25" i="18"/>
  <c r="Z15" i="21"/>
  <c r="R15" i="21"/>
  <c r="U15" i="21"/>
  <c r="Q15" i="21"/>
  <c r="S15" i="21"/>
  <c r="O13" i="4"/>
  <c r="Q13" i="4"/>
  <c r="V13" i="4"/>
  <c r="L14" i="4"/>
  <c r="L15" i="4" s="1"/>
  <c r="J20" i="4"/>
  <c r="J21" i="4" s="1"/>
  <c r="K23" i="4"/>
  <c r="V28" i="4"/>
  <c r="V34" i="4"/>
  <c r="N34" i="4"/>
  <c r="N35" i="4" s="1"/>
  <c r="Q34" i="4"/>
  <c r="M34" i="4"/>
  <c r="L35" i="4"/>
  <c r="N16" i="18"/>
  <c r="G18" i="18"/>
  <c r="H19" i="18"/>
  <c r="H20" i="18" s="1"/>
  <c r="K31" i="18"/>
  <c r="J32" i="18"/>
  <c r="AB21" i="21"/>
  <c r="AC21" i="21"/>
  <c r="AA21" i="21"/>
  <c r="H38" i="4"/>
  <c r="M13" i="4"/>
  <c r="H14" i="4"/>
  <c r="V16" i="4"/>
  <c r="N24" i="4"/>
  <c r="M28" i="4"/>
  <c r="V30" i="4"/>
  <c r="N30" i="4"/>
  <c r="N31" i="4" s="1"/>
  <c r="Q30" i="4"/>
  <c r="M30" i="4"/>
  <c r="L31" i="4"/>
  <c r="O34" i="4"/>
  <c r="O35" i="4" s="1"/>
  <c r="W17" i="18"/>
  <c r="V17" i="18"/>
  <c r="U19" i="18"/>
  <c r="U20" i="18" s="1"/>
  <c r="X17" i="18"/>
  <c r="M18" i="18"/>
  <c r="M19" i="18" s="1"/>
  <c r="F27" i="18"/>
  <c r="F28" i="18" s="1"/>
  <c r="G26" i="18"/>
  <c r="O30" i="18"/>
  <c r="AB15" i="13"/>
  <c r="AA15" i="13"/>
  <c r="Z15" i="13"/>
  <c r="Q24" i="4"/>
  <c r="V24" i="4"/>
  <c r="L25" i="4"/>
  <c r="L26" i="4" s="1"/>
  <c r="L27" i="4" s="1"/>
  <c r="X36" i="4"/>
  <c r="X37" i="4" s="1"/>
  <c r="W36" i="4"/>
  <c r="V37" i="4"/>
  <c r="O17" i="4"/>
  <c r="O18" i="4" s="1"/>
  <c r="M24" i="4"/>
  <c r="O28" i="4"/>
  <c r="O29" i="4" s="1"/>
  <c r="N28" i="4"/>
  <c r="N29" i="4" s="1"/>
  <c r="X32" i="4"/>
  <c r="X33" i="4" s="1"/>
  <c r="W32" i="4"/>
  <c r="V33" i="4"/>
  <c r="G39" i="18"/>
  <c r="L18" i="18"/>
  <c r="L19" i="18" s="1"/>
  <c r="N13" i="4"/>
  <c r="Q16" i="4"/>
  <c r="M16" i="4"/>
  <c r="L17" i="4"/>
  <c r="Q20" i="4"/>
  <c r="V20" i="4"/>
  <c r="L21" i="4"/>
  <c r="F25" i="4"/>
  <c r="F26" i="4" s="1"/>
  <c r="Q28" i="4"/>
  <c r="Q33" i="4"/>
  <c r="T36" i="4"/>
  <c r="T37" i="4" s="1"/>
  <c r="S36" i="4"/>
  <c r="S37" i="4" s="1"/>
  <c r="R36" i="4"/>
  <c r="U21" i="18"/>
  <c r="M21" i="18"/>
  <c r="M22" i="18" s="1"/>
  <c r="P21" i="18"/>
  <c r="L21" i="18"/>
  <c r="N21" i="18"/>
  <c r="N22" i="18" s="1"/>
  <c r="L30" i="18"/>
  <c r="I29" i="18"/>
  <c r="T22" i="13"/>
  <c r="P22" i="13"/>
  <c r="Q22" i="13"/>
  <c r="Y22" i="13"/>
  <c r="R22" i="13"/>
  <c r="W23" i="18"/>
  <c r="W24" i="18" s="1"/>
  <c r="V23" i="18"/>
  <c r="W29" i="18"/>
  <c r="W30" i="18" s="1"/>
  <c r="V29" i="18"/>
  <c r="Z17" i="21"/>
  <c r="R17" i="21"/>
  <c r="Q17" i="21"/>
  <c r="U17" i="21"/>
  <c r="T17" i="13"/>
  <c r="P17" i="13"/>
  <c r="Q17" i="13"/>
  <c r="R17" i="13"/>
  <c r="Z18" i="13"/>
  <c r="AB18" i="13"/>
  <c r="AA18" i="13"/>
  <c r="K14" i="4"/>
  <c r="K15" i="4" s="1"/>
  <c r="I18" i="4"/>
  <c r="I19" i="4" s="1"/>
  <c r="K25" i="4"/>
  <c r="G26" i="4"/>
  <c r="S17" i="18"/>
  <c r="R17" i="18"/>
  <c r="O17" i="18" s="1"/>
  <c r="Q18" i="18"/>
  <c r="S23" i="18"/>
  <c r="S24" i="18" s="1"/>
  <c r="R23" i="18"/>
  <c r="R24" i="18" s="1"/>
  <c r="X23" i="18"/>
  <c r="X24" i="18" s="1"/>
  <c r="E26" i="18"/>
  <c r="S29" i="18"/>
  <c r="S30" i="18" s="1"/>
  <c r="R29" i="18"/>
  <c r="R30" i="18" s="1"/>
  <c r="X29" i="18"/>
  <c r="X30" i="18" s="1"/>
  <c r="K33" i="18"/>
  <c r="I35" i="18"/>
  <c r="S17" i="21"/>
  <c r="Y19" i="21"/>
  <c r="T15" i="13"/>
  <c r="P15" i="13"/>
  <c r="R15" i="13"/>
  <c r="Q15" i="13"/>
  <c r="C20" i="13"/>
  <c r="C23" i="13" s="1"/>
  <c r="E23" i="13"/>
  <c r="O20" i="13"/>
  <c r="U14" i="18"/>
  <c r="M14" i="18"/>
  <c r="P14" i="18"/>
  <c r="L14" i="18"/>
  <c r="O29" i="18"/>
  <c r="G32" i="18"/>
  <c r="U13" i="21"/>
  <c r="Q13" i="21"/>
  <c r="S13" i="21"/>
  <c r="Z13" i="21"/>
  <c r="R13" i="21"/>
  <c r="X14" i="21"/>
  <c r="W14" i="21"/>
  <c r="Z20" i="21"/>
  <c r="R20" i="21"/>
  <c r="S20" i="21"/>
  <c r="P22" i="21"/>
  <c r="Q20" i="21"/>
  <c r="U20" i="21"/>
  <c r="Y14" i="13"/>
  <c r="Q14" i="13"/>
  <c r="R14" i="13"/>
  <c r="T14" i="13"/>
  <c r="Y17" i="13"/>
  <c r="R18" i="13"/>
  <c r="Q18" i="13"/>
  <c r="T18" i="13"/>
  <c r="P18" i="13"/>
  <c r="O32" i="4"/>
  <c r="O36" i="4"/>
  <c r="N17" i="18"/>
  <c r="J18" i="18"/>
  <c r="F19" i="18"/>
  <c r="N23" i="18"/>
  <c r="H27" i="18"/>
  <c r="H28" i="18" s="1"/>
  <c r="N29" i="18"/>
  <c r="N30" i="18" s="1"/>
  <c r="P35" i="18"/>
  <c r="U35" i="18"/>
  <c r="G36" i="18"/>
  <c r="S12" i="21"/>
  <c r="Z12" i="21"/>
  <c r="R12" i="21"/>
  <c r="U16" i="21"/>
  <c r="I23" i="13"/>
  <c r="D20" i="13"/>
  <c r="D23" i="13" s="1"/>
  <c r="K18" i="18"/>
  <c r="K19" i="18" s="1"/>
  <c r="U37" i="18"/>
  <c r="M37" i="18"/>
  <c r="M38" i="18" s="1"/>
  <c r="P37" i="18"/>
  <c r="L37" i="18"/>
  <c r="U18" i="21"/>
  <c r="Q18" i="21"/>
  <c r="Z18" i="21"/>
  <c r="Y19" i="13"/>
  <c r="Q19" i="13"/>
  <c r="R19" i="13"/>
  <c r="T13" i="13"/>
  <c r="Y13" i="13"/>
  <c r="C19" i="14"/>
  <c r="C20" i="14" s="1"/>
  <c r="U19" i="21"/>
  <c r="U21" i="21"/>
  <c r="T16" i="13"/>
  <c r="Y16" i="13"/>
  <c r="T21" i="13"/>
  <c r="Y21" i="13"/>
  <c r="D21" i="14"/>
  <c r="D33" i="14"/>
  <c r="E15" i="22"/>
  <c r="E16" i="22" s="1"/>
  <c r="E17" i="22" s="1"/>
  <c r="E19" i="22"/>
  <c r="E23" i="22"/>
  <c r="E24" i="22" s="1"/>
  <c r="E25" i="22" s="1"/>
  <c r="E27" i="22"/>
  <c r="E28" i="22" s="1"/>
  <c r="E31" i="22"/>
  <c r="E32" i="22" s="1"/>
  <c r="E33" i="22" s="1"/>
  <c r="D29" i="14"/>
  <c r="D16" i="14"/>
  <c r="C22" i="14" s="1"/>
  <c r="C31" i="14"/>
  <c r="C32" i="14" s="1"/>
  <c r="U19" i="13" l="1"/>
  <c r="X15" i="13"/>
  <c r="M21" i="13"/>
  <c r="M22" i="13"/>
  <c r="M19" i="13"/>
  <c r="V19" i="13"/>
  <c r="M16" i="13"/>
  <c r="M14" i="13"/>
  <c r="X12" i="21"/>
  <c r="N21" i="21"/>
  <c r="N16" i="21"/>
  <c r="AC14" i="21"/>
  <c r="Y14" i="21" s="1"/>
  <c r="N19" i="21"/>
  <c r="AA16" i="21"/>
  <c r="AC16" i="21"/>
  <c r="N12" i="21"/>
  <c r="V12" i="21"/>
  <c r="T12" i="21" s="1"/>
  <c r="AB14" i="21"/>
  <c r="N15" i="21"/>
  <c r="N18" i="21"/>
  <c r="N14" i="21"/>
  <c r="H26" i="4"/>
  <c r="C16" i="14"/>
  <c r="C17" i="14" s="1"/>
  <c r="E29" i="22"/>
  <c r="H18" i="4"/>
  <c r="G28" i="18"/>
  <c r="G19" i="18"/>
  <c r="F20" i="18"/>
  <c r="G20" i="18" s="1"/>
  <c r="O19" i="4"/>
  <c r="K20" i="18"/>
  <c r="X19" i="21"/>
  <c r="W19" i="21"/>
  <c r="V19" i="21"/>
  <c r="AC18" i="21"/>
  <c r="AA18" i="21"/>
  <c r="AB18" i="21"/>
  <c r="I37" i="18"/>
  <c r="L38" i="18"/>
  <c r="I38" i="18" s="1"/>
  <c r="X16" i="21"/>
  <c r="W16" i="21"/>
  <c r="V16" i="21"/>
  <c r="V18" i="13"/>
  <c r="W18" i="13"/>
  <c r="U18" i="13"/>
  <c r="V20" i="21"/>
  <c r="X20" i="21"/>
  <c r="W20" i="21"/>
  <c r="S18" i="18"/>
  <c r="S19" i="18" s="1"/>
  <c r="W20" i="4"/>
  <c r="V21" i="4"/>
  <c r="Y20" i="4"/>
  <c r="Y21" i="4" s="1"/>
  <c r="X20" i="4"/>
  <c r="X21" i="4" s="1"/>
  <c r="Q17" i="4"/>
  <c r="R16" i="4"/>
  <c r="T16" i="4"/>
  <c r="S16" i="4"/>
  <c r="Y16" i="4"/>
  <c r="W16" i="4"/>
  <c r="V17" i="4"/>
  <c r="V18" i="4" s="1"/>
  <c r="X16" i="4"/>
  <c r="S13" i="4"/>
  <c r="T13" i="4"/>
  <c r="Q14" i="4"/>
  <c r="Q15" i="4" s="1"/>
  <c r="R13" i="4"/>
  <c r="U25" i="18"/>
  <c r="M25" i="18"/>
  <c r="P25" i="18"/>
  <c r="L25" i="18"/>
  <c r="N25" i="18"/>
  <c r="K26" i="18"/>
  <c r="K27" i="18" s="1"/>
  <c r="M23" i="4"/>
  <c r="J23" i="4" s="1"/>
  <c r="J22" i="4"/>
  <c r="C23" i="14"/>
  <c r="E20" i="22"/>
  <c r="E21" i="22" s="1"/>
  <c r="Z16" i="13"/>
  <c r="AB16" i="13"/>
  <c r="AA16" i="13"/>
  <c r="C21" i="14"/>
  <c r="Q37" i="18"/>
  <c r="P38" i="18"/>
  <c r="S37" i="18"/>
  <c r="S38" i="18" s="1"/>
  <c r="R37" i="18"/>
  <c r="R38" i="18" s="1"/>
  <c r="W35" i="18"/>
  <c r="W36" i="18" s="1"/>
  <c r="V35" i="18"/>
  <c r="U36" i="18"/>
  <c r="X35" i="18"/>
  <c r="X36" i="18" s="1"/>
  <c r="N18" i="18"/>
  <c r="N19" i="18" s="1"/>
  <c r="AC20" i="21"/>
  <c r="AB20" i="21"/>
  <c r="AA20" i="21"/>
  <c r="O23" i="18"/>
  <c r="O24" i="18" s="1"/>
  <c r="M15" i="13"/>
  <c r="E27" i="18"/>
  <c r="E28" i="18" s="1"/>
  <c r="N17" i="21"/>
  <c r="V30" i="18"/>
  <c r="T30" i="18" s="1"/>
  <c r="T29" i="18"/>
  <c r="V22" i="13"/>
  <c r="U22" i="13"/>
  <c r="W22" i="13"/>
  <c r="S20" i="4"/>
  <c r="S21" i="4" s="1"/>
  <c r="Q21" i="4"/>
  <c r="R20" i="4"/>
  <c r="T20" i="4"/>
  <c r="T21" i="4" s="1"/>
  <c r="O14" i="4"/>
  <c r="O15" i="4" s="1"/>
  <c r="V15" i="21"/>
  <c r="X15" i="21"/>
  <c r="W15" i="21"/>
  <c r="Y22" i="4"/>
  <c r="Y23" i="4" s="1"/>
  <c r="X22" i="4"/>
  <c r="X23" i="4" s="1"/>
  <c r="V23" i="4"/>
  <c r="W22" i="4"/>
  <c r="Q23" i="4"/>
  <c r="S22" i="4"/>
  <c r="S23" i="4" s="1"/>
  <c r="T22" i="4"/>
  <c r="T23" i="4" s="1"/>
  <c r="R22" i="4"/>
  <c r="V16" i="13"/>
  <c r="W16" i="13"/>
  <c r="U16" i="13"/>
  <c r="C33" i="14"/>
  <c r="AA13" i="13"/>
  <c r="Z13" i="13"/>
  <c r="AB13" i="13"/>
  <c r="AB19" i="13"/>
  <c r="Z19" i="13"/>
  <c r="AA19" i="13"/>
  <c r="V18" i="21"/>
  <c r="X18" i="21"/>
  <c r="W18" i="21"/>
  <c r="AA12" i="21"/>
  <c r="AC12" i="21"/>
  <c r="AB12" i="21"/>
  <c r="S35" i="18"/>
  <c r="S36" i="18" s="1"/>
  <c r="Q35" i="18"/>
  <c r="R35" i="18"/>
  <c r="R36" i="18" s="1"/>
  <c r="P36" i="18"/>
  <c r="J19" i="18"/>
  <c r="J20" i="18" s="1"/>
  <c r="O37" i="4"/>
  <c r="J37" i="4" s="1"/>
  <c r="J36" i="4"/>
  <c r="U22" i="21"/>
  <c r="Q22" i="21"/>
  <c r="R22" i="21"/>
  <c r="Z22" i="21"/>
  <c r="S22" i="21"/>
  <c r="X13" i="21"/>
  <c r="W13" i="21"/>
  <c r="V13" i="21"/>
  <c r="M15" i="18"/>
  <c r="M16" i="18" s="1"/>
  <c r="W15" i="13"/>
  <c r="V15" i="13"/>
  <c r="U15" i="13"/>
  <c r="Q19" i="18"/>
  <c r="K26" i="4"/>
  <c r="K27" i="4" s="1"/>
  <c r="K38" i="4" s="1"/>
  <c r="M17" i="13"/>
  <c r="AB22" i="13"/>
  <c r="AA22" i="13"/>
  <c r="Z22" i="13"/>
  <c r="I30" i="18"/>
  <c r="W33" i="4"/>
  <c r="U33" i="4" s="1"/>
  <c r="U32" i="4"/>
  <c r="J24" i="4"/>
  <c r="M25" i="4"/>
  <c r="M26" i="4" s="1"/>
  <c r="W24" i="4"/>
  <c r="X24" i="4"/>
  <c r="V25" i="4"/>
  <c r="V26" i="4" s="1"/>
  <c r="Y24" i="4"/>
  <c r="M20" i="18"/>
  <c r="W18" i="18"/>
  <c r="W19" i="18" s="1"/>
  <c r="W20" i="18" s="1"/>
  <c r="J30" i="4"/>
  <c r="M31" i="4"/>
  <c r="J31" i="4" s="1"/>
  <c r="J28" i="4"/>
  <c r="M29" i="4"/>
  <c r="J29" i="4" s="1"/>
  <c r="J13" i="4"/>
  <c r="M14" i="4"/>
  <c r="Y21" i="21"/>
  <c r="J34" i="4"/>
  <c r="M35" i="4"/>
  <c r="J35" i="4" s="1"/>
  <c r="W28" i="4"/>
  <c r="V29" i="4"/>
  <c r="Y28" i="4"/>
  <c r="Y29" i="4" s="1"/>
  <c r="X28" i="4"/>
  <c r="X29" i="4" s="1"/>
  <c r="G27" i="4"/>
  <c r="H27" i="4" s="1"/>
  <c r="L18" i="4"/>
  <c r="L19" i="4" s="1"/>
  <c r="V21" i="13"/>
  <c r="W21" i="13"/>
  <c r="U21" i="13"/>
  <c r="U14" i="13"/>
  <c r="W14" i="13"/>
  <c r="V14" i="13"/>
  <c r="I14" i="18"/>
  <c r="L15" i="18"/>
  <c r="T20" i="13"/>
  <c r="P20" i="13"/>
  <c r="O23" i="13"/>
  <c r="R20" i="13"/>
  <c r="Q20" i="13"/>
  <c r="Y20" i="13"/>
  <c r="V17" i="21"/>
  <c r="W17" i="21"/>
  <c r="X17" i="21"/>
  <c r="I21" i="18"/>
  <c r="I22" i="18" s="1"/>
  <c r="L22" i="18"/>
  <c r="N24" i="18"/>
  <c r="I24" i="18" s="1"/>
  <c r="I23" i="18"/>
  <c r="N20" i="21"/>
  <c r="N13" i="21"/>
  <c r="Q14" i="18"/>
  <c r="P15" i="18"/>
  <c r="P16" i="18" s="1"/>
  <c r="S14" i="18"/>
  <c r="R14" i="18"/>
  <c r="Q21" i="18"/>
  <c r="P22" i="18"/>
  <c r="S21" i="18"/>
  <c r="S22" i="18" s="1"/>
  <c r="R21" i="18"/>
  <c r="R22" i="18" s="1"/>
  <c r="N14" i="4"/>
  <c r="N15" i="4" s="1"/>
  <c r="V18" i="18"/>
  <c r="V19" i="18" s="1"/>
  <c r="T17" i="18"/>
  <c r="V31" i="4"/>
  <c r="Y30" i="4"/>
  <c r="Y31" i="4" s="1"/>
  <c r="X30" i="4"/>
  <c r="X31" i="4" s="1"/>
  <c r="W30" i="4"/>
  <c r="K32" i="18"/>
  <c r="N31" i="18"/>
  <c r="N32" i="18" s="1"/>
  <c r="M31" i="18"/>
  <c r="M32" i="18" s="1"/>
  <c r="P31" i="18"/>
  <c r="L31" i="18"/>
  <c r="U31" i="18"/>
  <c r="V35" i="4"/>
  <c r="Y34" i="4"/>
  <c r="Y35" i="4" s="1"/>
  <c r="X34" i="4"/>
  <c r="X35" i="4" s="1"/>
  <c r="W34" i="4"/>
  <c r="D17" i="14"/>
  <c r="C26" i="14" s="1"/>
  <c r="Z21" i="13"/>
  <c r="AA21" i="13"/>
  <c r="AB21" i="13"/>
  <c r="X21" i="21"/>
  <c r="W21" i="21"/>
  <c r="V21" i="21"/>
  <c r="W13" i="13"/>
  <c r="U13" i="13"/>
  <c r="V13" i="13"/>
  <c r="U38" i="18"/>
  <c r="X37" i="18"/>
  <c r="X38" i="18" s="1"/>
  <c r="W37" i="18"/>
  <c r="W38" i="18" s="1"/>
  <c r="V37" i="18"/>
  <c r="O33" i="4"/>
  <c r="J33" i="4" s="1"/>
  <c r="J32" i="4"/>
  <c r="M18" i="13"/>
  <c r="AB17" i="13"/>
  <c r="AA17" i="13"/>
  <c r="Z17" i="13"/>
  <c r="AB14" i="13"/>
  <c r="AA14" i="13"/>
  <c r="Z14" i="13"/>
  <c r="T14" i="21"/>
  <c r="AC13" i="21"/>
  <c r="AB13" i="21"/>
  <c r="AA13" i="21"/>
  <c r="U15" i="18"/>
  <c r="U16" i="18" s="1"/>
  <c r="X14" i="18"/>
  <c r="W14" i="18"/>
  <c r="V14" i="18"/>
  <c r="U33" i="18"/>
  <c r="M33" i="18"/>
  <c r="M34" i="18" s="1"/>
  <c r="N33" i="18"/>
  <c r="N34" i="18" s="1"/>
  <c r="L33" i="18"/>
  <c r="K34" i="18"/>
  <c r="P33" i="18"/>
  <c r="R18" i="18"/>
  <c r="R19" i="18" s="1"/>
  <c r="R20" i="18" s="1"/>
  <c r="X18" i="13"/>
  <c r="V17" i="13"/>
  <c r="U17" i="13"/>
  <c r="W17" i="13"/>
  <c r="AB17" i="21"/>
  <c r="AA17" i="21"/>
  <c r="AC17" i="21"/>
  <c r="V24" i="18"/>
  <c r="T23" i="18"/>
  <c r="T24" i="18" s="1"/>
  <c r="U22" i="18"/>
  <c r="X21" i="18"/>
  <c r="X22" i="18" s="1"/>
  <c r="W21" i="18"/>
  <c r="W22" i="18" s="1"/>
  <c r="V21" i="18"/>
  <c r="P36" i="4"/>
  <c r="R37" i="4"/>
  <c r="P37" i="4" s="1"/>
  <c r="S28" i="4"/>
  <c r="S29" i="4" s="1"/>
  <c r="T28" i="4"/>
  <c r="T29" i="4" s="1"/>
  <c r="Q29" i="4"/>
  <c r="R28" i="4"/>
  <c r="M17" i="4"/>
  <c r="J17" i="4" s="1"/>
  <c r="J16" i="4"/>
  <c r="L20" i="18"/>
  <c r="W37" i="4"/>
  <c r="U37" i="4" s="1"/>
  <c r="U36" i="4"/>
  <c r="S24" i="4"/>
  <c r="T24" i="4"/>
  <c r="R24" i="4"/>
  <c r="Q25" i="4"/>
  <c r="Q26" i="4" s="1"/>
  <c r="Q27" i="4" s="1"/>
  <c r="G27" i="18"/>
  <c r="X18" i="18"/>
  <c r="R30" i="4"/>
  <c r="Q31" i="4"/>
  <c r="S30" i="4"/>
  <c r="S31" i="4" s="1"/>
  <c r="T30" i="4"/>
  <c r="T31" i="4" s="1"/>
  <c r="N25" i="4"/>
  <c r="N26" i="4" s="1"/>
  <c r="R34" i="4"/>
  <c r="Q35" i="4"/>
  <c r="S34" i="4"/>
  <c r="S35" i="4" s="1"/>
  <c r="T34" i="4"/>
  <c r="T35" i="4" s="1"/>
  <c r="F27" i="4"/>
  <c r="W13" i="4"/>
  <c r="Y13" i="4"/>
  <c r="X13" i="4"/>
  <c r="V14" i="4"/>
  <c r="V15" i="4" s="1"/>
  <c r="AC15" i="21"/>
  <c r="AB15" i="21"/>
  <c r="AA15" i="21"/>
  <c r="P32" i="4"/>
  <c r="R33" i="4"/>
  <c r="P33" i="4" s="1"/>
  <c r="O25" i="4"/>
  <c r="I17" i="18"/>
  <c r="H19" i="4"/>
  <c r="S19" i="13" l="1"/>
  <c r="S17" i="13"/>
  <c r="X16" i="13"/>
  <c r="X17" i="13"/>
  <c r="X14" i="13"/>
  <c r="X13" i="13"/>
  <c r="Y16" i="21"/>
  <c r="Y13" i="21"/>
  <c r="T21" i="21"/>
  <c r="Y18" i="21"/>
  <c r="Y12" i="21"/>
  <c r="E34" i="22"/>
  <c r="I18" i="18"/>
  <c r="J14" i="4"/>
  <c r="M27" i="4"/>
  <c r="K28" i="18"/>
  <c r="K39" i="18" s="1"/>
  <c r="P39" i="18" s="1"/>
  <c r="X19" i="18"/>
  <c r="T19" i="18" s="1"/>
  <c r="I15" i="18"/>
  <c r="L38" i="4"/>
  <c r="N38" i="4" s="1"/>
  <c r="J39" i="18"/>
  <c r="C24" i="14"/>
  <c r="C25" i="14" s="1"/>
  <c r="M15" i="4"/>
  <c r="J15" i="4" s="1"/>
  <c r="V19" i="4"/>
  <c r="N20" i="18"/>
  <c r="I20" i="18" s="1"/>
  <c r="I19" i="18"/>
  <c r="U34" i="4"/>
  <c r="W35" i="4"/>
  <c r="U35" i="4" s="1"/>
  <c r="Y25" i="4"/>
  <c r="Y26" i="4" s="1"/>
  <c r="O19" i="18"/>
  <c r="Q20" i="18"/>
  <c r="Q38" i="18"/>
  <c r="O38" i="18" s="1"/>
  <c r="O37" i="18"/>
  <c r="Q25" i="18"/>
  <c r="P26" i="18"/>
  <c r="P27" i="18" s="1"/>
  <c r="P28" i="18" s="1"/>
  <c r="S25" i="18"/>
  <c r="R25" i="18"/>
  <c r="X17" i="4"/>
  <c r="X18" i="4" s="1"/>
  <c r="R17" i="4"/>
  <c r="P16" i="4"/>
  <c r="N27" i="4"/>
  <c r="R31" i="4"/>
  <c r="P31" i="4" s="1"/>
  <c r="P30" i="4"/>
  <c r="W15" i="18"/>
  <c r="W16" i="18" s="1"/>
  <c r="V20" i="18"/>
  <c r="T17" i="21"/>
  <c r="S14" i="13"/>
  <c r="N22" i="21"/>
  <c r="X19" i="13"/>
  <c r="P20" i="4"/>
  <c r="P21" i="4" s="1"/>
  <c r="R21" i="4"/>
  <c r="N26" i="18"/>
  <c r="N27" i="18" s="1"/>
  <c r="N28" i="18" s="1"/>
  <c r="Y17" i="4"/>
  <c r="Y18" i="4" s="1"/>
  <c r="Y19" i="4" s="1"/>
  <c r="O26" i="4"/>
  <c r="O27" i="4" s="1"/>
  <c r="Q33" i="18"/>
  <c r="S33" i="18"/>
  <c r="S34" i="18" s="1"/>
  <c r="R33" i="18"/>
  <c r="R34" i="18" s="1"/>
  <c r="P34" i="18"/>
  <c r="X15" i="18"/>
  <c r="X16" i="18" s="1"/>
  <c r="T37" i="18"/>
  <c r="V38" i="18"/>
  <c r="T38" i="18" s="1"/>
  <c r="X21" i="13"/>
  <c r="S31" i="18"/>
  <c r="S32" i="18" s="1"/>
  <c r="P32" i="18"/>
  <c r="R31" i="18"/>
  <c r="R32" i="18" s="1"/>
  <c r="Q31" i="18"/>
  <c r="U30" i="4"/>
  <c r="W31" i="4"/>
  <c r="U31" i="4" s="1"/>
  <c r="R15" i="18"/>
  <c r="R16" i="18" s="1"/>
  <c r="Q15" i="18"/>
  <c r="Q16" i="18" s="1"/>
  <c r="O14" i="18"/>
  <c r="AB20" i="13"/>
  <c r="AA20" i="13"/>
  <c r="Z20" i="13"/>
  <c r="M20" i="13"/>
  <c r="S21" i="13"/>
  <c r="X25" i="4"/>
  <c r="J25" i="4"/>
  <c r="S15" i="13"/>
  <c r="W22" i="21"/>
  <c r="V22" i="21"/>
  <c r="X22" i="21"/>
  <c r="D34" i="14"/>
  <c r="S22" i="13"/>
  <c r="Y20" i="21"/>
  <c r="U26" i="18"/>
  <c r="U27" i="18" s="1"/>
  <c r="U28" i="18" s="1"/>
  <c r="X25" i="18"/>
  <c r="W25" i="18"/>
  <c r="V25" i="18"/>
  <c r="T14" i="4"/>
  <c r="T15" i="4" s="1"/>
  <c r="S17" i="4"/>
  <c r="Q18" i="4"/>
  <c r="Q19" i="4" s="1"/>
  <c r="S20" i="18"/>
  <c r="S18" i="13"/>
  <c r="T16" i="21"/>
  <c r="T19" i="21"/>
  <c r="Y14" i="4"/>
  <c r="Y15" i="4" s="1"/>
  <c r="T25" i="4"/>
  <c r="I33" i="18"/>
  <c r="L34" i="18"/>
  <c r="I34" i="18" s="1"/>
  <c r="T14" i="18"/>
  <c r="V15" i="18"/>
  <c r="V16" i="18" s="1"/>
  <c r="W31" i="18"/>
  <c r="W32" i="18" s="1"/>
  <c r="U32" i="18"/>
  <c r="X31" i="18"/>
  <c r="X32" i="18" s="1"/>
  <c r="V31" i="18"/>
  <c r="W25" i="4"/>
  <c r="U24" i="4"/>
  <c r="O35" i="18"/>
  <c r="Q36" i="18"/>
  <c r="O36" i="18" s="1"/>
  <c r="R14" i="4"/>
  <c r="R15" i="4" s="1"/>
  <c r="P13" i="4"/>
  <c r="U16" i="4"/>
  <c r="W17" i="4"/>
  <c r="W14" i="4"/>
  <c r="U13" i="4"/>
  <c r="M18" i="4"/>
  <c r="J18" i="4" s="1"/>
  <c r="T21" i="18"/>
  <c r="T22" i="18" s="1"/>
  <c r="V22" i="18"/>
  <c r="Y17" i="21"/>
  <c r="I31" i="18"/>
  <c r="L32" i="18"/>
  <c r="I32" i="18" s="1"/>
  <c r="Y23" i="13"/>
  <c r="Q23" i="13"/>
  <c r="R23" i="13"/>
  <c r="P23" i="13"/>
  <c r="M23" i="13" s="1"/>
  <c r="T23" i="13"/>
  <c r="L16" i="18"/>
  <c r="I16" i="18" s="1"/>
  <c r="O18" i="18"/>
  <c r="T15" i="21"/>
  <c r="M26" i="18"/>
  <c r="T20" i="21"/>
  <c r="Y15" i="21"/>
  <c r="R35" i="4"/>
  <c r="P35" i="4" s="1"/>
  <c r="P34" i="4"/>
  <c r="X14" i="4"/>
  <c r="X15" i="4" s="1"/>
  <c r="P24" i="4"/>
  <c r="R25" i="4"/>
  <c r="S25" i="4"/>
  <c r="P28" i="4"/>
  <c r="R29" i="4"/>
  <c r="P29" i="4" s="1"/>
  <c r="U34" i="18"/>
  <c r="X33" i="18"/>
  <c r="X34" i="18" s="1"/>
  <c r="W33" i="18"/>
  <c r="W34" i="18" s="1"/>
  <c r="V33" i="18"/>
  <c r="S13" i="13"/>
  <c r="C27" i="14"/>
  <c r="C28" i="14" s="1"/>
  <c r="T18" i="18"/>
  <c r="Q22" i="18"/>
  <c r="O21" i="18"/>
  <c r="O22" i="18" s="1"/>
  <c r="S15" i="18"/>
  <c r="S16" i="18" s="1"/>
  <c r="W20" i="13"/>
  <c r="V20" i="13"/>
  <c r="U20" i="13"/>
  <c r="S20" i="13" s="1"/>
  <c r="W29" i="4"/>
  <c r="U29" i="4" s="1"/>
  <c r="U28" i="4"/>
  <c r="V27" i="4"/>
  <c r="X22" i="13"/>
  <c r="T13" i="21"/>
  <c r="AC22" i="21"/>
  <c r="AB22" i="21"/>
  <c r="AA22" i="21"/>
  <c r="T18" i="21"/>
  <c r="S16" i="13"/>
  <c r="P22" i="4"/>
  <c r="P23" i="4" s="1"/>
  <c r="R23" i="4"/>
  <c r="U22" i="4"/>
  <c r="U23" i="4" s="1"/>
  <c r="W23" i="4"/>
  <c r="V36" i="18"/>
  <c r="T36" i="18" s="1"/>
  <c r="T35" i="18"/>
  <c r="I25" i="18"/>
  <c r="L26" i="18"/>
  <c r="S14" i="4"/>
  <c r="S15" i="4" s="1"/>
  <c r="T17" i="4"/>
  <c r="T18" i="4" s="1"/>
  <c r="W21" i="4"/>
  <c r="U20" i="4"/>
  <c r="U21" i="4" s="1"/>
  <c r="Y22" i="21" l="1"/>
  <c r="V38" i="4"/>
  <c r="Y38" i="4" s="1"/>
  <c r="L39" i="18"/>
  <c r="U17" i="4"/>
  <c r="M39" i="18"/>
  <c r="U25" i="4"/>
  <c r="N39" i="18"/>
  <c r="U39" i="18"/>
  <c r="X39" i="18" s="1"/>
  <c r="O20" i="18"/>
  <c r="S26" i="4"/>
  <c r="S27" i="4" s="1"/>
  <c r="X20" i="18"/>
  <c r="T20" i="18" s="1"/>
  <c r="M19" i="4"/>
  <c r="J19" i="4" s="1"/>
  <c r="X26" i="4"/>
  <c r="X27" i="4" s="1"/>
  <c r="U14" i="4"/>
  <c r="I26" i="18"/>
  <c r="Q38" i="4"/>
  <c r="R38" i="4" s="1"/>
  <c r="J26" i="4"/>
  <c r="M38" i="4"/>
  <c r="O38" i="4"/>
  <c r="P25" i="4"/>
  <c r="J27" i="4"/>
  <c r="V34" i="18"/>
  <c r="T34" i="18" s="1"/>
  <c r="T33" i="18"/>
  <c r="U23" i="13"/>
  <c r="W23" i="13"/>
  <c r="V23" i="13"/>
  <c r="AA23" i="13"/>
  <c r="Z23" i="13"/>
  <c r="AB23" i="13"/>
  <c r="P15" i="4"/>
  <c r="T31" i="18"/>
  <c r="V32" i="18"/>
  <c r="T32" i="18" s="1"/>
  <c r="T16" i="18"/>
  <c r="T25" i="18"/>
  <c r="V26" i="18"/>
  <c r="P17" i="4"/>
  <c r="R26" i="18"/>
  <c r="R27" i="18" s="1"/>
  <c r="R28" i="18" s="1"/>
  <c r="T19" i="4"/>
  <c r="C29" i="14"/>
  <c r="C34" i="14" s="1"/>
  <c r="W15" i="4"/>
  <c r="U15" i="4" s="1"/>
  <c r="W26" i="4"/>
  <c r="W27" i="4" s="1"/>
  <c r="T15" i="18"/>
  <c r="S18" i="4"/>
  <c r="S19" i="4" s="1"/>
  <c r="W26" i="18"/>
  <c r="W27" i="18" s="1"/>
  <c r="W28" i="18" s="1"/>
  <c r="O31" i="18"/>
  <c r="Q32" i="18"/>
  <c r="O32" i="18" s="1"/>
  <c r="Q34" i="18"/>
  <c r="O34" i="18" s="1"/>
  <c r="O33" i="18"/>
  <c r="S26" i="18"/>
  <c r="S27" i="18" s="1"/>
  <c r="S28" i="18" s="1"/>
  <c r="Q26" i="18"/>
  <c r="O25" i="18"/>
  <c r="Y27" i="4"/>
  <c r="R26" i="4"/>
  <c r="M27" i="18"/>
  <c r="M28" i="18" s="1"/>
  <c r="T26" i="4"/>
  <c r="T27" i="4" s="1"/>
  <c r="X26" i="18"/>
  <c r="T22" i="21"/>
  <c r="X19" i="4"/>
  <c r="Q39" i="18"/>
  <c r="S39" i="18"/>
  <c r="R39" i="18"/>
  <c r="O16" i="18"/>
  <c r="L27" i="18"/>
  <c r="W18" i="4"/>
  <c r="U18" i="4" s="1"/>
  <c r="P14" i="4"/>
  <c r="X20" i="13"/>
  <c r="O15" i="18"/>
  <c r="R18" i="4"/>
  <c r="X38" i="4" l="1"/>
  <c r="W38" i="4"/>
  <c r="W39" i="18"/>
  <c r="T38" i="4"/>
  <c r="I39" i="18"/>
  <c r="V39" i="18"/>
  <c r="U26" i="4"/>
  <c r="O26" i="18"/>
  <c r="J38" i="4"/>
  <c r="S38" i="4"/>
  <c r="P18" i="4"/>
  <c r="U27" i="4"/>
  <c r="I27" i="18"/>
  <c r="Q27" i="18"/>
  <c r="O27" i="18" s="1"/>
  <c r="L28" i="18"/>
  <c r="I28" i="18" s="1"/>
  <c r="O39" i="18"/>
  <c r="X27" i="18"/>
  <c r="X28" i="18" s="1"/>
  <c r="W19" i="4"/>
  <c r="U19" i="4" s="1"/>
  <c r="R19" i="4"/>
  <c r="P19" i="4" s="1"/>
  <c r="T26" i="18"/>
  <c r="X23" i="13"/>
  <c r="S23" i="13"/>
  <c r="P26" i="4"/>
  <c r="R27" i="4"/>
  <c r="P27" i="4" s="1"/>
  <c r="V27" i="18"/>
  <c r="V28" i="18" s="1"/>
  <c r="U38" i="4" l="1"/>
  <c r="T39" i="18"/>
  <c r="P38" i="4"/>
  <c r="T28" i="18"/>
  <c r="Q28" i="18"/>
  <c r="O28" i="18" s="1"/>
  <c r="T27" i="18"/>
</calcChain>
</file>

<file path=xl/sharedStrings.xml><?xml version="1.0" encoding="utf-8"?>
<sst xmlns="http://schemas.openxmlformats.org/spreadsheetml/2006/main" count="656" uniqueCount="206">
  <si>
    <t>Gross Views</t>
  </si>
  <si>
    <t>Unique HHs</t>
  </si>
  <si>
    <t>Average Runtime Per HH</t>
  </si>
  <si>
    <t>CANV0123456789012345</t>
  </si>
  <si>
    <t>CANV0123456789012347</t>
  </si>
  <si>
    <t>CANV0123456789012348</t>
  </si>
  <si>
    <t>CANV0123456789012349</t>
  </si>
  <si>
    <t>CANV0123456789012350</t>
  </si>
  <si>
    <t>Total Runtime (Mins)</t>
  </si>
  <si>
    <t>Total Runtime (Secs)</t>
  </si>
  <si>
    <t>Total Runtime</t>
  </si>
  <si>
    <t>Average Runtime</t>
  </si>
  <si>
    <t>Hours</t>
  </si>
  <si>
    <t>Mins</t>
  </si>
  <si>
    <t>Secs</t>
  </si>
  <si>
    <t>Average Runtime (Secs)</t>
  </si>
  <si>
    <t>Views / HH</t>
  </si>
  <si>
    <t>Average Runtime Per HH (Secs)</t>
  </si>
  <si>
    <t>Ad 1</t>
  </si>
  <si>
    <t>Ad 2</t>
  </si>
  <si>
    <t>Ad 3</t>
  </si>
  <si>
    <t>Ad 4</t>
  </si>
  <si>
    <t>Ad 5</t>
  </si>
  <si>
    <t>Ad 6</t>
  </si>
  <si>
    <t>Ad 7</t>
  </si>
  <si>
    <t>Ad 8</t>
  </si>
  <si>
    <t>Ad 9</t>
  </si>
  <si>
    <t>Ad 10</t>
  </si>
  <si>
    <t>CADS0123456789012345</t>
  </si>
  <si>
    <t>CADS0123456789012346</t>
  </si>
  <si>
    <t>CADS0123456789012347</t>
  </si>
  <si>
    <t>CADS0123456789012348</t>
  </si>
  <si>
    <t>CADS0123456789012349</t>
  </si>
  <si>
    <t>CADS0123456789012350</t>
  </si>
  <si>
    <t>CADS0123456789012351</t>
  </si>
  <si>
    <t>CADS0123456789012352</t>
  </si>
  <si>
    <t>CADS0123456789012353</t>
  </si>
  <si>
    <t>CADS0123456789012354</t>
  </si>
  <si>
    <t>EST</t>
  </si>
  <si>
    <t>MST</t>
  </si>
  <si>
    <t>CST</t>
  </si>
  <si>
    <t>PST</t>
  </si>
  <si>
    <t>Session ID</t>
  </si>
  <si>
    <t>Run time</t>
  </si>
  <si>
    <t>Play time</t>
  </si>
  <si>
    <t>Device</t>
  </si>
  <si>
    <t>Date</t>
  </si>
  <si>
    <t>Time</t>
  </si>
  <si>
    <t>Timezone</t>
  </si>
  <si>
    <t>% Viewed</t>
  </si>
  <si>
    <t>Playtime (secs)</t>
  </si>
  <si>
    <t>STB</t>
  </si>
  <si>
    <t>00:00:25</t>
  </si>
  <si>
    <t>00:00:30</t>
  </si>
  <si>
    <t>00:00:06</t>
  </si>
  <si>
    <t>00:00:10</t>
  </si>
  <si>
    <t>00:00:23</t>
  </si>
  <si>
    <t>00:00:26</t>
  </si>
  <si>
    <t>Scheduled Position</t>
  </si>
  <si>
    <t>Title Asset ID</t>
  </si>
  <si>
    <t>1/1</t>
  </si>
  <si>
    <t>2/1</t>
  </si>
  <si>
    <t>3/2</t>
  </si>
  <si>
    <t>3/1</t>
  </si>
  <si>
    <t>Date Range (Start):</t>
  </si>
  <si>
    <t>Date Range (End):</t>
  </si>
  <si>
    <t>Ad Viewership Summary</t>
  </si>
  <si>
    <t>Totals:</t>
  </si>
  <si>
    <t xml:space="preserve">Ad Viewership Log: Ad 1 (CADS0123456789012345) </t>
  </si>
  <si>
    <t>Network</t>
  </si>
  <si>
    <t>Network 1</t>
  </si>
  <si>
    <t>Network 2</t>
  </si>
  <si>
    <t>Network 3</t>
  </si>
  <si>
    <t>Network 4</t>
  </si>
  <si>
    <t>Network 5</t>
  </si>
  <si>
    <t>Gross Ad Views</t>
  </si>
  <si>
    <t xml:space="preserve">Total Orders </t>
  </si>
  <si>
    <t>Total Campaigns</t>
  </si>
  <si>
    <t>Totals/Avgs:</t>
  </si>
  <si>
    <t>00:02:09</t>
  </si>
  <si>
    <t>00:02:04</t>
  </si>
  <si>
    <t>Programmer:</t>
  </si>
  <si>
    <t>Gross Ad Scheduled Insertions</t>
  </si>
  <si>
    <t>Scheduled Insertions</t>
  </si>
  <si>
    <t>Summary Report</t>
  </si>
  <si>
    <t>Product:</t>
  </si>
  <si>
    <t>On Demand DAI</t>
  </si>
  <si>
    <t>Programmer XYZ</t>
  </si>
  <si>
    <t>Report:</t>
  </si>
  <si>
    <t>Report Generated: 7/16/2011 10:34 AM</t>
  </si>
  <si>
    <t>Programmer Use Only - Subject to Confidentiality Agreement</t>
  </si>
  <si>
    <t>(c)2011 Canoe Ventures LLC.  All Rights Reserved</t>
  </si>
  <si>
    <t>Confidential to Canoe Ventures - Do Not Distribute</t>
  </si>
  <si>
    <t>Campaign Summary</t>
  </si>
  <si>
    <t>Campaign</t>
  </si>
  <si>
    <t>Goal</t>
  </si>
  <si>
    <t>Total Scheduled Insertions</t>
  </si>
  <si>
    <t>Total Views</t>
  </si>
  <si>
    <t>Ad Title Brief</t>
  </si>
  <si>
    <t>Ad Asset ID</t>
  </si>
  <si>
    <t xml:space="preserve"> Views</t>
  </si>
  <si>
    <t>Pepsi 123</t>
  </si>
  <si>
    <t>Dell Spring 2011</t>
  </si>
  <si>
    <t>HP Spring 2011</t>
  </si>
  <si>
    <t>Coke - Olympics</t>
  </si>
  <si>
    <t xml:space="preserve">Campaign Proof of Performance: Pepsi 123 (000000222) </t>
  </si>
  <si>
    <t>Placement ID</t>
  </si>
  <si>
    <t>AD-ID</t>
  </si>
  <si>
    <t>CADS1234567H</t>
  </si>
  <si>
    <t>CADS1234568H</t>
  </si>
  <si>
    <t>CADS1234569H</t>
  </si>
  <si>
    <t>CADS1234570H</t>
  </si>
  <si>
    <t>CADS1234571H</t>
  </si>
  <si>
    <t>CADS1234572H</t>
  </si>
  <si>
    <t>CADS1234573H</t>
  </si>
  <si>
    <t>CADS1234574H</t>
  </si>
  <si>
    <t>CADS1234575H</t>
  </si>
  <si>
    <t>CADS1234576H</t>
  </si>
  <si>
    <t>CADS1234566H</t>
  </si>
  <si>
    <t>CADS1234565H</t>
  </si>
  <si>
    <t>CADS1234564H</t>
  </si>
  <si>
    <t>CADS1234563H</t>
  </si>
  <si>
    <t>CADS1234562H</t>
  </si>
  <si>
    <t>CADS1234561H</t>
  </si>
  <si>
    <t xml:space="preserve">Totals/Avgs:   </t>
  </si>
  <si>
    <t xml:space="preserve">Ad 9 </t>
  </si>
  <si>
    <t>Programmer</t>
  </si>
  <si>
    <t>Programmer ABC</t>
  </si>
  <si>
    <t>Programmer 123</t>
  </si>
  <si>
    <t>Network 6</t>
  </si>
  <si>
    <t>Network 7</t>
  </si>
  <si>
    <t>Networks</t>
  </si>
  <si>
    <t>1/1/2011 - 1/31/2011</t>
  </si>
  <si>
    <t>2/1/2011 - 2/28/2011</t>
  </si>
  <si>
    <t>3/1/2011 - 3/31/2011</t>
  </si>
  <si>
    <t xml:space="preserve">NETWORK </t>
  </si>
  <si>
    <t>CANOE ONLY</t>
  </si>
  <si>
    <t>ADVERTISER</t>
  </si>
  <si>
    <t xml:space="preserve">Campaign PoP (Advertiser View) </t>
  </si>
  <si>
    <t>Ad Viewership Summary (Cross Programmer)</t>
  </si>
  <si>
    <t>Campaign Summary (Cross Programmer)</t>
  </si>
  <si>
    <t xml:space="preserve">Campaign PoP (Programmer View) </t>
  </si>
  <si>
    <t>VOD DAI - v1.0 - Sample Reports (First Phase)</t>
  </si>
  <si>
    <t>Average Runtime / HH</t>
  </si>
  <si>
    <t>Calculation</t>
  </si>
  <si>
    <t>Description</t>
  </si>
  <si>
    <t>Total Number of Ad Scheduled Insertions</t>
  </si>
  <si>
    <t>Total Number of Ad Views</t>
  </si>
  <si>
    <t>Total Number of Orders</t>
  </si>
  <si>
    <t>Total Number of Campaigns</t>
  </si>
  <si>
    <t>Calculated by Dividing Views by Unique  Households producing such Views</t>
  </si>
  <si>
    <t>Total Unique HHs based by Ad Asset or Campaign as specified</t>
  </si>
  <si>
    <t>Total Run time</t>
  </si>
  <si>
    <t>Total Playtime</t>
  </si>
  <si>
    <t>Total Run time represented as HH:MM:SS</t>
  </si>
  <si>
    <t>Total Play time represented as HH:MM:SS</t>
  </si>
  <si>
    <t>Average Run Time across specified set of sessions, represented as HH:MM:SS</t>
  </si>
  <si>
    <t>Calculated by Dividing the  Average Run Time by Unique  Households producing such Run time</t>
  </si>
  <si>
    <t>Average Run time</t>
  </si>
  <si>
    <t>Average Run time / HH</t>
  </si>
  <si>
    <t>Note: Ad Viewership Log reports only available where PSNs are available to Canoe</t>
  </si>
  <si>
    <t xml:space="preserve">Ad Viewership Detail: Ad 1 (CADS0123456789012345) </t>
  </si>
  <si>
    <t>AD-ID:</t>
  </si>
  <si>
    <t>CADS1234567J</t>
  </si>
  <si>
    <t>Total Gross Views:</t>
  </si>
  <si>
    <t>Views / HH:</t>
  </si>
  <si>
    <t>Unique HHs:</t>
  </si>
  <si>
    <t>Total Runtime:</t>
  </si>
  <si>
    <t>29343:18:1</t>
  </si>
  <si>
    <t>Average Runtime:</t>
  </si>
  <si>
    <t>0:0:27</t>
  </si>
  <si>
    <t>Average Runtime / HH:</t>
  </si>
  <si>
    <t>0:5:27</t>
  </si>
  <si>
    <t>Ad Placement Location Details:</t>
  </si>
  <si>
    <t>Break / Position:</t>
  </si>
  <si>
    <t>Views</t>
  </si>
  <si>
    <t>Ad Viewership Detail</t>
  </si>
  <si>
    <t>Preroll.1</t>
  </si>
  <si>
    <t>Postroll.1</t>
  </si>
  <si>
    <t>Preroll.2</t>
  </si>
  <si>
    <t>Preroll.3</t>
  </si>
  <si>
    <t>Kn/CuphFqeFjPmTCiERrv9+sCADokj+hiEOBbmon7SBJQavoP3zTOhQBrbsyy1Mn</t>
  </si>
  <si>
    <t>TWAA0000000000000255</t>
  </si>
  <si>
    <t>TWAA0000000000000156</t>
  </si>
  <si>
    <t>Kn/CuphFqeFjPmTCiERrv9+sCADokj+hiEOBbmon7SBd0xIXrjE7Toz/l9tHzLP9</t>
  </si>
  <si>
    <t>TWAA0000000000000417</t>
  </si>
  <si>
    <t>TWAA0000000000000378</t>
  </si>
  <si>
    <t>test-Session_id_B</t>
  </si>
  <si>
    <t>test-Session_id_C</t>
  </si>
  <si>
    <t>Placement Response SESSION_ID</t>
  </si>
  <si>
    <t>CAMPAIGN_ID</t>
  </si>
  <si>
    <t>NUM_INSERTIONS</t>
  </si>
  <si>
    <t>CAMPAIGN
_ITEM_ID</t>
  </si>
  <si>
    <t>Transaction Date (Hourly)</t>
  </si>
  <si>
    <t>Transaction Date (minutes)</t>
  </si>
  <si>
    <t>TRACKING
_ASSET_ID</t>
  </si>
  <si>
    <t>Campaign ID</t>
  </si>
  <si>
    <t>MSO (Operator)</t>
  </si>
  <si>
    <t>Service Group</t>
  </si>
  <si>
    <t xml:space="preserve">The Ad Viewership Summary report provides aggregated viewership metrics for ad assets airing on one or many networks across a given slice of time. </t>
  </si>
  <si>
    <t>SCTE_RESPONSE_PLACEMENT.tracking_id</t>
  </si>
  <si>
    <t>dai_reporting.OPERATOR.company_name</t>
  </si>
  <si>
    <t>SCTE_REQUEST.adm_data, or SCTE_PSN.playdata_service_group?</t>
  </si>
  <si>
    <t>SCTE_PSN.pse_event_type, spot_npt_scale, spot_npt_value</t>
  </si>
  <si>
    <t>SCTE_PSN.pse_event_dt_string</t>
  </si>
  <si>
    <t>SCTE_PSN.actual_asset_id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</si>
</sst>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/d/yy\ h:mm\ AM/PM;@"/>
    <numFmt numFmtId="165" formatCode="[$-409]m/d/yyyy\ h:mm\ AM/PM;@"/>
    <numFmt numFmtId="166" formatCode="mm/dd/yyyy\ hh:mm:ss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i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Lucida Console"/>
      <family val="3"/>
    </font>
    <font>
      <sz val="10"/>
      <color theme="1"/>
      <name val="Lucida Console"/>
      <family val="3"/>
    </font>
    <font>
      <b/>
      <sz val="9"/>
      <color rgb="FF0000FF"/>
      <name val="Lucida Console"/>
      <family val="3"/>
    </font>
    <font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ndara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2">
    <xf numFmtId="0" fontId="0" fillId="0" borderId="0" xfId="0"/>
    <xf numFmtId="1" fontId="0" fillId="0" borderId="0" xfId="0" applyNumberFormat="1"/>
    <xf numFmtId="0" fontId="0" fillId="0" borderId="3" xfId="0" applyBorder="1"/>
    <xf numFmtId="0" fontId="1" fillId="0" borderId="3" xfId="0" applyFont="1" applyBorder="1"/>
    <xf numFmtId="0" fontId="1" fillId="0" borderId="0" xfId="0" applyFont="1" applyAlignment="1">
      <alignment horizontal="right"/>
    </xf>
    <xf numFmtId="0" fontId="0" fillId="0" borderId="3" xfId="0" applyNumberFormat="1" applyBorder="1"/>
    <xf numFmtId="1" fontId="0" fillId="0" borderId="3" xfId="0" applyNumberFormat="1" applyBorder="1"/>
    <xf numFmtId="0" fontId="1" fillId="0" borderId="7" xfId="0" applyFont="1" applyBorder="1"/>
    <xf numFmtId="0" fontId="1" fillId="0" borderId="8" xfId="0" applyFont="1" applyBorder="1"/>
    <xf numFmtId="0" fontId="0" fillId="0" borderId="10" xfId="0" applyNumberFormat="1" applyBorder="1"/>
    <xf numFmtId="0" fontId="0" fillId="0" borderId="12" xfId="0" applyBorder="1"/>
    <xf numFmtId="0" fontId="0" fillId="0" borderId="12" xfId="0" applyNumberFormat="1" applyBorder="1"/>
    <xf numFmtId="1" fontId="0" fillId="0" borderId="12" xfId="0" applyNumberFormat="1" applyBorder="1"/>
    <xf numFmtId="0" fontId="0" fillId="0" borderId="13" xfId="0" applyNumberFormat="1" applyBorder="1"/>
    <xf numFmtId="0" fontId="3" fillId="0" borderId="0" xfId="0" applyFont="1"/>
    <xf numFmtId="14" fontId="0" fillId="0" borderId="3" xfId="0" applyNumberFormat="1" applyBorder="1"/>
    <xf numFmtId="18" fontId="0" fillId="0" borderId="3" xfId="0" applyNumberFormat="1" applyBorder="1"/>
    <xf numFmtId="49" fontId="0" fillId="0" borderId="3" xfId="0" applyNumberFormat="1" applyBorder="1"/>
    <xf numFmtId="14" fontId="0" fillId="0" borderId="12" xfId="0" applyNumberFormat="1" applyBorder="1"/>
    <xf numFmtId="18" fontId="0" fillId="0" borderId="12" xfId="0" applyNumberFormat="1" applyBorder="1"/>
    <xf numFmtId="49" fontId="0" fillId="0" borderId="12" xfId="0" applyNumberFormat="1" applyBorder="1"/>
    <xf numFmtId="49" fontId="0" fillId="0" borderId="3" xfId="0" applyNumberFormat="1" applyFont="1" applyBorder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0" fontId="1" fillId="0" borderId="16" xfId="0" applyFont="1" applyFill="1" applyBorder="1" applyAlignment="1">
      <alignment horizontal="right"/>
    </xf>
    <xf numFmtId="1" fontId="0" fillId="0" borderId="17" xfId="0" applyNumberFormat="1" applyBorder="1"/>
    <xf numFmtId="1" fontId="0" fillId="0" borderId="20" xfId="0" applyNumberFormat="1" applyBorder="1"/>
    <xf numFmtId="0" fontId="0" fillId="0" borderId="17" xfId="0" applyBorder="1"/>
    <xf numFmtId="0" fontId="0" fillId="0" borderId="20" xfId="0" applyNumberFormat="1" applyBorder="1"/>
    <xf numFmtId="0" fontId="0" fillId="0" borderId="19" xfId="0" applyNumberFormat="1" applyBorder="1"/>
    <xf numFmtId="0" fontId="0" fillId="0" borderId="23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21" xfId="0" applyFont="1" applyBorder="1"/>
    <xf numFmtId="0" fontId="0" fillId="0" borderId="22" xfId="0" applyBorder="1"/>
    <xf numFmtId="0" fontId="1" fillId="0" borderId="24" xfId="0" applyFont="1" applyFill="1" applyBorder="1" applyAlignment="1">
      <alignment horizontal="right"/>
    </xf>
    <xf numFmtId="0" fontId="0" fillId="0" borderId="28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20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wrapTex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164" fontId="0" fillId="2" borderId="0" xfId="0" applyNumberFormat="1" applyFill="1" applyAlignment="1">
      <alignment horizontal="left"/>
    </xf>
    <xf numFmtId="165" fontId="0" fillId="2" borderId="0" xfId="0" applyNumberFormat="1" applyFill="1" applyAlignment="1">
      <alignment horizontal="left"/>
    </xf>
    <xf numFmtId="0" fontId="0" fillId="0" borderId="0" xfId="0" applyAlignment="1">
      <alignment vertical="center"/>
    </xf>
    <xf numFmtId="1" fontId="0" fillId="0" borderId="3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1" fillId="2" borderId="6" xfId="0" applyFont="1" applyFill="1" applyBorder="1"/>
    <xf numFmtId="0" fontId="1" fillId="2" borderId="7" xfId="0" applyFont="1" applyFill="1" applyBorder="1"/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3" fillId="0" borderId="30" xfId="0" applyFont="1" applyBorder="1"/>
    <xf numFmtId="3" fontId="3" fillId="0" borderId="31" xfId="0" applyNumberFormat="1" applyFont="1" applyBorder="1" applyAlignment="1">
      <alignment horizontal="center"/>
    </xf>
    <xf numFmtId="0" fontId="3" fillId="0" borderId="32" xfId="0" applyNumberFormat="1" applyFont="1" applyBorder="1" applyAlignment="1">
      <alignment horizontal="center"/>
    </xf>
    <xf numFmtId="3" fontId="3" fillId="0" borderId="34" xfId="0" applyNumberFormat="1" applyFont="1" applyBorder="1" applyAlignment="1">
      <alignment horizontal="center"/>
    </xf>
    <xf numFmtId="0" fontId="0" fillId="0" borderId="35" xfId="0" applyBorder="1"/>
    <xf numFmtId="3" fontId="3" fillId="0" borderId="0" xfId="0" applyNumberFormat="1" applyFon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0" fontId="3" fillId="0" borderId="35" xfId="0" applyFont="1" applyBorder="1"/>
    <xf numFmtId="0" fontId="3" fillId="0" borderId="36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0" fontId="3" fillId="0" borderId="42" xfId="0" applyFont="1" applyBorder="1"/>
    <xf numFmtId="3" fontId="3" fillId="0" borderId="43" xfId="0" applyNumberFormat="1" applyFont="1" applyBorder="1" applyAlignment="1">
      <alignment horizontal="center"/>
    </xf>
    <xf numFmtId="0" fontId="3" fillId="0" borderId="44" xfId="0" applyNumberFormat="1" applyFont="1" applyBorder="1" applyAlignment="1">
      <alignment horizontal="center"/>
    </xf>
    <xf numFmtId="0" fontId="3" fillId="0" borderId="45" xfId="0" applyFont="1" applyBorder="1"/>
    <xf numFmtId="3" fontId="3" fillId="0" borderId="46" xfId="0" applyNumberFormat="1" applyFont="1" applyBorder="1" applyAlignment="1">
      <alignment horizontal="center"/>
    </xf>
    <xf numFmtId="3" fontId="3" fillId="0" borderId="47" xfId="0" applyNumberFormat="1" applyFont="1" applyBorder="1" applyAlignment="1">
      <alignment horizontal="center"/>
    </xf>
    <xf numFmtId="0" fontId="3" fillId="0" borderId="47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1" fillId="0" borderId="5" xfId="0" applyFont="1" applyBorder="1"/>
    <xf numFmtId="3" fontId="1" fillId="0" borderId="5" xfId="0" applyNumberFormat="1" applyFont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39" xfId="0" applyNumberFormat="1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1" fontId="1" fillId="0" borderId="26" xfId="0" applyNumberFormat="1" applyFont="1" applyBorder="1" applyAlignment="1">
      <alignment horizontal="center"/>
    </xf>
    <xf numFmtId="3" fontId="1" fillId="0" borderId="25" xfId="0" applyNumberFormat="1" applyFont="1" applyBorder="1" applyAlignment="1">
      <alignment horizontal="center"/>
    </xf>
    <xf numFmtId="1" fontId="1" fillId="0" borderId="25" xfId="0" applyNumberFormat="1" applyFont="1" applyBorder="1" applyAlignment="1">
      <alignment horizontal="center"/>
    </xf>
    <xf numFmtId="3" fontId="1" fillId="0" borderId="20" xfId="0" applyNumberFormat="1" applyFont="1" applyBorder="1" applyAlignment="1">
      <alignment horizontal="center"/>
    </xf>
    <xf numFmtId="0" fontId="1" fillId="0" borderId="27" xfId="0" applyNumberFormat="1" applyFont="1" applyBorder="1" applyAlignment="1">
      <alignment horizontal="center"/>
    </xf>
    <xf numFmtId="3" fontId="1" fillId="0" borderId="49" xfId="0" applyNumberFormat="1" applyFont="1" applyBorder="1" applyAlignment="1">
      <alignment horizontal="center"/>
    </xf>
    <xf numFmtId="1" fontId="1" fillId="0" borderId="48" xfId="0" applyNumberFormat="1" applyFont="1" applyBorder="1" applyAlignment="1">
      <alignment horizontal="center"/>
    </xf>
    <xf numFmtId="0" fontId="1" fillId="0" borderId="50" xfId="0" applyNumberFormat="1" applyFont="1" applyBorder="1" applyAlignment="1">
      <alignment horizontal="center"/>
    </xf>
    <xf numFmtId="0" fontId="1" fillId="0" borderId="49" xfId="0" applyFont="1" applyBorder="1"/>
    <xf numFmtId="4" fontId="1" fillId="0" borderId="49" xfId="0" applyNumberFormat="1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1" fontId="1" fillId="0" borderId="49" xfId="0" applyNumberFormat="1" applyFont="1" applyBorder="1" applyAlignment="1">
      <alignment horizontal="center"/>
    </xf>
    <xf numFmtId="0" fontId="1" fillId="0" borderId="37" xfId="0" applyFont="1" applyBorder="1"/>
    <xf numFmtId="0" fontId="1" fillId="0" borderId="33" xfId="0" applyFont="1" applyBorder="1"/>
    <xf numFmtId="0" fontId="1" fillId="0" borderId="52" xfId="0" applyFont="1" applyBorder="1"/>
    <xf numFmtId="0" fontId="1" fillId="2" borderId="21" xfId="0" applyFont="1" applyFill="1" applyBorder="1" applyAlignment="1">
      <alignment horizontal="center"/>
    </xf>
    <xf numFmtId="0" fontId="3" fillId="0" borderId="4" xfId="0" applyFont="1" applyBorder="1"/>
    <xf numFmtId="0" fontId="3" fillId="0" borderId="55" xfId="0" applyFont="1" applyBorder="1"/>
    <xf numFmtId="0" fontId="3" fillId="0" borderId="29" xfId="0" applyFont="1" applyBorder="1"/>
    <xf numFmtId="0" fontId="3" fillId="0" borderId="56" xfId="0" applyFont="1" applyBorder="1"/>
    <xf numFmtId="3" fontId="3" fillId="0" borderId="4" xfId="0" applyNumberFormat="1" applyFont="1" applyBorder="1" applyAlignment="1">
      <alignment horizontal="center"/>
    </xf>
    <xf numFmtId="3" fontId="3" fillId="0" borderId="55" xfId="0" applyNumberFormat="1" applyFont="1" applyBorder="1" applyAlignment="1">
      <alignment horizontal="center"/>
    </xf>
    <xf numFmtId="3" fontId="3" fillId="0" borderId="29" xfId="0" applyNumberFormat="1" applyFont="1" applyBorder="1" applyAlignment="1">
      <alignment horizontal="center"/>
    </xf>
    <xf numFmtId="3" fontId="3" fillId="0" borderId="56" xfId="0" applyNumberFormat="1" applyFont="1" applyBorder="1" applyAlignment="1">
      <alignment horizontal="center"/>
    </xf>
    <xf numFmtId="4" fontId="3" fillId="0" borderId="4" xfId="0" applyNumberFormat="1" applyFont="1" applyBorder="1" applyAlignment="1">
      <alignment horizontal="center"/>
    </xf>
    <xf numFmtId="4" fontId="3" fillId="0" borderId="55" xfId="0" applyNumberFormat="1" applyFont="1" applyBorder="1" applyAlignment="1">
      <alignment horizontal="center"/>
    </xf>
    <xf numFmtId="4" fontId="3" fillId="0" borderId="29" xfId="0" applyNumberFormat="1" applyFont="1" applyBorder="1" applyAlignment="1">
      <alignment horizontal="center"/>
    </xf>
    <xf numFmtId="4" fontId="3" fillId="0" borderId="56" xfId="0" applyNumberFormat="1" applyFont="1" applyBorder="1" applyAlignment="1">
      <alignment horizontal="center"/>
    </xf>
    <xf numFmtId="1" fontId="1" fillId="0" borderId="22" xfId="0" applyNumberFormat="1" applyFont="1" applyBorder="1" applyAlignment="1">
      <alignment horizontal="center"/>
    </xf>
    <xf numFmtId="1" fontId="1" fillId="0" borderId="53" xfId="0" applyNumberFormat="1" applyFont="1" applyBorder="1" applyAlignment="1">
      <alignment horizontal="center"/>
    </xf>
    <xf numFmtId="1" fontId="1" fillId="0" borderId="54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3" fillId="0" borderId="55" xfId="0" applyNumberFormat="1" applyFont="1" applyBorder="1" applyAlignment="1">
      <alignment horizontal="center"/>
    </xf>
    <xf numFmtId="0" fontId="3" fillId="0" borderId="29" xfId="0" applyNumberFormat="1" applyFont="1" applyBorder="1" applyAlignment="1">
      <alignment horizontal="center"/>
    </xf>
    <xf numFmtId="0" fontId="3" fillId="0" borderId="56" xfId="0" applyNumberFormat="1" applyFont="1" applyBorder="1" applyAlignment="1">
      <alignment horizontal="center"/>
    </xf>
    <xf numFmtId="1" fontId="1" fillId="0" borderId="57" xfId="0" applyNumberFormat="1" applyFont="1" applyBorder="1" applyAlignment="1">
      <alignment horizontal="center"/>
    </xf>
    <xf numFmtId="0" fontId="3" fillId="0" borderId="58" xfId="0" applyNumberFormat="1" applyFont="1" applyBorder="1" applyAlignment="1">
      <alignment horizontal="center"/>
    </xf>
    <xf numFmtId="0" fontId="3" fillId="0" borderId="59" xfId="0" applyNumberFormat="1" applyFont="1" applyBorder="1" applyAlignment="1">
      <alignment horizontal="center"/>
    </xf>
    <xf numFmtId="0" fontId="3" fillId="0" borderId="60" xfId="0" applyNumberFormat="1" applyFont="1" applyBorder="1" applyAlignment="1">
      <alignment horizontal="center"/>
    </xf>
    <xf numFmtId="3" fontId="3" fillId="0" borderId="61" xfId="0" applyNumberFormat="1" applyFont="1" applyBorder="1" applyAlignment="1">
      <alignment horizontal="center"/>
    </xf>
    <xf numFmtId="0" fontId="3" fillId="0" borderId="61" xfId="0" applyNumberFormat="1" applyFont="1" applyBorder="1" applyAlignment="1">
      <alignment horizontal="center"/>
    </xf>
    <xf numFmtId="0" fontId="1" fillId="2" borderId="8" xfId="0" applyFont="1" applyFill="1" applyBorder="1"/>
    <xf numFmtId="0" fontId="0" fillId="0" borderId="1" xfId="0" applyBorder="1"/>
    <xf numFmtId="3" fontId="0" fillId="0" borderId="64" xfId="0" applyNumberFormat="1" applyBorder="1" applyAlignment="1">
      <alignment horizontal="center"/>
    </xf>
    <xf numFmtId="0" fontId="0" fillId="0" borderId="21" xfId="0" applyBorder="1"/>
    <xf numFmtId="0" fontId="0" fillId="0" borderId="15" xfId="0" applyBorder="1"/>
    <xf numFmtId="3" fontId="0" fillId="0" borderId="7" xfId="0" applyNumberFormat="1" applyFont="1" applyBorder="1" applyAlignment="1">
      <alignment horizontal="center" vertical="center"/>
    </xf>
    <xf numFmtId="3" fontId="0" fillId="0" borderId="14" xfId="0" applyNumberFormat="1" applyBorder="1" applyAlignment="1">
      <alignment horizontal="center"/>
    </xf>
    <xf numFmtId="2" fontId="0" fillId="0" borderId="22" xfId="0" applyNumberFormat="1" applyBorder="1"/>
    <xf numFmtId="0" fontId="0" fillId="0" borderId="65" xfId="0" applyBorder="1"/>
    <xf numFmtId="3" fontId="0" fillId="0" borderId="3" xfId="0" applyNumberFormat="1" applyFont="1" applyBorder="1" applyAlignment="1">
      <alignment horizontal="center" vertical="center"/>
    </xf>
    <xf numFmtId="3" fontId="0" fillId="0" borderId="38" xfId="0" applyNumberFormat="1" applyBorder="1" applyAlignment="1">
      <alignment horizontal="center"/>
    </xf>
    <xf numFmtId="0" fontId="0" fillId="0" borderId="40" xfId="0" applyBorder="1"/>
    <xf numFmtId="0" fontId="0" fillId="0" borderId="66" xfId="0" applyBorder="1"/>
    <xf numFmtId="3" fontId="0" fillId="0" borderId="12" xfId="0" applyNumberFormat="1" applyFont="1" applyBorder="1" applyAlignment="1">
      <alignment horizontal="center" vertical="center"/>
    </xf>
    <xf numFmtId="3" fontId="0" fillId="0" borderId="41" xfId="0" applyNumberFormat="1" applyBorder="1" applyAlignment="1">
      <alignment horizontal="center"/>
    </xf>
    <xf numFmtId="0" fontId="0" fillId="0" borderId="62" xfId="0" applyBorder="1"/>
    <xf numFmtId="0" fontId="0" fillId="0" borderId="63" xfId="0" applyBorder="1"/>
    <xf numFmtId="3" fontId="0" fillId="0" borderId="20" xfId="0" applyNumberFormat="1" applyFont="1" applyBorder="1" applyAlignment="1">
      <alignment horizontal="center" vertical="center"/>
    </xf>
    <xf numFmtId="3" fontId="0" fillId="0" borderId="18" xfId="0" applyNumberFormat="1" applyBorder="1" applyAlignment="1">
      <alignment horizontal="center"/>
    </xf>
    <xf numFmtId="2" fontId="0" fillId="0" borderId="28" xfId="0" applyNumberFormat="1" applyBorder="1"/>
    <xf numFmtId="0" fontId="1" fillId="0" borderId="23" xfId="0" applyFont="1" applyFill="1" applyBorder="1" applyAlignment="1">
      <alignment horizontal="right"/>
    </xf>
    <xf numFmtId="0" fontId="1" fillId="0" borderId="17" xfId="0" applyFont="1" applyBorder="1"/>
    <xf numFmtId="0" fontId="1" fillId="0" borderId="17" xfId="0" applyFont="1" applyFill="1" applyBorder="1" applyAlignment="1">
      <alignment horizontal="right"/>
    </xf>
    <xf numFmtId="3" fontId="1" fillId="0" borderId="20" xfId="0" applyNumberFormat="1" applyFont="1" applyFill="1" applyBorder="1" applyAlignment="1">
      <alignment horizontal="center"/>
    </xf>
    <xf numFmtId="3" fontId="1" fillId="0" borderId="18" xfId="0" applyNumberFormat="1" applyFont="1" applyBorder="1" applyAlignment="1">
      <alignment horizontal="center"/>
    </xf>
    <xf numFmtId="2" fontId="0" fillId="0" borderId="62" xfId="0" applyNumberFormat="1" applyFill="1" applyBorder="1"/>
    <xf numFmtId="0" fontId="1" fillId="2" borderId="23" xfId="0" applyFont="1" applyFill="1" applyBorder="1"/>
    <xf numFmtId="0" fontId="1" fillId="2" borderId="20" xfId="0" applyFont="1" applyFill="1" applyBorder="1" applyAlignment="1">
      <alignment horizontal="center"/>
    </xf>
    <xf numFmtId="0" fontId="1" fillId="2" borderId="62" xfId="0" applyFont="1" applyFill="1" applyBorder="1"/>
    <xf numFmtId="0" fontId="1" fillId="2" borderId="63" xfId="0" applyFont="1" applyFill="1" applyBorder="1"/>
    <xf numFmtId="0" fontId="1" fillId="2" borderId="18" xfId="0" applyFont="1" applyFill="1" applyBorder="1" applyAlignment="1">
      <alignment horizont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1" fillId="2" borderId="21" xfId="0" applyFont="1" applyFill="1" applyBorder="1"/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67" xfId="0" applyFont="1" applyFill="1" applyBorder="1" applyAlignment="1">
      <alignment horizontal="right"/>
    </xf>
    <xf numFmtId="0" fontId="1" fillId="0" borderId="23" xfId="0" applyFont="1" applyFill="1" applyBorder="1" applyAlignment="1">
      <alignment horizontal="right"/>
    </xf>
    <xf numFmtId="0" fontId="7" fillId="2" borderId="51" xfId="0" applyFont="1" applyFill="1" applyBorder="1"/>
    <xf numFmtId="0" fontId="7" fillId="2" borderId="7" xfId="0" applyFont="1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wrapText="1"/>
    </xf>
    <xf numFmtId="0" fontId="0" fillId="3" borderId="0" xfId="0" applyFont="1" applyFill="1"/>
    <xf numFmtId="0" fontId="1" fillId="3" borderId="0" xfId="0" applyFont="1" applyFill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right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1" fontId="0" fillId="3" borderId="0" xfId="0" applyNumberFormat="1" applyFill="1"/>
    <xf numFmtId="14" fontId="0" fillId="3" borderId="0" xfId="0" applyNumberFormat="1" applyFill="1"/>
    <xf numFmtId="14" fontId="0" fillId="3" borderId="0" xfId="0" applyNumberFormat="1" applyFill="1" applyAlignment="1">
      <alignment horizontal="center"/>
    </xf>
    <xf numFmtId="0" fontId="8" fillId="2" borderId="0" xfId="0" applyFont="1" applyFill="1" applyAlignment="1">
      <alignment horizontal="right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vertical="center"/>
    </xf>
    <xf numFmtId="49" fontId="0" fillId="3" borderId="20" xfId="0" applyNumberFormat="1" applyFill="1" applyBorder="1"/>
    <xf numFmtId="0" fontId="0" fillId="3" borderId="20" xfId="0" applyFill="1" applyBorder="1" applyAlignment="1">
      <alignment horizontal="center" vertical="center"/>
    </xf>
    <xf numFmtId="1" fontId="0" fillId="3" borderId="63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/>
    </xf>
    <xf numFmtId="0" fontId="0" fillId="3" borderId="2" xfId="0" applyFill="1" applyBorder="1"/>
    <xf numFmtId="0" fontId="1" fillId="0" borderId="69" xfId="0" applyFont="1" applyBorder="1"/>
    <xf numFmtId="0" fontId="3" fillId="0" borderId="31" xfId="0" applyFont="1" applyBorder="1"/>
    <xf numFmtId="0" fontId="3" fillId="0" borderId="43" xfId="0" applyFont="1" applyBorder="1"/>
    <xf numFmtId="0" fontId="1" fillId="0" borderId="34" xfId="0" applyFont="1" applyBorder="1"/>
    <xf numFmtId="0" fontId="3" fillId="0" borderId="0" xfId="0" applyFont="1" applyBorder="1"/>
    <xf numFmtId="0" fontId="3" fillId="0" borderId="46" xfId="0" applyFont="1" applyBorder="1"/>
    <xf numFmtId="0" fontId="1" fillId="0" borderId="70" xfId="0" applyFont="1" applyBorder="1"/>
    <xf numFmtId="0" fontId="0" fillId="3" borderId="0" xfId="0" applyFill="1" applyBorder="1"/>
    <xf numFmtId="0" fontId="1" fillId="0" borderId="71" xfId="0" applyFont="1" applyFill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1" fillId="2" borderId="16" xfId="0" applyFont="1" applyFill="1" applyBorder="1" applyAlignment="1">
      <alignment horizontal="center"/>
    </xf>
    <xf numFmtId="0" fontId="1" fillId="0" borderId="16" xfId="0" applyFont="1" applyBorder="1" applyAlignment="1">
      <alignment horizontal="right"/>
    </xf>
    <xf numFmtId="0" fontId="1" fillId="2" borderId="20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3" fontId="1" fillId="0" borderId="62" xfId="0" applyNumberFormat="1" applyFont="1" applyBorder="1" applyAlignment="1">
      <alignment horizontal="center" vertical="center"/>
    </xf>
    <xf numFmtId="3" fontId="0" fillId="0" borderId="38" xfId="0" applyNumberFormat="1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21" xfId="0" applyNumberFormat="1" applyFont="1" applyBorder="1" applyAlignment="1">
      <alignment horizontal="center" vertical="center"/>
    </xf>
    <xf numFmtId="3" fontId="0" fillId="0" borderId="14" xfId="0" applyNumberFormat="1" applyFont="1" applyBorder="1" applyAlignment="1">
      <alignment horizontal="center" vertical="center"/>
    </xf>
    <xf numFmtId="3" fontId="0" fillId="0" borderId="22" xfId="0" applyNumberFormat="1" applyFont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3" fontId="0" fillId="0" borderId="54" xfId="0" applyNumberFormat="1" applyFont="1" applyBorder="1" applyAlignment="1">
      <alignment horizontal="center" vertical="center"/>
    </xf>
    <xf numFmtId="3" fontId="0" fillId="0" borderId="77" xfId="0" applyNumberFormat="1" applyFont="1" applyBorder="1" applyAlignment="1">
      <alignment horizontal="center" vertical="center"/>
    </xf>
    <xf numFmtId="3" fontId="3" fillId="0" borderId="78" xfId="0" applyNumberFormat="1" applyFont="1" applyBorder="1" applyAlignment="1">
      <alignment horizontal="center"/>
    </xf>
    <xf numFmtId="3" fontId="3" fillId="0" borderId="79" xfId="0" applyNumberFormat="1" applyFont="1" applyBorder="1" applyAlignment="1">
      <alignment horizontal="center"/>
    </xf>
    <xf numFmtId="3" fontId="3" fillId="0" borderId="80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/>
    </xf>
    <xf numFmtId="3" fontId="3" fillId="0" borderId="36" xfId="0" applyNumberFormat="1" applyFont="1" applyBorder="1" applyAlignment="1">
      <alignment horizontal="center"/>
    </xf>
    <xf numFmtId="3" fontId="3" fillId="0" borderId="44" xfId="0" applyNumberFormat="1" applyFont="1" applyBorder="1" applyAlignment="1">
      <alignment horizontal="center"/>
    </xf>
    <xf numFmtId="165" fontId="0" fillId="2" borderId="0" xfId="0" applyNumberFormat="1" applyFill="1" applyBorder="1" applyAlignment="1">
      <alignment horizontal="left"/>
    </xf>
    <xf numFmtId="0" fontId="1" fillId="2" borderId="17" xfId="0" applyFont="1" applyFill="1" applyBorder="1" applyAlignment="1">
      <alignment horizontal="center"/>
    </xf>
    <xf numFmtId="0" fontId="0" fillId="0" borderId="68" xfId="0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3" fontId="0" fillId="0" borderId="10" xfId="0" applyNumberFormat="1" applyFont="1" applyBorder="1" applyAlignment="1">
      <alignment horizontal="center" vertical="center"/>
    </xf>
    <xf numFmtId="0" fontId="0" fillId="0" borderId="0" xfId="0"/>
    <xf numFmtId="0" fontId="9" fillId="3" borderId="0" xfId="0" applyFont="1" applyFill="1" applyBorder="1"/>
    <xf numFmtId="0" fontId="10" fillId="3" borderId="82" xfId="0" applyFont="1" applyFill="1" applyBorder="1"/>
    <xf numFmtId="0" fontId="11" fillId="4" borderId="81" xfId="0" applyFont="1" applyFill="1" applyBorder="1" applyAlignment="1">
      <alignment horizontal="center"/>
    </xf>
    <xf numFmtId="0" fontId="10" fillId="3" borderId="0" xfId="0" applyFont="1" applyFill="1" applyBorder="1"/>
    <xf numFmtId="0" fontId="11" fillId="6" borderId="81" xfId="0" applyFont="1" applyFill="1" applyBorder="1" applyAlignment="1">
      <alignment horizontal="center"/>
    </xf>
    <xf numFmtId="0" fontId="2" fillId="0" borderId="0" xfId="0" applyFont="1"/>
    <xf numFmtId="0" fontId="11" fillId="5" borderId="81" xfId="0" applyFont="1" applyFill="1" applyBorder="1" applyAlignment="1">
      <alignment horizontal="center"/>
    </xf>
    <xf numFmtId="0" fontId="10" fillId="3" borderId="83" xfId="0" applyFont="1" applyFill="1" applyBorder="1"/>
    <xf numFmtId="0" fontId="10" fillId="3" borderId="84" xfId="0" applyFont="1" applyFill="1" applyBorder="1"/>
    <xf numFmtId="0" fontId="0" fillId="0" borderId="10" xfId="0" applyFont="1" applyBorder="1"/>
    <xf numFmtId="0" fontId="0" fillId="0" borderId="13" xfId="0" applyFont="1" applyBorder="1"/>
    <xf numFmtId="3" fontId="3" fillId="0" borderId="65" xfId="0" applyNumberFormat="1" applyFont="1" applyBorder="1" applyAlignment="1">
      <alignment horizontal="center"/>
    </xf>
    <xf numFmtId="3" fontId="0" fillId="0" borderId="65" xfId="0" applyNumberFormat="1" applyBorder="1" applyAlignment="1">
      <alignment horizontal="center"/>
    </xf>
    <xf numFmtId="0" fontId="0" fillId="3" borderId="35" xfId="0" applyFill="1" applyBorder="1"/>
    <xf numFmtId="1" fontId="1" fillId="0" borderId="67" xfId="0" applyNumberFormat="1" applyFont="1" applyBorder="1" applyAlignment="1">
      <alignment horizontal="center"/>
    </xf>
    <xf numFmtId="0" fontId="0" fillId="3" borderId="62" xfId="0" applyFill="1" applyBorder="1" applyAlignment="1">
      <alignment horizontal="center" vertical="center"/>
    </xf>
    <xf numFmtId="49" fontId="0" fillId="3" borderId="19" xfId="0" applyNumberFormat="1" applyFill="1" applyBorder="1"/>
    <xf numFmtId="0" fontId="0" fillId="0" borderId="85" xfId="0" applyBorder="1"/>
    <xf numFmtId="0" fontId="1" fillId="0" borderId="86" xfId="0" applyFont="1" applyFill="1" applyBorder="1" applyAlignment="1">
      <alignment horizontal="right"/>
    </xf>
    <xf numFmtId="3" fontId="1" fillId="0" borderId="48" xfId="0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12" fillId="6" borderId="6" xfId="0" applyFont="1" applyFill="1" applyBorder="1"/>
    <xf numFmtId="0" fontId="12" fillId="6" borderId="8" xfId="0" applyFont="1" applyFill="1" applyBorder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10" fillId="3" borderId="87" xfId="0" applyFont="1" applyFill="1" applyBorder="1"/>
    <xf numFmtId="165" fontId="9" fillId="2" borderId="0" xfId="0" applyNumberFormat="1" applyFont="1" applyFill="1" applyAlignment="1">
      <alignment horizontal="left"/>
    </xf>
    <xf numFmtId="0" fontId="0" fillId="0" borderId="0" xfId="0" applyFill="1" applyAlignment="1">
      <alignment horizontal="center"/>
    </xf>
    <xf numFmtId="0" fontId="14" fillId="0" borderId="0" xfId="0" applyFont="1" applyFill="1" applyAlignment="1"/>
    <xf numFmtId="0" fontId="14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166" fontId="13" fillId="2" borderId="0" xfId="0" applyNumberFormat="1" applyFont="1" applyFill="1" applyAlignment="1">
      <alignment horizontal="center" vertical="center"/>
    </xf>
    <xf numFmtId="0" fontId="18" fillId="0" borderId="0" xfId="0" applyFont="1" applyAlignment="1">
      <alignment horizontal="center"/>
    </xf>
    <xf numFmtId="1" fontId="16" fillId="0" borderId="35" xfId="0" applyNumberFormat="1" applyFont="1" applyBorder="1" applyAlignment="1">
      <alignment horizontal="right"/>
    </xf>
    <xf numFmtId="1" fontId="16" fillId="0" borderId="0" xfId="0" applyNumberFormat="1" applyFont="1" applyBorder="1" applyAlignment="1">
      <alignment horizontal="right"/>
    </xf>
    <xf numFmtId="3" fontId="17" fillId="0" borderId="35" xfId="0" applyNumberFormat="1" applyFont="1" applyBorder="1" applyAlignment="1">
      <alignment horizontal="right"/>
    </xf>
    <xf numFmtId="3" fontId="17" fillId="0" borderId="0" xfId="0" applyNumberFormat="1" applyFont="1" applyBorder="1" applyAlignment="1">
      <alignment horizontal="right"/>
    </xf>
    <xf numFmtId="3" fontId="16" fillId="0" borderId="35" xfId="0" applyNumberFormat="1" applyFont="1" applyBorder="1" applyAlignment="1">
      <alignment horizontal="right"/>
    </xf>
    <xf numFmtId="3" fontId="16" fillId="0" borderId="0" xfId="0" applyNumberFormat="1" applyFont="1" applyBorder="1" applyAlignment="1">
      <alignment horizontal="right"/>
    </xf>
    <xf numFmtId="0" fontId="10" fillId="7" borderId="82" xfId="0" applyFont="1" applyFill="1" applyBorder="1"/>
    <xf numFmtId="0" fontId="18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" fillId="3" borderId="0" xfId="0" applyFont="1" applyFill="1" applyAlignment="1">
      <alignment horizontal="center"/>
    </xf>
    <xf numFmtId="0" fontId="1" fillId="3" borderId="23" xfId="0" applyFont="1" applyFill="1" applyBorder="1" applyAlignment="1">
      <alignment horizontal="right"/>
    </xf>
    <xf numFmtId="0" fontId="1" fillId="3" borderId="62" xfId="0" applyFont="1" applyFill="1" applyBorder="1" applyAlignment="1">
      <alignment horizontal="right"/>
    </xf>
    <xf numFmtId="0" fontId="19" fillId="2" borderId="0" xfId="0" applyFont="1" applyFill="1" applyAlignment="1">
      <alignment horizontal="right"/>
    </xf>
    <xf numFmtId="0" fontId="19" fillId="2" borderId="68" xfId="0" applyFont="1" applyFill="1" applyBorder="1"/>
    <xf numFmtId="0" fontId="20" fillId="3" borderId="0" xfId="0" applyFont="1" applyFill="1"/>
    <xf numFmtId="0" fontId="2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161925</xdr:rowOff>
    </xdr:from>
    <xdr:to>
      <xdr:col>3</xdr:col>
      <xdr:colOff>685799</xdr:colOff>
      <xdr:row>3</xdr:row>
      <xdr:rowOff>127374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542925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47625</xdr:rowOff>
    </xdr:from>
    <xdr:to>
      <xdr:col>2</xdr:col>
      <xdr:colOff>1428749</xdr:colOff>
      <xdr:row>3</xdr:row>
      <xdr:rowOff>13074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7625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47625</xdr:rowOff>
    </xdr:from>
    <xdr:to>
      <xdr:col>2</xdr:col>
      <xdr:colOff>1428749</xdr:colOff>
      <xdr:row>3</xdr:row>
      <xdr:rowOff>13074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47625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0</xdr:row>
      <xdr:rowOff>28575</xdr:rowOff>
    </xdr:from>
    <xdr:to>
      <xdr:col>2</xdr:col>
      <xdr:colOff>1838324</xdr:colOff>
      <xdr:row>2</xdr:row>
      <xdr:rowOff>184524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575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66675</xdr:rowOff>
    </xdr:from>
    <xdr:to>
      <xdr:col>3</xdr:col>
      <xdr:colOff>171449</xdr:colOff>
      <xdr:row>3</xdr:row>
      <xdr:rowOff>32124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675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28575</xdr:rowOff>
    </xdr:from>
    <xdr:to>
      <xdr:col>3</xdr:col>
      <xdr:colOff>81642</xdr:colOff>
      <xdr:row>3</xdr:row>
      <xdr:rowOff>1644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28575</xdr:rowOff>
    </xdr:from>
    <xdr:to>
      <xdr:col>2</xdr:col>
      <xdr:colOff>1300842</xdr:colOff>
      <xdr:row>2</xdr:row>
      <xdr:rowOff>184524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8575"/>
          <a:ext cx="2824842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66675</xdr:rowOff>
    </xdr:from>
    <xdr:to>
      <xdr:col>3</xdr:col>
      <xdr:colOff>533399</xdr:colOff>
      <xdr:row>3</xdr:row>
      <xdr:rowOff>32124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6675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66675</xdr:rowOff>
    </xdr:from>
    <xdr:to>
      <xdr:col>3</xdr:col>
      <xdr:colOff>533399</xdr:colOff>
      <xdr:row>3</xdr:row>
      <xdr:rowOff>32124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66675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38100</xdr:rowOff>
    </xdr:from>
    <xdr:to>
      <xdr:col>3</xdr:col>
      <xdr:colOff>431799</xdr:colOff>
      <xdr:row>3</xdr:row>
      <xdr:rowOff>3549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28600"/>
          <a:ext cx="2831041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38100</xdr:rowOff>
    </xdr:from>
    <xdr:to>
      <xdr:col>3</xdr:col>
      <xdr:colOff>234950</xdr:colOff>
      <xdr:row>3</xdr:row>
      <xdr:rowOff>3549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5:F18"/>
  <sheetViews>
    <sheetView workbookViewId="0"/>
  </sheetViews>
  <sheetFormatPr defaultRowHeight="14.4" x14ac:dyDescent="0.3"/>
  <cols>
    <col min="1" max="1" width="3.77734375" customWidth="1"/>
    <col min="2" max="2" width="30.44140625" customWidth="1"/>
    <col min="3" max="3" width="3.44140625" customWidth="1"/>
    <col min="4" max="4" width="37.33203125" bestFit="1" customWidth="1"/>
    <col min="5" max="5" width="2.6640625" customWidth="1"/>
    <col min="6" max="6" width="27.33203125" bestFit="1" customWidth="1"/>
  </cols>
  <sheetData>
    <row r="5" spans="1:6" ht="23.4" x14ac:dyDescent="0.45">
      <c r="A5" s="257"/>
      <c r="B5" s="257" t="s">
        <v>142</v>
      </c>
      <c r="C5" s="251"/>
      <c r="D5" s="251"/>
      <c r="E5" s="251"/>
      <c r="F5" s="251"/>
    </row>
    <row r="6" spans="1:6" ht="15" thickBot="1" x14ac:dyDescent="0.35">
      <c r="A6" s="251"/>
      <c r="B6" s="251"/>
      <c r="C6" s="251"/>
      <c r="D6" s="251"/>
      <c r="E6" s="251"/>
      <c r="F6" s="251"/>
    </row>
    <row r="7" spans="1:6" x14ac:dyDescent="0.3">
      <c r="A7" s="251"/>
      <c r="B7" s="256" t="s">
        <v>135</v>
      </c>
      <c r="C7" s="252"/>
      <c r="D7" s="254" t="s">
        <v>136</v>
      </c>
      <c r="E7" s="251"/>
      <c r="F7" s="258" t="s">
        <v>137</v>
      </c>
    </row>
    <row r="8" spans="1:6" x14ac:dyDescent="0.3">
      <c r="A8" s="251"/>
      <c r="B8" s="253" t="s">
        <v>84</v>
      </c>
      <c r="C8" s="255"/>
      <c r="D8" s="253" t="s">
        <v>84</v>
      </c>
      <c r="E8" s="251"/>
      <c r="F8" s="253" t="s">
        <v>138</v>
      </c>
    </row>
    <row r="9" spans="1:6" x14ac:dyDescent="0.3">
      <c r="A9" s="251"/>
      <c r="B9" s="302" t="s">
        <v>66</v>
      </c>
      <c r="C9" s="255"/>
      <c r="D9" s="302" t="s">
        <v>66</v>
      </c>
      <c r="E9" s="251"/>
      <c r="F9" s="259"/>
    </row>
    <row r="10" spans="1:6" x14ac:dyDescent="0.3">
      <c r="A10" s="251"/>
      <c r="B10" s="302" t="s">
        <v>176</v>
      </c>
      <c r="C10" s="255"/>
      <c r="D10" s="302" t="s">
        <v>139</v>
      </c>
      <c r="E10" s="251"/>
      <c r="F10" s="259"/>
    </row>
    <row r="11" spans="1:6" x14ac:dyDescent="0.3">
      <c r="A11" s="251"/>
      <c r="B11" s="253" t="s">
        <v>93</v>
      </c>
      <c r="C11" s="255"/>
      <c r="D11" s="253" t="s">
        <v>93</v>
      </c>
      <c r="E11" s="251"/>
      <c r="F11" s="259"/>
    </row>
    <row r="12" spans="1:6" x14ac:dyDescent="0.3">
      <c r="A12" s="251"/>
      <c r="B12" s="253" t="s">
        <v>141</v>
      </c>
      <c r="C12" s="255"/>
      <c r="D12" s="253" t="s">
        <v>140</v>
      </c>
      <c r="E12" s="251"/>
      <c r="F12" s="259"/>
    </row>
    <row r="13" spans="1:6" x14ac:dyDescent="0.3">
      <c r="A13" s="251"/>
      <c r="B13" s="259"/>
      <c r="C13" s="255"/>
      <c r="D13" s="283"/>
      <c r="E13" s="251"/>
      <c r="F13" s="259"/>
    </row>
    <row r="14" spans="1:6" x14ac:dyDescent="0.3">
      <c r="A14" s="251"/>
      <c r="B14" s="259"/>
      <c r="C14" s="255"/>
      <c r="D14" s="259"/>
      <c r="E14" s="251"/>
      <c r="F14" s="259"/>
    </row>
    <row r="15" spans="1:6" ht="15" thickBot="1" x14ac:dyDescent="0.35">
      <c r="B15" s="260"/>
      <c r="C15" s="255"/>
      <c r="D15" s="260"/>
      <c r="E15" s="251"/>
      <c r="F15" s="260"/>
    </row>
    <row r="16" spans="1:6" x14ac:dyDescent="0.3">
      <c r="B16" s="251"/>
      <c r="C16" s="255"/>
      <c r="D16" s="255"/>
      <c r="E16" s="251"/>
      <c r="F16" s="251"/>
    </row>
    <row r="17" spans="2:6" x14ac:dyDescent="0.3">
      <c r="B17" s="251"/>
      <c r="C17" s="255"/>
      <c r="D17" s="251"/>
      <c r="E17" s="251"/>
      <c r="F17" s="251"/>
    </row>
    <row r="18" spans="2:6" x14ac:dyDescent="0.3">
      <c r="B18" s="251"/>
      <c r="C18" s="255"/>
      <c r="D18" s="14" t="s">
        <v>160</v>
      </c>
      <c r="E18" s="255"/>
      <c r="F18" s="25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D38"/>
  <sheetViews>
    <sheetView zoomScale="90" zoomScaleNormal="90" workbookViewId="0"/>
  </sheetViews>
  <sheetFormatPr defaultRowHeight="14.4" x14ac:dyDescent="0.3"/>
  <cols>
    <col min="1" max="1" width="9.109375" style="186"/>
    <col min="2" max="2" width="17.88671875" bestFit="1" customWidth="1"/>
    <col min="3" max="3" width="21.77734375" customWidth="1"/>
    <col min="4" max="4" width="24.88671875" bestFit="1" customWidth="1"/>
    <col min="5" max="5" width="14.109375" customWidth="1"/>
    <col min="6" max="6" width="17.88671875" customWidth="1"/>
    <col min="7" max="7" width="23.88671875" bestFit="1" customWidth="1"/>
    <col min="8" max="8" width="21.33203125" bestFit="1" customWidth="1"/>
    <col min="9" max="9" width="22.109375" bestFit="1" customWidth="1"/>
    <col min="10" max="10" width="22.109375" style="31" customWidth="1"/>
    <col min="11" max="11" width="11.44140625" hidden="1" customWidth="1"/>
    <col min="12" max="12" width="13.5546875" hidden="1" customWidth="1"/>
    <col min="13" max="13" width="20" hidden="1" customWidth="1"/>
    <col min="14" max="14" width="19.44140625" hidden="1" customWidth="1"/>
    <col min="15" max="15" width="6.109375" hidden="1" customWidth="1"/>
    <col min="16" max="16" width="5.44140625" hidden="1" customWidth="1"/>
    <col min="17" max="17" width="4.88671875" hidden="1" customWidth="1"/>
    <col min="18" max="18" width="16.44140625" hidden="1" customWidth="1"/>
    <col min="19" max="19" width="22.44140625" hidden="1" customWidth="1"/>
    <col min="20" max="20" width="6.109375" hidden="1" customWidth="1"/>
    <col min="21" max="21" width="5.44140625" hidden="1" customWidth="1"/>
    <col min="22" max="22" width="4.88671875" hidden="1" customWidth="1"/>
    <col min="23" max="23" width="23.109375" hidden="1" customWidth="1"/>
    <col min="24" max="25" width="29" hidden="1" customWidth="1"/>
    <col min="26" max="28" width="9.109375" hidden="1" customWidth="1"/>
    <col min="29" max="30" width="9.109375" style="186"/>
  </cols>
  <sheetData>
    <row r="1" spans="1:30" s="186" customFormat="1" x14ac:dyDescent="0.3">
      <c r="E1" s="188"/>
      <c r="F1" s="188"/>
      <c r="G1" s="188"/>
      <c r="H1" s="188"/>
      <c r="I1" s="188"/>
      <c r="J1" s="188"/>
    </row>
    <row r="2" spans="1:30" s="186" customFormat="1" x14ac:dyDescent="0.3">
      <c r="E2" s="188"/>
      <c r="F2" s="188"/>
      <c r="G2" s="188"/>
      <c r="H2" s="188"/>
      <c r="I2" s="188"/>
      <c r="J2" s="188"/>
    </row>
    <row r="3" spans="1:30" s="186" customFormat="1" x14ac:dyDescent="0.3">
      <c r="E3" s="188"/>
      <c r="F3" s="188"/>
      <c r="G3" s="188"/>
      <c r="H3" s="188"/>
      <c r="I3" s="188"/>
      <c r="J3" s="188"/>
    </row>
    <row r="4" spans="1:30" s="186" customFormat="1" x14ac:dyDescent="0.3">
      <c r="E4" s="188"/>
      <c r="F4" s="188"/>
      <c r="G4" s="188"/>
      <c r="H4" s="188"/>
      <c r="I4" s="188"/>
      <c r="J4" s="188"/>
    </row>
    <row r="5" spans="1:30" s="47" customFormat="1" ht="23.4" x14ac:dyDescent="0.45">
      <c r="A5" s="186"/>
      <c r="B5" s="50" t="s">
        <v>85</v>
      </c>
      <c r="C5" s="43" t="s">
        <v>86</v>
      </c>
      <c r="D5" s="44"/>
      <c r="E5" s="45"/>
      <c r="F5" s="45"/>
      <c r="G5" s="45"/>
      <c r="H5" s="45"/>
      <c r="I5" s="44"/>
      <c r="J5" s="44"/>
      <c r="K5" s="44"/>
      <c r="L5" s="44"/>
      <c r="M5" s="44"/>
      <c r="AC5" s="186"/>
      <c r="AD5" s="186"/>
    </row>
    <row r="6" spans="1:30" s="49" customFormat="1" ht="23.4" x14ac:dyDescent="0.45">
      <c r="A6" s="189"/>
      <c r="B6" s="50" t="s">
        <v>88</v>
      </c>
      <c r="C6" s="43" t="s">
        <v>93</v>
      </c>
      <c r="D6" s="46"/>
      <c r="E6" s="46"/>
      <c r="F6" s="46"/>
      <c r="G6" s="46"/>
      <c r="H6" s="46"/>
      <c r="I6" s="46"/>
      <c r="J6" s="46"/>
      <c r="K6" s="46"/>
      <c r="L6" s="46"/>
      <c r="M6" s="46"/>
      <c r="AC6" s="189"/>
      <c r="AD6" s="189"/>
    </row>
    <row r="7" spans="1:30" s="49" customFormat="1" x14ac:dyDescent="0.3">
      <c r="A7" s="189"/>
      <c r="B7" s="51" t="s">
        <v>81</v>
      </c>
      <c r="C7" s="52" t="s">
        <v>87</v>
      </c>
      <c r="D7" s="46"/>
      <c r="E7" s="46"/>
      <c r="F7" s="46"/>
      <c r="G7" s="46"/>
      <c r="H7" s="46"/>
      <c r="I7" s="46"/>
      <c r="J7" s="46"/>
      <c r="K7" s="46"/>
      <c r="L7" s="46"/>
      <c r="M7" s="46"/>
      <c r="AC7" s="189"/>
      <c r="AD7" s="189"/>
    </row>
    <row r="8" spans="1:30" s="49" customFormat="1" x14ac:dyDescent="0.3">
      <c r="A8" s="189"/>
      <c r="B8" s="51" t="s">
        <v>64</v>
      </c>
      <c r="C8" s="60">
        <v>40586</v>
      </c>
      <c r="D8" s="59"/>
      <c r="E8" s="46"/>
      <c r="F8" s="46"/>
      <c r="G8" s="46"/>
      <c r="H8" s="46"/>
      <c r="I8" s="46"/>
      <c r="J8" s="46"/>
      <c r="K8" s="46"/>
      <c r="L8" s="46"/>
      <c r="M8" s="46"/>
      <c r="AC8" s="189"/>
      <c r="AD8" s="189"/>
    </row>
    <row r="9" spans="1:30" s="49" customFormat="1" x14ac:dyDescent="0.3">
      <c r="A9" s="189"/>
      <c r="B9" s="51" t="s">
        <v>65</v>
      </c>
      <c r="C9" s="60">
        <v>40588.999988425923</v>
      </c>
      <c r="D9" s="59"/>
      <c r="E9" s="46"/>
      <c r="F9" s="57"/>
      <c r="G9" s="46"/>
      <c r="H9" s="46"/>
      <c r="I9" s="46"/>
      <c r="J9" s="58" t="s">
        <v>89</v>
      </c>
      <c r="K9" s="46"/>
      <c r="L9" s="46"/>
      <c r="M9" s="58" t="s">
        <v>89</v>
      </c>
      <c r="AC9" s="189"/>
      <c r="AD9" s="189"/>
    </row>
    <row r="10" spans="1:30" s="190" customFormat="1" x14ac:dyDescent="0.3">
      <c r="B10" s="191"/>
      <c r="J10" s="192"/>
    </row>
    <row r="11" spans="1:30" s="186" customFormat="1" ht="15" thickBot="1" x14ac:dyDescent="0.35">
      <c r="C11" s="193"/>
      <c r="J11" s="187"/>
    </row>
    <row r="12" spans="1:30" ht="15" thickBot="1" x14ac:dyDescent="0.35">
      <c r="B12" s="172" t="s">
        <v>94</v>
      </c>
      <c r="C12" s="173" t="s">
        <v>95</v>
      </c>
      <c r="D12" s="173" t="s">
        <v>96</v>
      </c>
      <c r="E12" s="173" t="s">
        <v>97</v>
      </c>
      <c r="F12" s="174" t="s">
        <v>98</v>
      </c>
      <c r="G12" s="175" t="s">
        <v>99</v>
      </c>
      <c r="H12" s="175" t="s">
        <v>107</v>
      </c>
      <c r="I12" s="173" t="s">
        <v>83</v>
      </c>
      <c r="J12" s="176" t="s">
        <v>100</v>
      </c>
      <c r="K12" s="32" t="s">
        <v>16</v>
      </c>
      <c r="L12" s="7" t="s">
        <v>1</v>
      </c>
      <c r="M12" s="7" t="s">
        <v>10</v>
      </c>
      <c r="N12" s="7" t="s">
        <v>8</v>
      </c>
      <c r="O12" s="7" t="s">
        <v>9</v>
      </c>
      <c r="P12" s="7" t="s">
        <v>12</v>
      </c>
      <c r="Q12" s="7" t="s">
        <v>13</v>
      </c>
      <c r="R12" s="7" t="s">
        <v>14</v>
      </c>
      <c r="S12" s="7" t="s">
        <v>11</v>
      </c>
      <c r="T12" s="7" t="s">
        <v>15</v>
      </c>
      <c r="U12" s="7" t="s">
        <v>12</v>
      </c>
      <c r="V12" s="7" t="s">
        <v>13</v>
      </c>
      <c r="W12" s="7" t="s">
        <v>14</v>
      </c>
      <c r="X12" s="8" t="s">
        <v>2</v>
      </c>
      <c r="Y12" t="s">
        <v>17</v>
      </c>
      <c r="Z12" t="s">
        <v>12</v>
      </c>
      <c r="AA12" t="s">
        <v>13</v>
      </c>
      <c r="AB12" t="s">
        <v>14</v>
      </c>
    </row>
    <row r="13" spans="1:30" x14ac:dyDescent="0.3">
      <c r="B13" s="147" t="s">
        <v>104</v>
      </c>
      <c r="C13" s="148">
        <f>1.5*E13</f>
        <v>1197063</v>
      </c>
      <c r="D13" s="148">
        <f ca="1">SUM(I13:I14)</f>
        <v>1596084</v>
      </c>
      <c r="E13" s="148">
        <f>SUM(J13:J14)</f>
        <v>798042</v>
      </c>
      <c r="F13" s="149" t="s">
        <v>18</v>
      </c>
      <c r="G13" s="150" t="s">
        <v>36</v>
      </c>
      <c r="H13" s="150" t="s">
        <v>122</v>
      </c>
      <c r="I13" s="151">
        <f t="shared" ref="I13:I19" ca="1" si="0">J13*RANDBETWEEN(1.3,2.5)</f>
        <v>1394910</v>
      </c>
      <c r="J13" s="152">
        <v>697455</v>
      </c>
      <c r="K13" s="153">
        <f t="shared" ref="K13:K19" si="1">J13/L13</f>
        <v>11.517330779265816</v>
      </c>
      <c r="L13" s="2">
        <v>60557</v>
      </c>
      <c r="M13" s="5" t="str">
        <f t="shared" ref="M13:M20" si="2">CONCATENATE(INT(P13),":",INT(Q13),":", INT(R13))</f>
        <v>5230:54:45</v>
      </c>
      <c r="N13" s="6">
        <f>0.45*J13</f>
        <v>313854.75</v>
      </c>
      <c r="O13" s="6">
        <f t="shared" ref="O13:O20" si="3">N13*60</f>
        <v>18831285</v>
      </c>
      <c r="P13" s="6">
        <f t="shared" ref="P13:P20" si="4">INT(O13/3600)</f>
        <v>5230</v>
      </c>
      <c r="Q13" s="6">
        <f t="shared" ref="Q13:Q20" si="5">INT(MOD(O13,3600)/60)</f>
        <v>54</v>
      </c>
      <c r="R13" s="6">
        <f t="shared" ref="R13:R20" si="6" xml:space="preserve"> MOD(MOD(O13, 3600),60)</f>
        <v>45</v>
      </c>
      <c r="S13" s="5" t="str">
        <f t="shared" ref="S13:S19" si="7">CONCATENATE(INT(U13),":",INT(V13),":", INT(W13))</f>
        <v>0:0:27</v>
      </c>
      <c r="T13" s="6">
        <f t="shared" ref="T13:T19" si="8">O13/J13</f>
        <v>27</v>
      </c>
      <c r="U13" s="6">
        <f t="shared" ref="U13:U20" si="9">INT(T13/3600)</f>
        <v>0</v>
      </c>
      <c r="V13" s="6">
        <f t="shared" ref="V13:V20" si="10">INT(MOD(T13,3600)/60)</f>
        <v>0</v>
      </c>
      <c r="W13" s="6">
        <f t="shared" ref="W13:W20" si="11" xml:space="preserve"> MOD(MOD(T13, 3600),60)</f>
        <v>27</v>
      </c>
      <c r="X13" s="9" t="str">
        <f t="shared" ref="X13:X20" si="12">CONCATENATE(INT(Z13),":",INT(AA13),":", INT(AB13))</f>
        <v>0:5:10</v>
      </c>
      <c r="Y13" s="1">
        <f t="shared" ref="Y13:Y19" si="13">O13/L13</f>
        <v>310.96793104017701</v>
      </c>
      <c r="Z13" s="1">
        <f t="shared" ref="Z13:Z19" si="14">INT(Y13/3600)</f>
        <v>0</v>
      </c>
      <c r="AA13" s="1">
        <f t="shared" ref="AA13:AA19" si="15">INT(MOD(Y13,3600)/60)</f>
        <v>5</v>
      </c>
      <c r="AB13" s="1">
        <f t="shared" ref="AB13:AB19" si="16" xml:space="preserve"> MOD(MOD(Y13, 3600),60)</f>
        <v>10.967931040177007</v>
      </c>
    </row>
    <row r="14" spans="1:30" ht="15" thickBot="1" x14ac:dyDescent="0.35">
      <c r="B14" s="157"/>
      <c r="C14" s="74"/>
      <c r="D14" s="74"/>
      <c r="E14" s="74"/>
      <c r="F14" s="33" t="s">
        <v>19</v>
      </c>
      <c r="G14" s="158" t="s">
        <v>37</v>
      </c>
      <c r="H14" s="158" t="s">
        <v>123</v>
      </c>
      <c r="I14" s="159">
        <f t="shared" ca="1" si="0"/>
        <v>201174</v>
      </c>
      <c r="J14" s="160">
        <v>100587</v>
      </c>
      <c r="K14" s="165">
        <f t="shared" si="1"/>
        <v>3.9374853205981366</v>
      </c>
      <c r="L14" s="10">
        <v>25546</v>
      </c>
      <c r="M14" s="11" t="str">
        <f t="shared" si="2"/>
        <v>586:45:27</v>
      </c>
      <c r="N14" s="12">
        <f>0.35*J14</f>
        <v>35205.449999999997</v>
      </c>
      <c r="O14" s="12">
        <f t="shared" si="3"/>
        <v>2112327</v>
      </c>
      <c r="P14" s="12">
        <f t="shared" si="4"/>
        <v>586</v>
      </c>
      <c r="Q14" s="12">
        <f t="shared" si="5"/>
        <v>45</v>
      </c>
      <c r="R14" s="12">
        <f t="shared" si="6"/>
        <v>27</v>
      </c>
      <c r="S14" s="11" t="str">
        <f t="shared" si="7"/>
        <v>0:0:21</v>
      </c>
      <c r="T14" s="12">
        <f t="shared" si="8"/>
        <v>21</v>
      </c>
      <c r="U14" s="12">
        <f t="shared" si="9"/>
        <v>0</v>
      </c>
      <c r="V14" s="12">
        <f t="shared" si="10"/>
        <v>0</v>
      </c>
      <c r="W14" s="12">
        <f t="shared" si="11"/>
        <v>21</v>
      </c>
      <c r="X14" s="13" t="str">
        <f t="shared" si="12"/>
        <v>0:1:22</v>
      </c>
      <c r="Y14" s="1">
        <f t="shared" si="13"/>
        <v>82.687191732560876</v>
      </c>
      <c r="Z14" s="1">
        <f t="shared" si="14"/>
        <v>0</v>
      </c>
      <c r="AA14" s="1">
        <f t="shared" si="15"/>
        <v>1</v>
      </c>
      <c r="AB14" s="1">
        <f t="shared" si="16"/>
        <v>22.687191732560876</v>
      </c>
    </row>
    <row r="15" spans="1:30" x14ac:dyDescent="0.3">
      <c r="B15" s="147" t="s">
        <v>102</v>
      </c>
      <c r="C15" s="148">
        <f>1.5*E15</f>
        <v>5025621</v>
      </c>
      <c r="D15" s="148">
        <f ca="1">SUM(I15:I18)</f>
        <v>6700828</v>
      </c>
      <c r="E15" s="148">
        <f>SUM(J15:J18)</f>
        <v>3350414</v>
      </c>
      <c r="F15" s="149" t="s">
        <v>20</v>
      </c>
      <c r="G15" s="150" t="s">
        <v>31</v>
      </c>
      <c r="H15" s="150" t="s">
        <v>111</v>
      </c>
      <c r="I15" s="151">
        <f t="shared" ca="1" si="0"/>
        <v>907688</v>
      </c>
      <c r="J15" s="152">
        <v>453844</v>
      </c>
      <c r="K15" s="153">
        <f t="shared" si="1"/>
        <v>2.1702355562781532</v>
      </c>
      <c r="L15" s="2">
        <v>209122</v>
      </c>
      <c r="M15" s="5" t="str">
        <f t="shared" si="2"/>
        <v>983:19:43</v>
      </c>
      <c r="N15" s="6">
        <f>0.13*J15</f>
        <v>58999.72</v>
      </c>
      <c r="O15" s="6">
        <f t="shared" si="3"/>
        <v>3539983.2</v>
      </c>
      <c r="P15" s="6">
        <f t="shared" si="4"/>
        <v>983</v>
      </c>
      <c r="Q15" s="6">
        <f t="shared" si="5"/>
        <v>19</v>
      </c>
      <c r="R15" s="6">
        <f t="shared" si="6"/>
        <v>43.200000000186265</v>
      </c>
      <c r="S15" s="5" t="str">
        <f t="shared" si="7"/>
        <v>0:0:7</v>
      </c>
      <c r="T15" s="6">
        <f t="shared" si="8"/>
        <v>7.8000000000000007</v>
      </c>
      <c r="U15" s="6">
        <f t="shared" si="9"/>
        <v>0</v>
      </c>
      <c r="V15" s="6">
        <f t="shared" si="10"/>
        <v>0</v>
      </c>
      <c r="W15" s="6">
        <f t="shared" si="11"/>
        <v>7.8000000000000007</v>
      </c>
      <c r="X15" s="9" t="str">
        <f t="shared" si="12"/>
        <v>0:0:16</v>
      </c>
      <c r="Y15" s="1">
        <f t="shared" si="13"/>
        <v>16.927837338969599</v>
      </c>
      <c r="Z15" s="1">
        <f t="shared" si="14"/>
        <v>0</v>
      </c>
      <c r="AA15" s="1">
        <f t="shared" si="15"/>
        <v>0</v>
      </c>
      <c r="AB15" s="1">
        <f t="shared" si="16"/>
        <v>16.927837338969599</v>
      </c>
    </row>
    <row r="16" spans="1:30" x14ac:dyDescent="0.3">
      <c r="B16" s="80"/>
      <c r="C16" s="73"/>
      <c r="D16" s="73"/>
      <c r="E16" s="73"/>
      <c r="F16" s="33" t="s">
        <v>21</v>
      </c>
      <c r="G16" s="154" t="s">
        <v>32</v>
      </c>
      <c r="H16" s="154" t="s">
        <v>118</v>
      </c>
      <c r="I16" s="155">
        <f t="shared" ca="1" si="0"/>
        <v>3794916</v>
      </c>
      <c r="J16" s="156">
        <v>1897458</v>
      </c>
      <c r="K16" s="153">
        <f t="shared" si="1"/>
        <v>6.271655456213125</v>
      </c>
      <c r="L16" s="2">
        <v>302545</v>
      </c>
      <c r="M16" s="5" t="str">
        <f t="shared" si="2"/>
        <v>12333:28:37</v>
      </c>
      <c r="N16" s="6">
        <f>0.39*J16</f>
        <v>740008.62</v>
      </c>
      <c r="O16" s="6">
        <f t="shared" si="3"/>
        <v>44400517.200000003</v>
      </c>
      <c r="P16" s="6">
        <f t="shared" si="4"/>
        <v>12333</v>
      </c>
      <c r="Q16" s="6">
        <f t="shared" si="5"/>
        <v>28</v>
      </c>
      <c r="R16" s="6">
        <f t="shared" si="6"/>
        <v>37.200000002980232</v>
      </c>
      <c r="S16" s="5" t="str">
        <f t="shared" si="7"/>
        <v>0:0:23</v>
      </c>
      <c r="T16" s="6">
        <f t="shared" si="8"/>
        <v>23.400000000000002</v>
      </c>
      <c r="U16" s="6">
        <f t="shared" si="9"/>
        <v>0</v>
      </c>
      <c r="V16" s="6">
        <f t="shared" si="10"/>
        <v>0</v>
      </c>
      <c r="W16" s="6">
        <f t="shared" si="11"/>
        <v>23.400000000000002</v>
      </c>
      <c r="X16" s="9" t="str">
        <f t="shared" si="12"/>
        <v>0:2:26</v>
      </c>
      <c r="Y16" s="1">
        <f t="shared" si="13"/>
        <v>146.75673767538714</v>
      </c>
      <c r="Z16" s="1">
        <f t="shared" si="14"/>
        <v>0</v>
      </c>
      <c r="AA16" s="1">
        <f t="shared" si="15"/>
        <v>2</v>
      </c>
      <c r="AB16" s="1">
        <f t="shared" si="16"/>
        <v>26.756737675387143</v>
      </c>
    </row>
    <row r="17" spans="1:28" x14ac:dyDescent="0.3">
      <c r="B17" s="80"/>
      <c r="C17" s="73"/>
      <c r="D17" s="73"/>
      <c r="E17" s="73"/>
      <c r="F17" s="33" t="s">
        <v>22</v>
      </c>
      <c r="G17" s="154" t="s">
        <v>33</v>
      </c>
      <c r="H17" s="154" t="s">
        <v>119</v>
      </c>
      <c r="I17" s="155">
        <f t="shared" ca="1" si="0"/>
        <v>1000574</v>
      </c>
      <c r="J17" s="156">
        <v>500287</v>
      </c>
      <c r="K17" s="153">
        <f t="shared" si="1"/>
        <v>2.5014349999999999</v>
      </c>
      <c r="L17" s="2">
        <v>200000</v>
      </c>
      <c r="M17" s="5" t="str">
        <f t="shared" si="2"/>
        <v>3502:0:32</v>
      </c>
      <c r="N17" s="6">
        <f>0.42*J17</f>
        <v>210120.53999999998</v>
      </c>
      <c r="O17" s="6">
        <f t="shared" si="3"/>
        <v>12607232.399999999</v>
      </c>
      <c r="P17" s="6">
        <f t="shared" si="4"/>
        <v>3502</v>
      </c>
      <c r="Q17" s="6">
        <f t="shared" si="5"/>
        <v>0</v>
      </c>
      <c r="R17" s="6">
        <f t="shared" si="6"/>
        <v>32.399999998509884</v>
      </c>
      <c r="S17" s="5" t="str">
        <f t="shared" si="7"/>
        <v>0:0:25</v>
      </c>
      <c r="T17" s="6">
        <f t="shared" si="8"/>
        <v>25.199999999999996</v>
      </c>
      <c r="U17" s="6">
        <f t="shared" si="9"/>
        <v>0</v>
      </c>
      <c r="V17" s="6">
        <f t="shared" si="10"/>
        <v>0</v>
      </c>
      <c r="W17" s="6">
        <f t="shared" si="11"/>
        <v>25.199999999999996</v>
      </c>
      <c r="X17" s="9" t="str">
        <f t="shared" si="12"/>
        <v>0:1:3</v>
      </c>
      <c r="Y17" s="1">
        <f t="shared" si="13"/>
        <v>63.03616199999999</v>
      </c>
      <c r="Z17" s="1">
        <f t="shared" si="14"/>
        <v>0</v>
      </c>
      <c r="AA17" s="1">
        <f t="shared" si="15"/>
        <v>1</v>
      </c>
      <c r="AB17" s="1">
        <f t="shared" si="16"/>
        <v>3.0361619999999903</v>
      </c>
    </row>
    <row r="18" spans="1:28" ht="15" thickBot="1" x14ac:dyDescent="0.35">
      <c r="B18" s="157"/>
      <c r="C18" s="74"/>
      <c r="D18" s="74"/>
      <c r="E18" s="74"/>
      <c r="F18" s="35" t="s">
        <v>23</v>
      </c>
      <c r="G18" s="158" t="s">
        <v>34</v>
      </c>
      <c r="H18" s="158" t="s">
        <v>120</v>
      </c>
      <c r="I18" s="159">
        <f t="shared" ca="1" si="0"/>
        <v>997650</v>
      </c>
      <c r="J18" s="160">
        <v>498825</v>
      </c>
      <c r="K18" s="153">
        <f t="shared" si="1"/>
        <v>2.9891776577958615</v>
      </c>
      <c r="L18" s="2">
        <v>166877</v>
      </c>
      <c r="M18" s="5" t="str">
        <f t="shared" si="2"/>
        <v>3741:11:15</v>
      </c>
      <c r="N18" s="6">
        <f>0.45*J18</f>
        <v>224471.25</v>
      </c>
      <c r="O18" s="6">
        <f t="shared" si="3"/>
        <v>13468275</v>
      </c>
      <c r="P18" s="6">
        <f t="shared" si="4"/>
        <v>3741</v>
      </c>
      <c r="Q18" s="6">
        <f t="shared" si="5"/>
        <v>11</v>
      </c>
      <c r="R18" s="6">
        <f t="shared" si="6"/>
        <v>15</v>
      </c>
      <c r="S18" s="5" t="str">
        <f t="shared" si="7"/>
        <v>0:0:27</v>
      </c>
      <c r="T18" s="6">
        <f t="shared" si="8"/>
        <v>27</v>
      </c>
      <c r="U18" s="6">
        <f t="shared" si="9"/>
        <v>0</v>
      </c>
      <c r="V18" s="6">
        <f t="shared" si="10"/>
        <v>0</v>
      </c>
      <c r="W18" s="6">
        <f t="shared" si="11"/>
        <v>27</v>
      </c>
      <c r="X18" s="9" t="str">
        <f t="shared" si="12"/>
        <v>0:1:20</v>
      </c>
      <c r="Y18" s="1">
        <f t="shared" si="13"/>
        <v>80.707796760488264</v>
      </c>
      <c r="Z18" s="1">
        <f t="shared" si="14"/>
        <v>0</v>
      </c>
      <c r="AA18" s="1">
        <f t="shared" si="15"/>
        <v>1</v>
      </c>
      <c r="AB18" s="1">
        <f t="shared" si="16"/>
        <v>20.707796760488264</v>
      </c>
    </row>
    <row r="19" spans="1:28" ht="15" thickBot="1" x14ac:dyDescent="0.35">
      <c r="B19" s="29" t="s">
        <v>103</v>
      </c>
      <c r="C19" s="39">
        <f>1.5*E19</f>
        <v>3079801.5</v>
      </c>
      <c r="D19" s="39">
        <f ca="1">SUM(I19)</f>
        <v>4106402</v>
      </c>
      <c r="E19" s="39">
        <f>SUM(J19)</f>
        <v>2053201</v>
      </c>
      <c r="F19" s="161" t="s">
        <v>24</v>
      </c>
      <c r="G19" s="162" t="s">
        <v>35</v>
      </c>
      <c r="H19" s="162" t="s">
        <v>121</v>
      </c>
      <c r="I19" s="163">
        <f t="shared" ca="1" si="0"/>
        <v>4106402</v>
      </c>
      <c r="J19" s="164">
        <v>2053201</v>
      </c>
      <c r="K19" s="153">
        <f t="shared" si="1"/>
        <v>2.1415618415837452</v>
      </c>
      <c r="L19" s="2">
        <v>958740</v>
      </c>
      <c r="M19" s="5" t="str">
        <f t="shared" si="2"/>
        <v>17110:0:30</v>
      </c>
      <c r="N19" s="6">
        <f>0.5*J19</f>
        <v>1026600.5</v>
      </c>
      <c r="O19" s="6">
        <f t="shared" si="3"/>
        <v>61596030</v>
      </c>
      <c r="P19" s="6">
        <f t="shared" si="4"/>
        <v>17110</v>
      </c>
      <c r="Q19" s="6">
        <f t="shared" si="5"/>
        <v>0</v>
      </c>
      <c r="R19" s="6">
        <f t="shared" si="6"/>
        <v>30</v>
      </c>
      <c r="S19" s="5" t="str">
        <f t="shared" si="7"/>
        <v>0:0:30</v>
      </c>
      <c r="T19" s="6">
        <f t="shared" si="8"/>
        <v>30</v>
      </c>
      <c r="U19" s="6">
        <f t="shared" si="9"/>
        <v>0</v>
      </c>
      <c r="V19" s="6">
        <f t="shared" si="10"/>
        <v>0</v>
      </c>
      <c r="W19" s="6">
        <f t="shared" si="11"/>
        <v>30</v>
      </c>
      <c r="X19" s="9" t="str">
        <f t="shared" si="12"/>
        <v>0:1:4</v>
      </c>
      <c r="Y19" s="1">
        <f t="shared" si="13"/>
        <v>64.246855247512357</v>
      </c>
      <c r="Z19" s="1">
        <f t="shared" si="14"/>
        <v>0</v>
      </c>
      <c r="AA19" s="1">
        <f t="shared" si="15"/>
        <v>1</v>
      </c>
      <c r="AB19" s="1">
        <f t="shared" si="16"/>
        <v>4.2468552475123573</v>
      </c>
    </row>
    <row r="20" spans="1:28" x14ac:dyDescent="0.3">
      <c r="B20" s="147" t="s">
        <v>101</v>
      </c>
      <c r="C20" s="148">
        <f>1.5*E20</f>
        <v>8087229</v>
      </c>
      <c r="D20" s="148">
        <f ca="1">SUM(I20:I22)</f>
        <v>10782972</v>
      </c>
      <c r="E20" s="148">
        <f>SUM(J20:J22)</f>
        <v>5391486</v>
      </c>
      <c r="F20" s="149" t="s">
        <v>25</v>
      </c>
      <c r="G20" s="150" t="s">
        <v>28</v>
      </c>
      <c r="H20" s="150" t="s">
        <v>108</v>
      </c>
      <c r="I20" s="151">
        <f ca="1">J20*RANDBETWEEN(1.3,2.5)</f>
        <v>7654774</v>
      </c>
      <c r="J20" s="152">
        <v>3827387</v>
      </c>
      <c r="K20" s="153">
        <f>J20/L20</f>
        <v>11.859114823788955</v>
      </c>
      <c r="L20" s="2">
        <v>322738</v>
      </c>
      <c r="M20" s="5" t="str">
        <f t="shared" si="2"/>
        <v>29343:18:1</v>
      </c>
      <c r="N20" s="6">
        <f>0.46*J20</f>
        <v>1760598.02</v>
      </c>
      <c r="O20" s="6">
        <f t="shared" si="3"/>
        <v>105635881.2</v>
      </c>
      <c r="P20" s="6">
        <f t="shared" si="4"/>
        <v>29343</v>
      </c>
      <c r="Q20" s="6">
        <f t="shared" si="5"/>
        <v>18</v>
      </c>
      <c r="R20" s="6">
        <f t="shared" si="6"/>
        <v>1.2000000029802322</v>
      </c>
      <c r="S20" s="5" t="str">
        <f>CONCATENATE(INT(U20),":",INT(V20),":", INT(W20))</f>
        <v>0:0:27</v>
      </c>
      <c r="T20" s="6">
        <f>O20/J20</f>
        <v>27.6</v>
      </c>
      <c r="U20" s="6">
        <f t="shared" si="9"/>
        <v>0</v>
      </c>
      <c r="V20" s="6">
        <f t="shared" si="10"/>
        <v>0</v>
      </c>
      <c r="W20" s="6">
        <f t="shared" si="11"/>
        <v>27.6</v>
      </c>
      <c r="X20" s="9" t="str">
        <f t="shared" si="12"/>
        <v>0:5:27</v>
      </c>
      <c r="Y20" s="1">
        <f>O20/L20</f>
        <v>327.3115691365752</v>
      </c>
      <c r="Z20" s="1">
        <f>INT(Y20/3600)</f>
        <v>0</v>
      </c>
      <c r="AA20" s="1">
        <f>INT(MOD(Y20,3600)/60)</f>
        <v>5</v>
      </c>
      <c r="AB20" s="1">
        <f xml:space="preserve"> MOD(MOD(Y20, 3600),60)</f>
        <v>27.311569136575201</v>
      </c>
    </row>
    <row r="21" spans="1:28" x14ac:dyDescent="0.3">
      <c r="B21" s="80"/>
      <c r="C21" s="73"/>
      <c r="D21" s="73"/>
      <c r="E21" s="73"/>
      <c r="F21" s="33" t="s">
        <v>125</v>
      </c>
      <c r="G21" s="154" t="s">
        <v>29</v>
      </c>
      <c r="H21" s="154" t="s">
        <v>109</v>
      </c>
      <c r="I21" s="155">
        <f ca="1">J21*RANDBETWEEN(1.3,2.5)</f>
        <v>1654532</v>
      </c>
      <c r="J21" s="156">
        <v>827266</v>
      </c>
      <c r="K21" s="153">
        <f>J21/L21</f>
        <v>11.814035187935565</v>
      </c>
      <c r="L21" s="2">
        <v>70024</v>
      </c>
      <c r="M21" s="5" t="str">
        <f>CONCATENATE(INT(P21),":",INT(Q21),":", INT(R21))</f>
        <v>3446:56:30</v>
      </c>
      <c r="N21" s="6">
        <f>0.25*J21</f>
        <v>206816.5</v>
      </c>
      <c r="O21" s="6">
        <f>N21*60</f>
        <v>12408990</v>
      </c>
      <c r="P21" s="6">
        <f>INT(O21/3600)</f>
        <v>3446</v>
      </c>
      <c r="Q21" s="6">
        <f>INT(MOD(O21,3600)/60)</f>
        <v>56</v>
      </c>
      <c r="R21" s="6">
        <f xml:space="preserve"> MOD(MOD(O21, 3600),60)</f>
        <v>30</v>
      </c>
      <c r="S21" s="5" t="str">
        <f>CONCATENATE(INT(U21),":",INT(V21),":", INT(W21))</f>
        <v>0:0:15</v>
      </c>
      <c r="T21" s="6">
        <f>O21/J21</f>
        <v>15</v>
      </c>
      <c r="U21" s="6">
        <f>INT(T21/3600)</f>
        <v>0</v>
      </c>
      <c r="V21" s="6">
        <f>INT(MOD(T21,3600)/60)</f>
        <v>0</v>
      </c>
      <c r="W21" s="6">
        <f xml:space="preserve"> MOD(MOD(T21, 3600),60)</f>
        <v>15</v>
      </c>
      <c r="X21" s="9" t="str">
        <f>CONCATENATE(INT(Z21),":",INT(AA21),":", INT(AB21))</f>
        <v>0:2:57</v>
      </c>
      <c r="Y21" s="1">
        <f>O21/L21</f>
        <v>177.21052781903347</v>
      </c>
      <c r="Z21" s="1">
        <f>INT(Y21/3600)</f>
        <v>0</v>
      </c>
      <c r="AA21" s="1">
        <f>INT(MOD(Y21,3600)/60)</f>
        <v>2</v>
      </c>
      <c r="AB21" s="1">
        <f xml:space="preserve"> MOD(MOD(Y21, 3600),60)</f>
        <v>57.210527819033473</v>
      </c>
    </row>
    <row r="22" spans="1:28" ht="15" thickBot="1" x14ac:dyDescent="0.35">
      <c r="B22" s="157"/>
      <c r="C22" s="74"/>
      <c r="D22" s="74"/>
      <c r="E22" s="74"/>
      <c r="F22" s="35" t="s">
        <v>27</v>
      </c>
      <c r="G22" s="158" t="s">
        <v>30</v>
      </c>
      <c r="H22" s="158" t="s">
        <v>110</v>
      </c>
      <c r="I22" s="159">
        <f ca="1">J22*RANDBETWEEN(1.3,2.5)</f>
        <v>1473666</v>
      </c>
      <c r="J22" s="160">
        <v>736833</v>
      </c>
      <c r="K22" s="153">
        <f>J22/L22</f>
        <v>10.522878523892491</v>
      </c>
      <c r="L22" s="2">
        <v>70022</v>
      </c>
      <c r="M22" s="5" t="str">
        <f>CONCATENATE(INT(P22),":",INT(Q22),":", INT(R22))</f>
        <v>2456:6:36</v>
      </c>
      <c r="N22" s="6">
        <f>0.2*J22</f>
        <v>147366.6</v>
      </c>
      <c r="O22" s="6">
        <f>N22*60</f>
        <v>8841996</v>
      </c>
      <c r="P22" s="6">
        <f>INT(O22/3600)</f>
        <v>2456</v>
      </c>
      <c r="Q22" s="6">
        <f>INT(MOD(O22,3600)/60)</f>
        <v>6</v>
      </c>
      <c r="R22" s="6">
        <f xml:space="preserve"> MOD(MOD(O22, 3600),60)</f>
        <v>36</v>
      </c>
      <c r="S22" s="5" t="str">
        <f>CONCATENATE(INT(U22),":",INT(V22),":", INT(W22))</f>
        <v>0:0:12</v>
      </c>
      <c r="T22" s="6">
        <f>O22/J22</f>
        <v>12</v>
      </c>
      <c r="U22" s="6">
        <f>INT(T22/3600)</f>
        <v>0</v>
      </c>
      <c r="V22" s="6">
        <f>INT(MOD(T22,3600)/60)</f>
        <v>0</v>
      </c>
      <c r="W22" s="6">
        <f xml:space="preserve"> MOD(MOD(T22, 3600),60)</f>
        <v>12</v>
      </c>
      <c r="X22" s="9" t="str">
        <f>CONCATENATE(INT(Z22),":",INT(AA22),":", INT(AB22))</f>
        <v>0:2:6</v>
      </c>
      <c r="Y22" s="1">
        <f>O22/L22</f>
        <v>126.27454228670989</v>
      </c>
      <c r="Z22" s="1">
        <f>INT(Y22/3600)</f>
        <v>0</v>
      </c>
      <c r="AA22" s="1">
        <f>INT(MOD(Y22,3600)/60)</f>
        <v>2</v>
      </c>
      <c r="AB22" s="1">
        <f xml:space="preserve"> MOD(MOD(Y22, 3600),60)</f>
        <v>6.2745422867098881</v>
      </c>
    </row>
    <row r="23" spans="1:28" ht="15" thickBot="1" x14ac:dyDescent="0.35">
      <c r="B23" s="166" t="s">
        <v>67</v>
      </c>
      <c r="C23" s="108">
        <f>SUM(C20:C22)</f>
        <v>8087229</v>
      </c>
      <c r="D23" s="108">
        <f ca="1">SUM(D20:D22)</f>
        <v>10782972</v>
      </c>
      <c r="E23" s="108">
        <f>SUM(E20:E22)</f>
        <v>5391486</v>
      </c>
      <c r="F23" s="167"/>
      <c r="G23" s="168"/>
      <c r="H23" s="168"/>
      <c r="I23" s="169">
        <f ca="1">SUM(I20:I22)</f>
        <v>10782972</v>
      </c>
      <c r="J23" s="170">
        <f>SUM(J20:J22)</f>
        <v>5391486</v>
      </c>
      <c r="K23" s="171">
        <f>AVERAGE(K20:K22)</f>
        <v>11.398676178539004</v>
      </c>
      <c r="L23" s="26">
        <f>SUM(L20:L22)</f>
        <v>462784</v>
      </c>
      <c r="M23" s="27" t="str">
        <f>CONCATENATE(INT(P23),":",INT(Q23),":", INT(R23))</f>
        <v>35246:21:7</v>
      </c>
      <c r="N23" s="24">
        <f>SUM(N20:N22)</f>
        <v>2114781.12</v>
      </c>
      <c r="O23" s="24">
        <f>SUM(O20:O22)</f>
        <v>126886867.2</v>
      </c>
      <c r="P23" s="25">
        <f>INT(O23/3600)</f>
        <v>35246</v>
      </c>
      <c r="Q23" s="25">
        <f>INT(MOD(O23,3600)/60)</f>
        <v>21</v>
      </c>
      <c r="R23" s="25">
        <f xml:space="preserve"> MOD(MOD(O23, 3600),60)</f>
        <v>7.2000000029802322</v>
      </c>
      <c r="S23" s="27" t="str">
        <f>CONCATENATE(INT(U23),":",INT(V23),":", INT(W23))</f>
        <v>0:0:23</v>
      </c>
      <c r="T23" s="25">
        <f>O23/J23</f>
        <v>23.534674336537275</v>
      </c>
      <c r="U23" s="25">
        <f>INT(T23/3600)</f>
        <v>0</v>
      </c>
      <c r="V23" s="25">
        <f>INT(MOD(T23,3600)/60)</f>
        <v>0</v>
      </c>
      <c r="W23" s="25">
        <f xml:space="preserve"> MOD(MOD(T23, 3600),60)</f>
        <v>23.534674336537275</v>
      </c>
      <c r="X23" s="28" t="str">
        <f>CONCATENATE(INT(Z23),":",INT(AA23),":", INT(AB23))</f>
        <v>0:4:34</v>
      </c>
      <c r="Y23" s="1">
        <f>O23/L23</f>
        <v>274.1816207993362</v>
      </c>
      <c r="Z23" s="1">
        <f>INT(Y23/3600)</f>
        <v>0</v>
      </c>
      <c r="AA23" s="1">
        <f>INT(MOD(Y23,3600)/60)</f>
        <v>4</v>
      </c>
      <c r="AB23" s="1">
        <f xml:space="preserve"> MOD(MOD(Y23, 3600),60)</f>
        <v>34.181620799336201</v>
      </c>
    </row>
    <row r="24" spans="1:28" s="186" customFormat="1" x14ac:dyDescent="0.3">
      <c r="J24" s="187"/>
    </row>
    <row r="25" spans="1:28" s="186" customFormat="1" x14ac:dyDescent="0.3">
      <c r="B25" s="194"/>
      <c r="F25" s="195" t="s">
        <v>90</v>
      </c>
      <c r="J25" s="187"/>
    </row>
    <row r="26" spans="1:28" s="186" customFormat="1" x14ac:dyDescent="0.3">
      <c r="F26" s="195" t="s">
        <v>91</v>
      </c>
      <c r="J26" s="187"/>
    </row>
    <row r="27" spans="1:28" s="186" customFormat="1" x14ac:dyDescent="0.3">
      <c r="J27" s="187"/>
    </row>
    <row r="28" spans="1:28" s="186" customFormat="1" x14ac:dyDescent="0.3">
      <c r="J28" s="187"/>
    </row>
    <row r="29" spans="1:28" x14ac:dyDescent="0.3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288"/>
    </row>
    <row r="30" spans="1:28" ht="22.8" x14ac:dyDescent="0.3">
      <c r="A30" s="289"/>
      <c r="B30" s="289" t="s">
        <v>189</v>
      </c>
      <c r="C30" s="290"/>
      <c r="D30" s="290"/>
      <c r="E30" s="290"/>
      <c r="F30" s="290" t="s">
        <v>190</v>
      </c>
      <c r="G30" s="291" t="s">
        <v>192</v>
      </c>
      <c r="H30" s="291" t="s">
        <v>195</v>
      </c>
      <c r="I30" s="291" t="s">
        <v>193</v>
      </c>
      <c r="J30" s="291" t="s">
        <v>194</v>
      </c>
      <c r="K30" s="290" t="s">
        <v>191</v>
      </c>
    </row>
    <row r="31" spans="1:28" x14ac:dyDescent="0.3">
      <c r="A31" s="292" t="s">
        <v>181</v>
      </c>
      <c r="B31" s="292"/>
      <c r="C31" s="292"/>
      <c r="D31" s="292"/>
      <c r="E31" s="292"/>
      <c r="F31" s="292">
        <v>10106</v>
      </c>
      <c r="G31" s="292">
        <v>10129</v>
      </c>
      <c r="H31" s="293" t="s">
        <v>182</v>
      </c>
      <c r="I31" s="294">
        <v>40984.625</v>
      </c>
      <c r="J31" s="294">
        <v>40984.632638888892</v>
      </c>
      <c r="K31" s="292">
        <v>1</v>
      </c>
    </row>
    <row r="32" spans="1:28" x14ac:dyDescent="0.3">
      <c r="A32" s="292" t="s">
        <v>181</v>
      </c>
      <c r="B32" s="292"/>
      <c r="C32" s="292"/>
      <c r="D32" s="292"/>
      <c r="E32" s="292"/>
      <c r="F32" s="292">
        <v>10125</v>
      </c>
      <c r="G32" s="292">
        <v>10164</v>
      </c>
      <c r="H32" s="293" t="s">
        <v>183</v>
      </c>
      <c r="I32" s="294">
        <v>40984.625</v>
      </c>
      <c r="J32" s="294">
        <v>40984.632638888892</v>
      </c>
      <c r="K32" s="292">
        <v>1</v>
      </c>
    </row>
    <row r="33" spans="1:11" x14ac:dyDescent="0.3">
      <c r="A33" s="292" t="s">
        <v>184</v>
      </c>
      <c r="B33" s="292"/>
      <c r="C33" s="292"/>
      <c r="D33" s="292"/>
      <c r="E33" s="292"/>
      <c r="F33" s="292">
        <v>10095</v>
      </c>
      <c r="G33" s="292">
        <v>10110</v>
      </c>
      <c r="H33" s="293" t="s">
        <v>185</v>
      </c>
      <c r="I33" s="294">
        <v>40989.541666666664</v>
      </c>
      <c r="J33" s="294">
        <v>40989.548611111109</v>
      </c>
      <c r="K33" s="292">
        <v>1</v>
      </c>
    </row>
    <row r="34" spans="1:11" x14ac:dyDescent="0.3">
      <c r="A34" s="292" t="s">
        <v>184</v>
      </c>
      <c r="B34" s="292"/>
      <c r="C34" s="292"/>
      <c r="D34" s="292"/>
      <c r="E34" s="292"/>
      <c r="F34" s="292">
        <v>10125</v>
      </c>
      <c r="G34" s="292">
        <v>10166</v>
      </c>
      <c r="H34" s="293" t="s">
        <v>186</v>
      </c>
      <c r="I34" s="294">
        <v>40989.541666666664</v>
      </c>
      <c r="J34" s="294">
        <v>40989.548611111109</v>
      </c>
      <c r="K34" s="292">
        <v>1</v>
      </c>
    </row>
    <row r="35" spans="1:11" x14ac:dyDescent="0.3">
      <c r="A35" s="292" t="s">
        <v>187</v>
      </c>
      <c r="B35" s="292"/>
      <c r="C35" s="292"/>
      <c r="D35" s="292"/>
      <c r="E35" s="292"/>
      <c r="F35" s="292">
        <v>10095</v>
      </c>
      <c r="G35" s="292">
        <v>10110</v>
      </c>
      <c r="H35" s="293" t="s">
        <v>185</v>
      </c>
      <c r="I35" s="294">
        <v>40989.541666666664</v>
      </c>
      <c r="J35" s="294">
        <v>40989.548611111109</v>
      </c>
      <c r="K35" s="292">
        <v>1</v>
      </c>
    </row>
    <row r="36" spans="1:11" x14ac:dyDescent="0.3">
      <c r="A36" s="292" t="s">
        <v>187</v>
      </c>
      <c r="B36" s="292"/>
      <c r="C36" s="292"/>
      <c r="D36" s="292"/>
      <c r="E36" s="292"/>
      <c r="F36" s="292">
        <v>10125</v>
      </c>
      <c r="G36" s="292">
        <v>10166</v>
      </c>
      <c r="H36" s="293" t="s">
        <v>186</v>
      </c>
      <c r="I36" s="294">
        <v>40989.541666666664</v>
      </c>
      <c r="J36" s="294">
        <v>40989.548611111109</v>
      </c>
      <c r="K36" s="292">
        <v>1</v>
      </c>
    </row>
    <row r="37" spans="1:11" x14ac:dyDescent="0.3">
      <c r="A37" s="292" t="s">
        <v>188</v>
      </c>
      <c r="B37" s="292"/>
      <c r="C37" s="292"/>
      <c r="D37" s="292"/>
      <c r="E37" s="292"/>
      <c r="F37" s="292">
        <v>10106</v>
      </c>
      <c r="G37" s="292">
        <v>10129</v>
      </c>
      <c r="H37" s="293" t="s">
        <v>182</v>
      </c>
      <c r="I37" s="294">
        <v>40984.625</v>
      </c>
      <c r="J37" s="294">
        <v>40984.632638888892</v>
      </c>
      <c r="K37" s="292">
        <v>1</v>
      </c>
    </row>
    <row r="38" spans="1:11" x14ac:dyDescent="0.3">
      <c r="A38" s="292" t="s">
        <v>188</v>
      </c>
      <c r="B38" s="292"/>
      <c r="C38" s="292"/>
      <c r="D38" s="292"/>
      <c r="E38" s="292"/>
      <c r="F38" s="292">
        <v>10125</v>
      </c>
      <c r="G38" s="292">
        <v>10164</v>
      </c>
      <c r="H38" s="293" t="s">
        <v>183</v>
      </c>
      <c r="I38" s="294">
        <v>40984.625</v>
      </c>
      <c r="J38" s="294">
        <v>40984.632638888892</v>
      </c>
      <c r="K38" s="292">
        <v>1</v>
      </c>
    </row>
  </sheetData>
  <pageMargins left="0.7" right="0.7" top="0.75" bottom="0.75" header="0.3" footer="0.3"/>
  <pageSetup scale="5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5:D53"/>
  <sheetViews>
    <sheetView workbookViewId="0"/>
  </sheetViews>
  <sheetFormatPr defaultRowHeight="14.4" x14ac:dyDescent="0.3"/>
  <cols>
    <col min="2" max="2" width="21.88671875" customWidth="1"/>
    <col min="3" max="3" width="41.5546875" customWidth="1"/>
    <col min="4" max="4" width="44.5546875" customWidth="1"/>
  </cols>
  <sheetData>
    <row r="5" spans="2:4" s="47" customFormat="1" ht="23.4" x14ac:dyDescent="0.45">
      <c r="B5" s="50" t="s">
        <v>85</v>
      </c>
      <c r="C5" s="43" t="s">
        <v>86</v>
      </c>
      <c r="D5" s="43"/>
    </row>
    <row r="6" spans="2:4" s="49" customFormat="1" ht="23.4" x14ac:dyDescent="0.45">
      <c r="B6" s="50" t="s">
        <v>88</v>
      </c>
      <c r="C6" s="43" t="s">
        <v>105</v>
      </c>
      <c r="D6" s="43"/>
    </row>
    <row r="7" spans="2:4" s="49" customFormat="1" x14ac:dyDescent="0.3">
      <c r="B7" s="51" t="s">
        <v>81</v>
      </c>
      <c r="C7" s="52" t="s">
        <v>87</v>
      </c>
      <c r="D7" s="52"/>
    </row>
    <row r="8" spans="2:4" s="49" customFormat="1" x14ac:dyDescent="0.3">
      <c r="B8" s="51" t="s">
        <v>64</v>
      </c>
      <c r="C8" s="60">
        <v>40544</v>
      </c>
      <c r="D8" s="60"/>
    </row>
    <row r="9" spans="2:4" s="49" customFormat="1" x14ac:dyDescent="0.3">
      <c r="B9" s="51" t="s">
        <v>65</v>
      </c>
      <c r="C9" s="60">
        <v>40633.999988425923</v>
      </c>
      <c r="D9" s="58" t="s">
        <v>89</v>
      </c>
    </row>
    <row r="10" spans="2:4" x14ac:dyDescent="0.3">
      <c r="C10" s="4"/>
      <c r="D10" s="4"/>
    </row>
    <row r="12" spans="2:4" ht="15" thickBot="1" x14ac:dyDescent="0.35">
      <c r="C12" s="4"/>
      <c r="D12" s="4"/>
    </row>
    <row r="13" spans="2:4" ht="15" thickBot="1" x14ac:dyDescent="0.35">
      <c r="B13" s="218" t="s">
        <v>131</v>
      </c>
      <c r="C13" s="220" t="s">
        <v>96</v>
      </c>
      <c r="D13" s="221" t="s">
        <v>97</v>
      </c>
    </row>
    <row r="14" spans="2:4" x14ac:dyDescent="0.3">
      <c r="B14" s="225" t="s">
        <v>70</v>
      </c>
      <c r="C14" s="226">
        <f ca="1">D14*RANDBETWEEN(1.3,2.5)</f>
        <v>10002822</v>
      </c>
      <c r="D14" s="227">
        <v>5001411</v>
      </c>
    </row>
    <row r="15" spans="2:4" x14ac:dyDescent="0.3">
      <c r="B15" s="230" t="s">
        <v>132</v>
      </c>
      <c r="C15" s="125">
        <f ca="1">C14 / RANDBETWEEN(2,4)</f>
        <v>3334274</v>
      </c>
      <c r="D15" s="236">
        <f ca="1">D14 / RANDBETWEEN(2,4)</f>
        <v>2500705.5</v>
      </c>
    </row>
    <row r="16" spans="2:4" x14ac:dyDescent="0.3">
      <c r="B16" s="231" t="s">
        <v>133</v>
      </c>
      <c r="C16" s="127">
        <f ca="1">(C14-C15) / RANDBETWEEN(2,4)</f>
        <v>1667137</v>
      </c>
      <c r="D16" s="237">
        <f ca="1">(D14-D15) / RANDBETWEEN(2,4)</f>
        <v>625176.375</v>
      </c>
    </row>
    <row r="17" spans="2:4" ht="15" thickBot="1" x14ac:dyDescent="0.35">
      <c r="B17" s="232" t="s">
        <v>134</v>
      </c>
      <c r="C17" s="126">
        <f ca="1">C14 - (C15+C16)</f>
        <v>5001411</v>
      </c>
      <c r="D17" s="238">
        <f ca="1">D14 - (D15+D16)</f>
        <v>1875529.125</v>
      </c>
    </row>
    <row r="18" spans="2:4" ht="15" thickTop="1" x14ac:dyDescent="0.3">
      <c r="B18" s="229" t="s">
        <v>71</v>
      </c>
      <c r="C18" s="228">
        <f ca="1">D15*RANDBETWEEN(1.3,2.5)</f>
        <v>5001411</v>
      </c>
      <c r="D18" s="223">
        <v>12981</v>
      </c>
    </row>
    <row r="19" spans="2:4" x14ac:dyDescent="0.3">
      <c r="B19" s="230" t="s">
        <v>132</v>
      </c>
      <c r="C19" s="125">
        <f ca="1">C18 / RANDBETWEEN(2,4)</f>
        <v>2500705.5</v>
      </c>
      <c r="D19" s="236">
        <f ca="1">D18 / RANDBETWEEN(2,4)</f>
        <v>4327</v>
      </c>
    </row>
    <row r="20" spans="2:4" x14ac:dyDescent="0.3">
      <c r="B20" s="231" t="s">
        <v>133</v>
      </c>
      <c r="C20" s="127">
        <f ca="1">(C18-C19) / RANDBETWEEN(2,4)</f>
        <v>1250352.75</v>
      </c>
      <c r="D20" s="237">
        <f ca="1">(D18-D19) / RANDBETWEEN(2,4)</f>
        <v>2163.5</v>
      </c>
    </row>
    <row r="21" spans="2:4" ht="15" thickBot="1" x14ac:dyDescent="0.35">
      <c r="B21" s="232" t="s">
        <v>134</v>
      </c>
      <c r="C21" s="126">
        <f ca="1">C18 - (C19+C20)</f>
        <v>1250352.75</v>
      </c>
      <c r="D21" s="238">
        <f ca="1">D18 - (D19+D20)</f>
        <v>6490.5</v>
      </c>
    </row>
    <row r="22" spans="2:4" ht="15" thickTop="1" x14ac:dyDescent="0.3">
      <c r="B22" s="68" t="s">
        <v>72</v>
      </c>
      <c r="C22" s="228">
        <f ca="1">D16*RANDBETWEEN(1.3,2.5)</f>
        <v>1250352.75</v>
      </c>
      <c r="D22" s="223">
        <v>21212</v>
      </c>
    </row>
    <row r="23" spans="2:4" x14ac:dyDescent="0.3">
      <c r="B23" s="230" t="s">
        <v>132</v>
      </c>
      <c r="C23" s="125">
        <f ca="1">C22 / RANDBETWEEN(2,4)</f>
        <v>416784.25</v>
      </c>
      <c r="D23" s="236">
        <f ca="1">D22 / RANDBETWEEN(2,4)</f>
        <v>7070.666666666667</v>
      </c>
    </row>
    <row r="24" spans="2:4" x14ac:dyDescent="0.3">
      <c r="B24" s="231" t="s">
        <v>133</v>
      </c>
      <c r="C24" s="127">
        <f ca="1">(C22-C23) / RANDBETWEEN(2,4)</f>
        <v>277856.16666666669</v>
      </c>
      <c r="D24" s="237">
        <f ca="1">(D22-D23) / RANDBETWEEN(2,4)</f>
        <v>4713.7777777777774</v>
      </c>
    </row>
    <row r="25" spans="2:4" ht="15" thickBot="1" x14ac:dyDescent="0.35">
      <c r="B25" s="232" t="s">
        <v>134</v>
      </c>
      <c r="C25" s="126">
        <f ca="1">C22 - (C23+C24)</f>
        <v>555712.33333333326</v>
      </c>
      <c r="D25" s="238">
        <f ca="1">D22 - (D23+D24)</f>
        <v>9427.5555555555547</v>
      </c>
    </row>
    <row r="26" spans="2:4" ht="15" thickTop="1" x14ac:dyDescent="0.3">
      <c r="B26" s="68" t="s">
        <v>73</v>
      </c>
      <c r="C26" s="228">
        <f ca="1">D17*RANDBETWEEN(1.3,2.5)</f>
        <v>3751058.25</v>
      </c>
      <c r="D26" s="223">
        <v>355882</v>
      </c>
    </row>
    <row r="27" spans="2:4" x14ac:dyDescent="0.3">
      <c r="B27" s="230" t="s">
        <v>132</v>
      </c>
      <c r="C27" s="125">
        <f ca="1">C26 / RANDBETWEEN(2,4)</f>
        <v>1875529.125</v>
      </c>
      <c r="D27" s="236">
        <f ca="1">D26 / RANDBETWEEN(2,4)</f>
        <v>88970.5</v>
      </c>
    </row>
    <row r="28" spans="2:4" x14ac:dyDescent="0.3">
      <c r="B28" s="231" t="s">
        <v>133</v>
      </c>
      <c r="C28" s="127">
        <f ca="1">(C26-C27) / RANDBETWEEN(2,4)</f>
        <v>625176.375</v>
      </c>
      <c r="D28" s="237">
        <f ca="1">(D26-D27) / RANDBETWEEN(2,4)</f>
        <v>133455.75</v>
      </c>
    </row>
    <row r="29" spans="2:4" ht="15" thickBot="1" x14ac:dyDescent="0.35">
      <c r="B29" s="232" t="s">
        <v>134</v>
      </c>
      <c r="C29" s="126">
        <f ca="1">C26 - (C27+C28)</f>
        <v>1250352.75</v>
      </c>
      <c r="D29" s="238">
        <f ca="1">D26 - (D27+D28)</f>
        <v>133455.75</v>
      </c>
    </row>
    <row r="30" spans="2:4" ht="15" thickTop="1" x14ac:dyDescent="0.3">
      <c r="B30" s="233" t="s">
        <v>74</v>
      </c>
      <c r="C30" s="234">
        <f ca="1">D18*RANDBETWEEN(1.3,2.5)</f>
        <v>25962</v>
      </c>
      <c r="D30" s="235">
        <v>222877</v>
      </c>
    </row>
    <row r="31" spans="2:4" x14ac:dyDescent="0.3">
      <c r="B31" s="231" t="s">
        <v>132</v>
      </c>
      <c r="C31" s="127">
        <f ca="1">C30 / RANDBETWEEN(2,4)</f>
        <v>6490.5</v>
      </c>
      <c r="D31" s="237">
        <f ca="1">D30 / RANDBETWEEN(2,4)</f>
        <v>55719.25</v>
      </c>
    </row>
    <row r="32" spans="2:4" x14ac:dyDescent="0.3">
      <c r="B32" s="231" t="s">
        <v>133</v>
      </c>
      <c r="C32" s="127">
        <f ca="1">(C30-C31) / RANDBETWEEN(2,4)</f>
        <v>6490.5</v>
      </c>
      <c r="D32" s="237">
        <f ca="1">(D30-D31) / RANDBETWEEN(2,4)</f>
        <v>83578.875</v>
      </c>
    </row>
    <row r="33" spans="2:4" ht="15" thickBot="1" x14ac:dyDescent="0.35">
      <c r="B33" s="232" t="s">
        <v>134</v>
      </c>
      <c r="C33" s="126">
        <f ca="1">C30 - (C31+C32)</f>
        <v>12981</v>
      </c>
      <c r="D33" s="238">
        <f ca="1">D30 - (D31+D32)</f>
        <v>83578.875</v>
      </c>
    </row>
    <row r="34" spans="2:4" ht="15.6" thickTop="1" thickBot="1" x14ac:dyDescent="0.35">
      <c r="B34" s="219" t="s">
        <v>67</v>
      </c>
      <c r="C34" s="222">
        <f ca="1">SUM(C14:C30)</f>
        <v>40037250</v>
      </c>
      <c r="D34" s="224">
        <f ca="1">SUM(D14:D30)</f>
        <v>11005849</v>
      </c>
    </row>
    <row r="36" spans="2:4" x14ac:dyDescent="0.3">
      <c r="C36" s="4"/>
      <c r="D36" s="4"/>
    </row>
    <row r="37" spans="2:4" x14ac:dyDescent="0.3">
      <c r="C37" s="4"/>
      <c r="D37" s="4"/>
    </row>
    <row r="38" spans="2:4" x14ac:dyDescent="0.3">
      <c r="C38" s="195" t="s">
        <v>90</v>
      </c>
    </row>
    <row r="39" spans="2:4" x14ac:dyDescent="0.3">
      <c r="C39" s="195" t="s">
        <v>91</v>
      </c>
    </row>
    <row r="47" spans="2:4" s="14" customFormat="1" x14ac:dyDescent="0.3"/>
    <row r="48" spans="2:4" s="14" customFormat="1" x14ac:dyDescent="0.3"/>
    <row r="53" spans="2:2" x14ac:dyDescent="0.3">
      <c r="B53" s="14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5:F53"/>
  <sheetViews>
    <sheetView workbookViewId="0"/>
  </sheetViews>
  <sheetFormatPr defaultRowHeight="14.4" x14ac:dyDescent="0.3"/>
  <cols>
    <col min="2" max="2" width="21.88671875" customWidth="1"/>
    <col min="3" max="3" width="31.88671875" customWidth="1"/>
    <col min="4" max="4" width="4" customWidth="1"/>
    <col min="5" max="5" width="36.33203125" customWidth="1"/>
    <col min="6" max="6" width="15.44140625" customWidth="1"/>
  </cols>
  <sheetData>
    <row r="5" spans="2:6" s="47" customFormat="1" ht="23.4" x14ac:dyDescent="0.45">
      <c r="B5" s="50" t="s">
        <v>85</v>
      </c>
      <c r="C5" s="43" t="s">
        <v>86</v>
      </c>
      <c r="D5" s="43"/>
      <c r="E5" s="43"/>
      <c r="F5" s="43"/>
    </row>
    <row r="6" spans="2:6" s="49" customFormat="1" ht="23.4" x14ac:dyDescent="0.45">
      <c r="B6" s="50" t="s">
        <v>88</v>
      </c>
      <c r="C6" s="43" t="s">
        <v>105</v>
      </c>
      <c r="D6" s="43"/>
      <c r="E6" s="43"/>
      <c r="F6" s="43"/>
    </row>
    <row r="7" spans="2:6" s="49" customFormat="1" x14ac:dyDescent="0.3">
      <c r="B7" s="51" t="s">
        <v>81</v>
      </c>
      <c r="C7" s="52" t="s">
        <v>87</v>
      </c>
      <c r="D7" s="52"/>
      <c r="E7" s="52"/>
      <c r="F7" s="52"/>
    </row>
    <row r="8" spans="2:6" s="49" customFormat="1" x14ac:dyDescent="0.3">
      <c r="B8" s="51" t="s">
        <v>64</v>
      </c>
      <c r="C8" s="243">
        <v>40544</v>
      </c>
      <c r="D8" s="243"/>
      <c r="E8" s="60"/>
      <c r="F8" s="60"/>
    </row>
    <row r="9" spans="2:6" s="49" customFormat="1" x14ac:dyDescent="0.3">
      <c r="B9" s="51" t="s">
        <v>65</v>
      </c>
      <c r="C9" s="243">
        <v>40633.999988425923</v>
      </c>
      <c r="D9" s="243"/>
      <c r="E9" s="58"/>
      <c r="F9" s="58" t="s">
        <v>89</v>
      </c>
    </row>
    <row r="10" spans="2:6" x14ac:dyDescent="0.3">
      <c r="C10" s="4"/>
      <c r="D10" s="4"/>
      <c r="E10" s="4"/>
    </row>
    <row r="12" spans="2:6" ht="15" thickBot="1" x14ac:dyDescent="0.35">
      <c r="C12" s="4"/>
      <c r="D12" s="4"/>
      <c r="E12" s="4"/>
    </row>
    <row r="13" spans="2:6" ht="15" thickBot="1" x14ac:dyDescent="0.35">
      <c r="C13" s="218" t="s">
        <v>131</v>
      </c>
      <c r="D13" s="244"/>
      <c r="E13" s="239" t="s">
        <v>97</v>
      </c>
    </row>
    <row r="14" spans="2:6" x14ac:dyDescent="0.3">
      <c r="C14" s="225" t="s">
        <v>70</v>
      </c>
      <c r="D14" s="245"/>
      <c r="E14" s="227">
        <f>'Campaign PoP (Prog View)'!D14</f>
        <v>5001411</v>
      </c>
    </row>
    <row r="15" spans="2:6" x14ac:dyDescent="0.3">
      <c r="C15" s="230" t="s">
        <v>132</v>
      </c>
      <c r="D15" s="246"/>
      <c r="E15" s="240">
        <f ca="1">E14 / RANDBETWEEN(2,4)</f>
        <v>1250352.75</v>
      </c>
    </row>
    <row r="16" spans="2:6" x14ac:dyDescent="0.3">
      <c r="C16" s="231" t="s">
        <v>133</v>
      </c>
      <c r="D16" s="247"/>
      <c r="E16" s="241">
        <f ca="1">(E14-E15) / RANDBETWEEN(2,4)</f>
        <v>1250352.75</v>
      </c>
    </row>
    <row r="17" spans="3:5" ht="15" thickBot="1" x14ac:dyDescent="0.35">
      <c r="C17" s="232" t="s">
        <v>134</v>
      </c>
      <c r="D17" s="248"/>
      <c r="E17" s="242">
        <f ca="1">E14 - (E15+E16)</f>
        <v>2500705.5</v>
      </c>
    </row>
    <row r="18" spans="3:5" ht="15" thickTop="1" x14ac:dyDescent="0.3">
      <c r="C18" s="229" t="s">
        <v>71</v>
      </c>
      <c r="D18" s="249"/>
      <c r="E18" s="227">
        <f>'Campaign PoP (Prog View)'!D18</f>
        <v>12981</v>
      </c>
    </row>
    <row r="19" spans="3:5" x14ac:dyDescent="0.3">
      <c r="C19" s="230" t="s">
        <v>132</v>
      </c>
      <c r="D19" s="246"/>
      <c r="E19" s="240">
        <f ca="1">E18 / RANDBETWEEN(2,4)</f>
        <v>3245.25</v>
      </c>
    </row>
    <row r="20" spans="3:5" x14ac:dyDescent="0.3">
      <c r="C20" s="231" t="s">
        <v>133</v>
      </c>
      <c r="D20" s="247"/>
      <c r="E20" s="241">
        <f ca="1">(E18-E19) / RANDBETWEEN(2,4)</f>
        <v>2433.9375</v>
      </c>
    </row>
    <row r="21" spans="3:5" ht="15" thickBot="1" x14ac:dyDescent="0.35">
      <c r="C21" s="232" t="s">
        <v>134</v>
      </c>
      <c r="D21" s="248"/>
      <c r="E21" s="242">
        <f ca="1">E18 - (E19+E20)</f>
        <v>7301.8125</v>
      </c>
    </row>
    <row r="22" spans="3:5" ht="15" thickTop="1" x14ac:dyDescent="0.3">
      <c r="C22" s="68" t="s">
        <v>72</v>
      </c>
      <c r="D22" s="249"/>
      <c r="E22" s="227">
        <f>'Campaign PoP (Prog View)'!D22</f>
        <v>21212</v>
      </c>
    </row>
    <row r="23" spans="3:5" x14ac:dyDescent="0.3">
      <c r="C23" s="230" t="s">
        <v>132</v>
      </c>
      <c r="D23" s="246"/>
      <c r="E23" s="240">
        <f ca="1">E22 / RANDBETWEEN(2,4)</f>
        <v>7070.666666666667</v>
      </c>
    </row>
    <row r="24" spans="3:5" x14ac:dyDescent="0.3">
      <c r="C24" s="231" t="s">
        <v>133</v>
      </c>
      <c r="D24" s="247"/>
      <c r="E24" s="241">
        <f ca="1">(E22-E23) / RANDBETWEEN(2,4)</f>
        <v>3535.333333333333</v>
      </c>
    </row>
    <row r="25" spans="3:5" ht="15" thickBot="1" x14ac:dyDescent="0.35">
      <c r="C25" s="232" t="s">
        <v>134</v>
      </c>
      <c r="D25" s="248"/>
      <c r="E25" s="242">
        <f ca="1">E22 - (E23+E24)</f>
        <v>10606</v>
      </c>
    </row>
    <row r="26" spans="3:5" ht="15" thickTop="1" x14ac:dyDescent="0.3">
      <c r="C26" s="68" t="s">
        <v>73</v>
      </c>
      <c r="D26" s="249"/>
      <c r="E26" s="227">
        <f>'Campaign PoP (Prog View)'!D26</f>
        <v>355882</v>
      </c>
    </row>
    <row r="27" spans="3:5" x14ac:dyDescent="0.3">
      <c r="C27" s="230" t="s">
        <v>132</v>
      </c>
      <c r="D27" s="246"/>
      <c r="E27" s="240">
        <f ca="1">E26 / RANDBETWEEN(2,4)</f>
        <v>177941</v>
      </c>
    </row>
    <row r="28" spans="3:5" x14ac:dyDescent="0.3">
      <c r="C28" s="231" t="s">
        <v>133</v>
      </c>
      <c r="D28" s="247"/>
      <c r="E28" s="241">
        <f ca="1">(E26-E27) / RANDBETWEEN(2,4)</f>
        <v>59313.666666666664</v>
      </c>
    </row>
    <row r="29" spans="3:5" ht="15" thickBot="1" x14ac:dyDescent="0.35">
      <c r="C29" s="232" t="s">
        <v>134</v>
      </c>
      <c r="D29" s="248"/>
      <c r="E29" s="242">
        <f ca="1">E26 - (E27+E28)</f>
        <v>118627.33333333334</v>
      </c>
    </row>
    <row r="30" spans="3:5" ht="15" thickTop="1" x14ac:dyDescent="0.3">
      <c r="C30" s="233" t="s">
        <v>74</v>
      </c>
      <c r="D30" s="249"/>
      <c r="E30" s="227">
        <f>'Campaign PoP (Prog View)'!D30</f>
        <v>222877</v>
      </c>
    </row>
    <row r="31" spans="3:5" x14ac:dyDescent="0.3">
      <c r="C31" s="231" t="s">
        <v>132</v>
      </c>
      <c r="D31" s="247"/>
      <c r="E31" s="241">
        <f ca="1">E30 / RANDBETWEEN(2,4)</f>
        <v>74292.333333333328</v>
      </c>
    </row>
    <row r="32" spans="3:5" x14ac:dyDescent="0.3">
      <c r="C32" s="231" t="s">
        <v>133</v>
      </c>
      <c r="D32" s="247"/>
      <c r="E32" s="241">
        <f ca="1">(E30-E31) / RANDBETWEEN(2,4)</f>
        <v>37146.166666666672</v>
      </c>
    </row>
    <row r="33" spans="3:5" ht="15" thickBot="1" x14ac:dyDescent="0.35">
      <c r="C33" s="232" t="s">
        <v>134</v>
      </c>
      <c r="D33" s="248"/>
      <c r="E33" s="242">
        <f ca="1">E30 - (E31+E32)</f>
        <v>111438.5</v>
      </c>
    </row>
    <row r="34" spans="3:5" ht="15.6" thickTop="1" thickBot="1" x14ac:dyDescent="0.35">
      <c r="C34" s="219" t="s">
        <v>67</v>
      </c>
      <c r="D34" s="217"/>
      <c r="E34" s="224">
        <f ca="1">SUM(E14:E30)</f>
        <v>11005849</v>
      </c>
    </row>
    <row r="36" spans="3:5" x14ac:dyDescent="0.3">
      <c r="C36" s="4"/>
      <c r="D36" s="4"/>
      <c r="E36" s="4"/>
    </row>
    <row r="37" spans="3:5" x14ac:dyDescent="0.3">
      <c r="C37" s="4"/>
      <c r="D37" s="4"/>
      <c r="E37" s="4"/>
    </row>
    <row r="38" spans="3:5" x14ac:dyDescent="0.3">
      <c r="D38" s="195" t="s">
        <v>90</v>
      </c>
    </row>
    <row r="39" spans="3:5" x14ac:dyDescent="0.3">
      <c r="D39" s="195" t="s">
        <v>91</v>
      </c>
    </row>
    <row r="47" spans="3:5" s="14" customFormat="1" x14ac:dyDescent="0.3"/>
    <row r="48" spans="3:5" s="14" customFormat="1" x14ac:dyDescent="0.3"/>
    <row r="53" spans="2:2" x14ac:dyDescent="0.3">
      <c r="B53" s="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11"/>
  <sheetViews>
    <sheetView workbookViewId="0">
      <selection activeCell="B33" sqref="B33"/>
    </sheetView>
  </sheetViews>
  <sheetFormatPr defaultRowHeight="14.4" x14ac:dyDescent="0.3"/>
  <cols>
    <col min="1" max="1" width="28.33203125" bestFit="1" customWidth="1"/>
    <col min="2" max="2" width="84.33203125" customWidth="1"/>
  </cols>
  <sheetData>
    <row r="1" spans="1:2" x14ac:dyDescent="0.3">
      <c r="A1" s="276" t="s">
        <v>144</v>
      </c>
      <c r="B1" s="277" t="s">
        <v>145</v>
      </c>
    </row>
    <row r="2" spans="1:2" x14ac:dyDescent="0.3">
      <c r="A2" s="272" t="s">
        <v>82</v>
      </c>
      <c r="B2" s="273" t="s">
        <v>146</v>
      </c>
    </row>
    <row r="3" spans="1:2" x14ac:dyDescent="0.3">
      <c r="A3" s="272" t="s">
        <v>75</v>
      </c>
      <c r="B3" s="273" t="s">
        <v>147</v>
      </c>
    </row>
    <row r="4" spans="1:2" x14ac:dyDescent="0.3">
      <c r="A4" s="272" t="s">
        <v>76</v>
      </c>
      <c r="B4" s="273" t="s">
        <v>148</v>
      </c>
    </row>
    <row r="5" spans="1:2" x14ac:dyDescent="0.3">
      <c r="A5" s="272" t="s">
        <v>77</v>
      </c>
      <c r="B5" s="273" t="s">
        <v>149</v>
      </c>
    </row>
    <row r="6" spans="1:2" x14ac:dyDescent="0.3">
      <c r="A6" s="272" t="s">
        <v>16</v>
      </c>
      <c r="B6" s="273" t="s">
        <v>150</v>
      </c>
    </row>
    <row r="7" spans="1:2" x14ac:dyDescent="0.3">
      <c r="A7" s="272" t="s">
        <v>1</v>
      </c>
      <c r="B7" s="273" t="s">
        <v>151</v>
      </c>
    </row>
    <row r="8" spans="1:2" x14ac:dyDescent="0.3">
      <c r="A8" s="272" t="s">
        <v>152</v>
      </c>
      <c r="B8" s="273" t="s">
        <v>154</v>
      </c>
    </row>
    <row r="9" spans="1:2" x14ac:dyDescent="0.3">
      <c r="A9" s="272" t="s">
        <v>158</v>
      </c>
      <c r="B9" s="273" t="s">
        <v>156</v>
      </c>
    </row>
    <row r="10" spans="1:2" x14ac:dyDescent="0.3">
      <c r="A10" s="272" t="s">
        <v>159</v>
      </c>
      <c r="B10" s="273" t="s">
        <v>157</v>
      </c>
    </row>
    <row r="11" spans="1:2" ht="15" thickBot="1" x14ac:dyDescent="0.35">
      <c r="A11" s="274" t="s">
        <v>153</v>
      </c>
      <c r="B11" s="275" t="s">
        <v>155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I23"/>
  <sheetViews>
    <sheetView zoomScaleNormal="100" workbookViewId="0">
      <selection activeCell="D28" sqref="D28"/>
    </sheetView>
  </sheetViews>
  <sheetFormatPr defaultRowHeight="14.4" x14ac:dyDescent="0.3"/>
  <cols>
    <col min="2" max="2" width="17.88671875" bestFit="1" customWidth="1"/>
    <col min="3" max="4" width="28.44140625" bestFit="1" customWidth="1"/>
    <col min="5" max="5" width="14.88671875" style="30" bestFit="1" customWidth="1"/>
    <col min="6" max="6" width="17.33203125" style="30" customWidth="1"/>
    <col min="7" max="7" width="15.5546875" style="30" bestFit="1" customWidth="1"/>
    <col min="8" max="8" width="14" style="30" customWidth="1"/>
    <col min="9" max="9" width="15.5546875" style="30" bestFit="1" customWidth="1"/>
  </cols>
  <sheetData>
    <row r="5" spans="2:9" s="47" customFormat="1" ht="23.4" x14ac:dyDescent="0.45">
      <c r="B5" s="50" t="s">
        <v>85</v>
      </c>
      <c r="C5" s="43" t="s">
        <v>86</v>
      </c>
      <c r="D5" s="44"/>
      <c r="E5" s="45"/>
      <c r="F5" s="45"/>
      <c r="G5" s="48"/>
      <c r="H5" s="48"/>
    </row>
    <row r="6" spans="2:9" s="49" customFormat="1" ht="23.4" x14ac:dyDescent="0.45">
      <c r="B6" s="50" t="s">
        <v>88</v>
      </c>
      <c r="C6" s="43" t="s">
        <v>84</v>
      </c>
      <c r="D6" s="46"/>
      <c r="E6" s="46"/>
      <c r="F6" s="46"/>
    </row>
    <row r="7" spans="2:9" s="49" customFormat="1" x14ac:dyDescent="0.3">
      <c r="B7" s="51" t="s">
        <v>81</v>
      </c>
      <c r="C7" s="52" t="s">
        <v>87</v>
      </c>
      <c r="D7" s="46"/>
      <c r="E7" s="46"/>
      <c r="F7" s="46"/>
    </row>
    <row r="8" spans="2:9" s="49" customFormat="1" x14ac:dyDescent="0.3">
      <c r="B8" s="51" t="s">
        <v>64</v>
      </c>
      <c r="C8" s="60">
        <v>40586</v>
      </c>
      <c r="D8" s="59"/>
      <c r="E8" s="46"/>
      <c r="F8" s="46"/>
    </row>
    <row r="9" spans="2:9" s="49" customFormat="1" x14ac:dyDescent="0.3">
      <c r="B9" s="51" t="s">
        <v>65</v>
      </c>
      <c r="C9" s="60">
        <v>40588.999988425923</v>
      </c>
      <c r="D9" s="59"/>
      <c r="E9" s="57"/>
      <c r="F9" s="58" t="s">
        <v>89</v>
      </c>
    </row>
    <row r="10" spans="2:9" s="14" customFormat="1" x14ac:dyDescent="0.3">
      <c r="E10" s="42"/>
      <c r="F10" s="42"/>
      <c r="G10" s="42"/>
      <c r="H10" s="42"/>
      <c r="I10" s="42"/>
    </row>
    <row r="11" spans="2:9" ht="15" thickBot="1" x14ac:dyDescent="0.35"/>
    <row r="12" spans="2:9" x14ac:dyDescent="0.3">
      <c r="B12" s="53" t="s">
        <v>69</v>
      </c>
      <c r="C12" s="55" t="s">
        <v>82</v>
      </c>
      <c r="D12" s="55" t="s">
        <v>75</v>
      </c>
      <c r="E12" s="56" t="s">
        <v>77</v>
      </c>
      <c r="H12"/>
      <c r="I12"/>
    </row>
    <row r="13" spans="2:9" x14ac:dyDescent="0.3">
      <c r="B13" s="36" t="s">
        <v>70</v>
      </c>
      <c r="C13" s="228">
        <f ca="1">RANDBETWEEN(1.1,2) *D13</f>
        <v>13964322</v>
      </c>
      <c r="D13" s="228">
        <v>6982161</v>
      </c>
      <c r="E13" s="250">
        <v>1150</v>
      </c>
      <c r="H13"/>
      <c r="I13"/>
    </row>
    <row r="14" spans="2:9" x14ac:dyDescent="0.3">
      <c r="B14" s="36" t="s">
        <v>71</v>
      </c>
      <c r="C14" s="228">
        <f ca="1">RANDBETWEEN(1.1,2) *D14</f>
        <v>4201464</v>
      </c>
      <c r="D14" s="228">
        <v>2100732</v>
      </c>
      <c r="E14" s="250">
        <v>2000</v>
      </c>
      <c r="H14"/>
      <c r="I14"/>
    </row>
    <row r="15" spans="2:9" x14ac:dyDescent="0.3">
      <c r="B15" s="36" t="s">
        <v>72</v>
      </c>
      <c r="C15" s="228">
        <f ca="1">RANDBETWEEN(1.1,2) *D15</f>
        <v>4201332</v>
      </c>
      <c r="D15" s="228">
        <v>2100666</v>
      </c>
      <c r="E15" s="250">
        <v>1150</v>
      </c>
      <c r="H15"/>
      <c r="I15"/>
    </row>
    <row r="16" spans="2:9" x14ac:dyDescent="0.3">
      <c r="B16" s="36" t="s">
        <v>73</v>
      </c>
      <c r="C16" s="228">
        <f ca="1">RANDBETWEEN(1.1,2) *D16</f>
        <v>2401332</v>
      </c>
      <c r="D16" s="228">
        <v>1200666</v>
      </c>
      <c r="E16" s="250">
        <v>500</v>
      </c>
      <c r="H16"/>
      <c r="I16"/>
    </row>
    <row r="17" spans="2:9" ht="15" thickBot="1" x14ac:dyDescent="0.35">
      <c r="B17" s="36" t="s">
        <v>74</v>
      </c>
      <c r="C17" s="228">
        <f ca="1">RANDBETWEEN(1.1,2) *D17</f>
        <v>5415270</v>
      </c>
      <c r="D17" s="228">
        <v>2707635</v>
      </c>
      <c r="E17" s="250">
        <v>1100</v>
      </c>
      <c r="H17"/>
      <c r="I17"/>
    </row>
    <row r="18" spans="2:9" ht="15" thickBot="1" x14ac:dyDescent="0.35">
      <c r="B18" s="23" t="s">
        <v>67</v>
      </c>
      <c r="C18" s="40">
        <f ca="1">SUM(C13:C17)</f>
        <v>30183720</v>
      </c>
      <c r="D18" s="40">
        <f>SUM(D13:D17)</f>
        <v>15091860</v>
      </c>
      <c r="E18" s="41">
        <v>5900</v>
      </c>
      <c r="H18"/>
      <c r="I18"/>
    </row>
    <row r="22" spans="2:9" x14ac:dyDescent="0.3">
      <c r="D22" s="42" t="s">
        <v>90</v>
      </c>
    </row>
    <row r="23" spans="2:9" x14ac:dyDescent="0.3">
      <c r="D23" s="42" t="s">
        <v>91</v>
      </c>
    </row>
  </sheetData>
  <pageMargins left="0.7" right="0.7" top="0.75" bottom="0.75" header="0.3" footer="0.3"/>
  <pageSetup scale="9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workbookViewId="0">
      <selection activeCell="A10" sqref="A10"/>
    </sheetView>
  </sheetViews>
  <sheetFormatPr defaultColWidth="9.109375" defaultRowHeight="14.4" x14ac:dyDescent="0.3"/>
  <cols>
    <col min="1" max="1" width="3.77734375" style="251" customWidth="1"/>
    <col min="2" max="2" width="17.88671875" style="251" bestFit="1" customWidth="1"/>
    <col min="3" max="3" width="23.109375" style="251" bestFit="1" customWidth="1"/>
    <col min="4" max="4" width="19.88671875" style="251" bestFit="1" customWidth="1"/>
    <col min="5" max="16384" width="9.109375" style="251"/>
  </cols>
  <sheetData>
    <row r="1" spans="2:9" x14ac:dyDescent="0.3">
      <c r="E1" s="30"/>
      <c r="F1" s="30"/>
      <c r="G1" s="30"/>
    </row>
    <row r="2" spans="2:9" x14ac:dyDescent="0.3">
      <c r="E2" s="30"/>
      <c r="F2" s="30"/>
      <c r="G2" s="30"/>
    </row>
    <row r="3" spans="2:9" x14ac:dyDescent="0.3">
      <c r="E3" s="30"/>
      <c r="F3" s="30"/>
      <c r="G3" s="30"/>
    </row>
    <row r="4" spans="2:9" x14ac:dyDescent="0.3">
      <c r="E4" s="30"/>
      <c r="F4" s="30"/>
      <c r="G4" s="30"/>
    </row>
    <row r="5" spans="2:9" s="47" customFormat="1" ht="23.4" x14ac:dyDescent="0.45">
      <c r="B5" s="50" t="s">
        <v>85</v>
      </c>
      <c r="C5" s="43" t="s">
        <v>86</v>
      </c>
      <c r="D5" s="44"/>
      <c r="E5" s="45"/>
      <c r="F5" s="45"/>
      <c r="G5" s="45"/>
      <c r="H5" s="44"/>
      <c r="I5" s="44"/>
    </row>
    <row r="6" spans="2:9" s="49" customFormat="1" ht="23.4" x14ac:dyDescent="0.45">
      <c r="B6" s="50" t="s">
        <v>88</v>
      </c>
      <c r="C6" s="43" t="s">
        <v>161</v>
      </c>
      <c r="D6" s="46"/>
      <c r="E6" s="46"/>
      <c r="F6" s="46"/>
      <c r="G6" s="46"/>
      <c r="H6" s="46"/>
      <c r="I6" s="46"/>
    </row>
    <row r="7" spans="2:9" s="49" customFormat="1" x14ac:dyDescent="0.3">
      <c r="B7" s="51" t="s">
        <v>81</v>
      </c>
      <c r="C7" s="52" t="s">
        <v>87</v>
      </c>
      <c r="D7" s="46"/>
      <c r="E7" s="46"/>
      <c r="F7" s="46"/>
      <c r="G7" s="46"/>
      <c r="H7" s="46"/>
      <c r="I7" s="46"/>
    </row>
    <row r="8" spans="2:9" s="49" customFormat="1" x14ac:dyDescent="0.3">
      <c r="B8" s="51" t="s">
        <v>64</v>
      </c>
      <c r="C8" s="60">
        <v>40586</v>
      </c>
      <c r="D8" s="59"/>
      <c r="E8" s="46"/>
      <c r="F8" s="46"/>
      <c r="G8" s="46"/>
      <c r="H8" s="46"/>
      <c r="I8" s="46"/>
    </row>
    <row r="9" spans="2:9" s="49" customFormat="1" x14ac:dyDescent="0.3">
      <c r="B9" s="51" t="s">
        <v>65</v>
      </c>
      <c r="C9" s="60">
        <v>40588.999988425923</v>
      </c>
      <c r="D9" s="59"/>
      <c r="E9" s="46"/>
      <c r="F9" s="57"/>
      <c r="G9" s="46"/>
      <c r="H9" s="46"/>
      <c r="I9" s="58" t="s">
        <v>89</v>
      </c>
    </row>
    <row r="10" spans="2:9" x14ac:dyDescent="0.3">
      <c r="C10" s="303" t="s">
        <v>162</v>
      </c>
      <c r="D10" s="304" t="s">
        <v>163</v>
      </c>
    </row>
    <row r="12" spans="2:9" x14ac:dyDescent="0.3">
      <c r="C12" s="4" t="s">
        <v>164</v>
      </c>
      <c r="D12" s="279">
        <v>3827387</v>
      </c>
    </row>
    <row r="13" spans="2:9" x14ac:dyDescent="0.3">
      <c r="C13" s="4" t="s">
        <v>165</v>
      </c>
      <c r="D13" s="280">
        <v>11.859114823788955</v>
      </c>
    </row>
    <row r="14" spans="2:9" x14ac:dyDescent="0.3">
      <c r="C14" s="4" t="s">
        <v>166</v>
      </c>
      <c r="D14" s="279">
        <v>322738</v>
      </c>
    </row>
    <row r="15" spans="2:9" x14ac:dyDescent="0.3">
      <c r="C15" s="4" t="s">
        <v>167</v>
      </c>
      <c r="D15" s="278" t="s">
        <v>168</v>
      </c>
    </row>
    <row r="16" spans="2:9" x14ac:dyDescent="0.3">
      <c r="C16" s="4" t="s">
        <v>169</v>
      </c>
      <c r="D16" s="278" t="s">
        <v>170</v>
      </c>
    </row>
    <row r="17" spans="3:5" x14ac:dyDescent="0.3">
      <c r="C17" s="4" t="s">
        <v>171</v>
      </c>
      <c r="D17" s="278" t="s">
        <v>172</v>
      </c>
    </row>
    <row r="19" spans="3:5" x14ac:dyDescent="0.3">
      <c r="C19" s="4" t="s">
        <v>173</v>
      </c>
    </row>
    <row r="20" spans="3:5" x14ac:dyDescent="0.3">
      <c r="C20" s="4" t="s">
        <v>174</v>
      </c>
      <c r="D20" s="281" t="s">
        <v>83</v>
      </c>
      <c r="E20" s="281" t="s">
        <v>175</v>
      </c>
    </row>
    <row r="21" spans="3:5" x14ac:dyDescent="0.3">
      <c r="C21" s="278" t="s">
        <v>177</v>
      </c>
      <c r="D21" s="282">
        <v>2324</v>
      </c>
      <c r="E21" s="282">
        <v>2000</v>
      </c>
    </row>
    <row r="22" spans="3:5" x14ac:dyDescent="0.3">
      <c r="C22" s="278" t="s">
        <v>179</v>
      </c>
      <c r="D22" s="282">
        <v>4321</v>
      </c>
      <c r="E22" s="282">
        <v>4001</v>
      </c>
    </row>
    <row r="23" spans="3:5" x14ac:dyDescent="0.3">
      <c r="C23" s="278" t="s">
        <v>180</v>
      </c>
      <c r="D23" s="282">
        <v>123</v>
      </c>
      <c r="E23" s="282">
        <v>56</v>
      </c>
    </row>
    <row r="24" spans="3:5" x14ac:dyDescent="0.3">
      <c r="C24" s="251">
        <v>1.1000000000000001</v>
      </c>
      <c r="D24" s="282">
        <v>543</v>
      </c>
      <c r="E24" s="282">
        <v>400</v>
      </c>
    </row>
    <row r="25" spans="3:5" x14ac:dyDescent="0.3">
      <c r="C25" s="278" t="s">
        <v>178</v>
      </c>
      <c r="D25" s="282">
        <v>123</v>
      </c>
      <c r="E25" s="282">
        <v>75</v>
      </c>
    </row>
    <row r="27" spans="3:5" x14ac:dyDescent="0.3">
      <c r="D27" s="42" t="s">
        <v>90</v>
      </c>
    </row>
    <row r="28" spans="3:5" x14ac:dyDescent="0.3">
      <c r="D28" s="42" t="s">
        <v>91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75"/>
  <sheetViews>
    <sheetView tabSelected="1" zoomScaleNormal="100" workbookViewId="0">
      <selection activeCell="A7" sqref="A7"/>
    </sheetView>
  </sheetViews>
  <sheetFormatPr defaultColWidth="9.109375" defaultRowHeight="14.4" x14ac:dyDescent="0.3"/>
  <cols>
    <col min="1" max="1" width="3.77734375" style="186" customWidth="1"/>
    <col min="2" max="2" width="17.77734375" customWidth="1"/>
    <col min="3" max="3" width="24" customWidth="1"/>
    <col min="4" max="4" width="25.77734375" customWidth="1"/>
    <col min="5" max="5" width="17.77734375" customWidth="1"/>
    <col min="6" max="6" width="20.77734375" customWidth="1"/>
    <col min="7" max="7" width="17.77734375" style="31" customWidth="1"/>
    <col min="8" max="8" width="13.5546875" style="31" customWidth="1"/>
    <col min="9" max="9" width="14.88671875" style="31" customWidth="1"/>
    <col min="10" max="10" width="17.44140625" style="31" bestFit="1" customWidth="1"/>
    <col min="11" max="11" width="21.77734375" style="31" customWidth="1"/>
    <col min="12" max="12" width="25.77734375" style="31" customWidth="1"/>
    <col min="13" max="15" width="12.77734375" style="31" customWidth="1"/>
    <col min="16" max="16" width="19.6640625" style="31" customWidth="1"/>
    <col min="17" max="17" width="25.77734375" style="31" customWidth="1"/>
    <col min="18" max="20" width="11.77734375" style="31" customWidth="1"/>
    <col min="21" max="21" width="26.5546875" style="31" customWidth="1"/>
    <col min="22" max="22" width="33.77734375" style="31" customWidth="1"/>
    <col min="23" max="25" width="11.77734375" customWidth="1"/>
    <col min="26" max="27" width="9.109375" style="186" customWidth="1"/>
    <col min="28" max="34" width="9.109375" style="186"/>
  </cols>
  <sheetData>
    <row r="1" spans="1:34" s="186" customFormat="1" x14ac:dyDescent="0.3">
      <c r="G1" s="188"/>
      <c r="H1" s="188"/>
      <c r="I1" s="188"/>
      <c r="J1" s="188"/>
      <c r="K1" s="188"/>
    </row>
    <row r="2" spans="1:34" s="186" customFormat="1" x14ac:dyDescent="0.3">
      <c r="E2" s="311" t="s">
        <v>199</v>
      </c>
      <c r="G2" s="188"/>
      <c r="H2" s="188"/>
      <c r="I2" s="188"/>
      <c r="J2" s="188"/>
      <c r="K2" s="188"/>
    </row>
    <row r="3" spans="1:34" s="186" customFormat="1" x14ac:dyDescent="0.3">
      <c r="G3" s="188"/>
      <c r="H3" s="188"/>
      <c r="I3" s="188"/>
      <c r="J3" s="188"/>
      <c r="K3" s="188"/>
    </row>
    <row r="4" spans="1:34" s="186" customFormat="1" x14ac:dyDescent="0.3">
      <c r="G4" s="188"/>
      <c r="H4" s="188"/>
      <c r="I4" s="188"/>
      <c r="J4" s="188"/>
      <c r="K4" s="188"/>
    </row>
    <row r="5" spans="1:34" s="47" customFormat="1" ht="23.4" x14ac:dyDescent="0.45">
      <c r="A5" s="186"/>
      <c r="B5" s="50" t="s">
        <v>85</v>
      </c>
      <c r="C5" s="43" t="s">
        <v>86</v>
      </c>
      <c r="D5" s="43"/>
      <c r="E5" s="43"/>
      <c r="F5" s="44"/>
      <c r="G5" s="44" t="s">
        <v>203</v>
      </c>
      <c r="H5" s="45"/>
      <c r="I5" s="45"/>
      <c r="J5" s="45"/>
      <c r="K5" s="45"/>
      <c r="L5" s="44"/>
      <c r="M5" s="44"/>
      <c r="N5" s="44"/>
      <c r="O5" s="44"/>
      <c r="P5" s="44"/>
      <c r="Q5" s="44"/>
      <c r="R5" s="44"/>
      <c r="S5" s="44"/>
      <c r="T5" s="44"/>
      <c r="U5" s="44"/>
      <c r="Z5" s="186"/>
      <c r="AA5" s="186"/>
      <c r="AB5" s="186"/>
      <c r="AC5" s="186"/>
      <c r="AD5" s="186"/>
      <c r="AE5" s="186"/>
      <c r="AF5" s="186"/>
      <c r="AG5" s="186"/>
      <c r="AH5" s="186"/>
    </row>
    <row r="6" spans="1:34" s="49" customFormat="1" ht="23.4" x14ac:dyDescent="0.45">
      <c r="A6" s="189"/>
      <c r="B6" s="50" t="s">
        <v>88</v>
      </c>
      <c r="C6" s="43" t="s">
        <v>66</v>
      </c>
      <c r="D6" s="43"/>
      <c r="E6" s="43"/>
      <c r="F6" s="46"/>
      <c r="G6" s="44" t="s">
        <v>204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Z6" s="189"/>
      <c r="AA6" s="189"/>
      <c r="AB6" s="189"/>
      <c r="AC6" s="189"/>
      <c r="AD6" s="189"/>
      <c r="AE6" s="189"/>
      <c r="AF6" s="189"/>
      <c r="AG6" s="189"/>
      <c r="AH6" s="189"/>
    </row>
    <row r="7" spans="1:34" s="49" customFormat="1" x14ac:dyDescent="0.3">
      <c r="A7" s="189"/>
      <c r="B7" s="308" t="s">
        <v>64</v>
      </c>
      <c r="C7" s="60">
        <v>40586</v>
      </c>
      <c r="D7" s="60"/>
      <c r="E7" s="60"/>
      <c r="F7" s="59"/>
      <c r="G7" s="44" t="s">
        <v>205</v>
      </c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Z7" s="189"/>
      <c r="AA7" s="189"/>
      <c r="AB7" s="189"/>
      <c r="AC7" s="189"/>
      <c r="AD7" s="189"/>
      <c r="AE7" s="189"/>
      <c r="AF7" s="189"/>
      <c r="AG7" s="189"/>
      <c r="AH7" s="189"/>
    </row>
    <row r="8" spans="1:34" s="49" customFormat="1" x14ac:dyDescent="0.3">
      <c r="A8" s="189"/>
      <c r="B8" s="308" t="s">
        <v>65</v>
      </c>
      <c r="C8" s="60">
        <v>40588.999988425923</v>
      </c>
      <c r="D8" s="60"/>
      <c r="E8" s="60"/>
      <c r="F8" s="59"/>
      <c r="G8" s="46"/>
      <c r="H8" s="57"/>
      <c r="I8" s="46"/>
      <c r="J8" s="46"/>
      <c r="K8" s="46"/>
      <c r="L8" s="46"/>
      <c r="M8" s="46"/>
      <c r="N8" s="46"/>
      <c r="O8" s="46"/>
      <c r="P8" s="199"/>
      <c r="Q8" s="46"/>
      <c r="R8" s="46"/>
      <c r="S8" s="46"/>
      <c r="T8" s="46"/>
      <c r="U8" s="199" t="s">
        <v>89</v>
      </c>
      <c r="Z8" s="189"/>
      <c r="AA8" s="189"/>
      <c r="AB8" s="189"/>
      <c r="AC8" s="189"/>
      <c r="AD8" s="189"/>
      <c r="AE8" s="189"/>
      <c r="AF8" s="189"/>
      <c r="AG8" s="189"/>
      <c r="AH8" s="189"/>
    </row>
    <row r="9" spans="1:34" s="186" customFormat="1" x14ac:dyDescent="0.3">
      <c r="B9" s="310" t="s">
        <v>196</v>
      </c>
      <c r="C9" s="186" t="s">
        <v>200</v>
      </c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</row>
    <row r="10" spans="1:34" s="186" customFormat="1" x14ac:dyDescent="0.3">
      <c r="B10" s="310" t="s">
        <v>197</v>
      </c>
      <c r="C10" s="186" t="s">
        <v>201</v>
      </c>
      <c r="D10" s="193"/>
      <c r="E10" s="193"/>
      <c r="F10" s="197"/>
      <c r="G10" s="198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</row>
    <row r="11" spans="1:34" s="186" customFormat="1" ht="15" thickBot="1" x14ac:dyDescent="0.35">
      <c r="B11" s="310" t="s">
        <v>198</v>
      </c>
      <c r="C11" s="186" t="s">
        <v>202</v>
      </c>
      <c r="D11" s="193"/>
      <c r="E11" s="193"/>
      <c r="F11" s="197"/>
      <c r="G11" s="198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X11" s="196"/>
      <c r="Y11" s="196"/>
      <c r="Z11" s="196"/>
      <c r="AA11" s="196"/>
    </row>
    <row r="12" spans="1:34" x14ac:dyDescent="0.3">
      <c r="B12" s="184" t="s">
        <v>98</v>
      </c>
      <c r="C12" s="309" t="s">
        <v>126</v>
      </c>
      <c r="D12" s="185" t="s">
        <v>99</v>
      </c>
      <c r="E12" s="65" t="s">
        <v>107</v>
      </c>
      <c r="F12" s="71" t="s">
        <v>83</v>
      </c>
      <c r="G12" s="71" t="s">
        <v>0</v>
      </c>
      <c r="H12" s="71" t="s">
        <v>16</v>
      </c>
      <c r="I12" s="71" t="s">
        <v>1</v>
      </c>
      <c r="J12" s="71" t="s">
        <v>10</v>
      </c>
      <c r="K12" s="120" t="s">
        <v>8</v>
      </c>
      <c r="L12" s="71" t="s">
        <v>9</v>
      </c>
      <c r="M12" s="71" t="s">
        <v>12</v>
      </c>
      <c r="N12" s="71" t="s">
        <v>13</v>
      </c>
      <c r="O12" s="71" t="s">
        <v>14</v>
      </c>
      <c r="P12" s="72" t="s">
        <v>11</v>
      </c>
      <c r="Q12" s="120" t="s">
        <v>15</v>
      </c>
      <c r="R12" s="71" t="s">
        <v>12</v>
      </c>
      <c r="S12" s="71" t="s">
        <v>13</v>
      </c>
      <c r="T12" s="71" t="s">
        <v>14</v>
      </c>
      <c r="U12" s="72" t="s">
        <v>143</v>
      </c>
      <c r="V12" s="295" t="s">
        <v>17</v>
      </c>
      <c r="W12" s="295" t="s">
        <v>12</v>
      </c>
      <c r="X12" s="295" t="s">
        <v>13</v>
      </c>
      <c r="Y12" s="295" t="s">
        <v>14</v>
      </c>
    </row>
    <row r="13" spans="1:34" x14ac:dyDescent="0.3">
      <c r="B13" s="117" t="s">
        <v>18</v>
      </c>
      <c r="C13" s="208" t="s">
        <v>87</v>
      </c>
      <c r="D13" s="3" t="s">
        <v>28</v>
      </c>
      <c r="E13" s="3" t="s">
        <v>108</v>
      </c>
      <c r="F13" s="93">
        <f ca="1">(RANDBETWEEN(1.1,2))*G13</f>
        <v>7654774</v>
      </c>
      <c r="G13" s="93">
        <v>3827387</v>
      </c>
      <c r="H13" s="94">
        <f t="shared" ref="H13:H37" si="0">G13/I13</f>
        <v>11.859114823788955</v>
      </c>
      <c r="I13" s="93">
        <v>322738</v>
      </c>
      <c r="J13" s="95" t="str">
        <f t="shared" ref="J13:J20" si="1">CONCATENATE(INT(M13),":",INT(N13),":", INT(O13))</f>
        <v>29343:18:1</v>
      </c>
      <c r="K13" s="133">
        <f>0.46*G13</f>
        <v>1760598.02</v>
      </c>
      <c r="L13" s="96">
        <f>K13*60</f>
        <v>105635881.2</v>
      </c>
      <c r="M13" s="96">
        <f>INT(L13/3600)</f>
        <v>29343</v>
      </c>
      <c r="N13" s="96">
        <f>INT(MOD(L13,3600)/60)</f>
        <v>18</v>
      </c>
      <c r="O13" s="96">
        <f xml:space="preserve"> MOD(MOD(L13, 3600),60)</f>
        <v>1.2000000029802322</v>
      </c>
      <c r="P13" s="97" t="str">
        <f t="shared" ref="P13:P38" si="2">CONCATENATE(INT(R13),":",INT(S13),":", INT(T13))</f>
        <v>0:0:27</v>
      </c>
      <c r="Q13" s="133">
        <f>L13/G13</f>
        <v>27.6</v>
      </c>
      <c r="R13" s="96">
        <f>INT(Q13/3600)</f>
        <v>0</v>
      </c>
      <c r="S13" s="96">
        <f>INT(MOD(Q13,3600)/60)</f>
        <v>0</v>
      </c>
      <c r="T13" s="96">
        <f xml:space="preserve"> MOD(MOD(Q13, 3600),60)</f>
        <v>27.6</v>
      </c>
      <c r="U13" s="97" t="str">
        <f>CONCATENATE(INT(W13),":",INT(X13),":", INT(Y13))</f>
        <v>0:5:27</v>
      </c>
      <c r="V13" s="296">
        <f>L13/I13</f>
        <v>327.3115691365752</v>
      </c>
      <c r="W13" s="297">
        <f>INT(V13/3600)</f>
        <v>0</v>
      </c>
      <c r="X13" s="297">
        <f>INT(MOD(V13,3600)/60)</f>
        <v>5</v>
      </c>
      <c r="Y13" s="297">
        <f xml:space="preserve"> MOD(MOD(V13, 3600),60)</f>
        <v>27.311569136575201</v>
      </c>
    </row>
    <row r="14" spans="1:34" x14ac:dyDescent="0.3">
      <c r="B14" s="76"/>
      <c r="C14" s="209"/>
      <c r="D14" s="121" t="s">
        <v>70</v>
      </c>
      <c r="E14" s="121"/>
      <c r="F14" s="125">
        <f ca="1">F13 / RANDBETWEEN(2,3)</f>
        <v>2551591.3333333335</v>
      </c>
      <c r="G14" s="125">
        <f ca="1">G13 / RANDBETWEEN(2,3)</f>
        <v>1275795.6666666667</v>
      </c>
      <c r="H14" s="129">
        <f t="shared" ca="1" si="0"/>
        <v>7.9060765491926377</v>
      </c>
      <c r="I14" s="125">
        <f ca="1">I13 / RANDBETWEEN(2,3)</f>
        <v>161369</v>
      </c>
      <c r="J14" s="136" t="str">
        <f t="shared" ca="1" si="1"/>
        <v>9781:9:0</v>
      </c>
      <c r="K14" s="77">
        <f ca="1">K13 / RANDBETWEEN(2,3)</f>
        <v>880299.01</v>
      </c>
      <c r="L14" s="77">
        <f ca="1">L13 / RANDBETWEEN(2,3)</f>
        <v>52817940.600000001</v>
      </c>
      <c r="M14" s="77">
        <f ca="1">M13 / RANDBETWEEN(2,3)</f>
        <v>9781</v>
      </c>
      <c r="N14" s="77">
        <f ca="1">N13 / RANDBETWEEN(2,3)</f>
        <v>9</v>
      </c>
      <c r="O14" s="77">
        <f ca="1">O13 / RANDBETWEEN(2,3)</f>
        <v>0.60000000149011612</v>
      </c>
      <c r="P14" s="78" t="str">
        <f t="shared" ca="1" si="2"/>
        <v>0:0:13</v>
      </c>
      <c r="Q14" s="77">
        <f ca="1">Q13 / RANDBETWEEN(2,3)</f>
        <v>13.8</v>
      </c>
      <c r="R14" s="77">
        <f ca="1">R13 / RANDBETWEEN(2,3)</f>
        <v>0</v>
      </c>
      <c r="S14" s="77">
        <f ca="1">S13 / RANDBETWEEN(2,3)</f>
        <v>0</v>
      </c>
      <c r="T14" s="77">
        <f ca="1">T13 / RANDBETWEEN(2,3)</f>
        <v>13.8</v>
      </c>
      <c r="U14" s="78" t="str">
        <f ca="1">CONCATENATE(INT(W14),":",INT(X14),":", INT(Y14))</f>
        <v>0:1:13</v>
      </c>
      <c r="V14" s="298">
        <f ca="1">V13 / RANDBETWEEN(2,3)</f>
        <v>109.1038563788584</v>
      </c>
      <c r="W14" s="299">
        <f ca="1">W13 / RANDBETWEEN(2,3)</f>
        <v>0</v>
      </c>
      <c r="X14" s="299">
        <f ca="1">X13 / RANDBETWEEN(2,3)</f>
        <v>1.6666666666666667</v>
      </c>
      <c r="Y14" s="299">
        <f ca="1">Y13 / RANDBETWEEN(2,3)</f>
        <v>13.655784568287601</v>
      </c>
    </row>
    <row r="15" spans="1:34" ht="15" thickBot="1" x14ac:dyDescent="0.35">
      <c r="B15" s="86"/>
      <c r="C15" s="210"/>
      <c r="D15" s="122" t="s">
        <v>71</v>
      </c>
      <c r="E15" s="122"/>
      <c r="F15" s="126">
        <f ca="1">F13-F14</f>
        <v>5103182.666666666</v>
      </c>
      <c r="G15" s="126">
        <f ca="1">G13-G14</f>
        <v>2551591.333333333</v>
      </c>
      <c r="H15" s="130">
        <f t="shared" ca="1" si="0"/>
        <v>15.812153098385272</v>
      </c>
      <c r="I15" s="126">
        <f ca="1">I13-I14</f>
        <v>161369</v>
      </c>
      <c r="J15" s="137" t="str">
        <f t="shared" ca="1" si="1"/>
        <v>19562:9:0</v>
      </c>
      <c r="K15" s="87">
        <f ca="1">K13-K14</f>
        <v>880299.01</v>
      </c>
      <c r="L15" s="87">
        <f ca="1">L13-L14</f>
        <v>52817940.600000001</v>
      </c>
      <c r="M15" s="87">
        <f ca="1">M13-M14</f>
        <v>19562</v>
      </c>
      <c r="N15" s="87">
        <f ca="1">N13-N14</f>
        <v>9</v>
      </c>
      <c r="O15" s="87">
        <f ca="1">O13-O14</f>
        <v>0.60000000149011612</v>
      </c>
      <c r="P15" s="88" t="str">
        <f t="shared" ca="1" si="2"/>
        <v>0:0:13</v>
      </c>
      <c r="Q15" s="87">
        <f ca="1">Q13-Q14</f>
        <v>13.8</v>
      </c>
      <c r="R15" s="87">
        <f ca="1">R13-R14</f>
        <v>0</v>
      </c>
      <c r="S15" s="87">
        <f ca="1">S13-S14</f>
        <v>0</v>
      </c>
      <c r="T15" s="87">
        <f ca="1">T13-T14</f>
        <v>13.8</v>
      </c>
      <c r="U15" s="88" t="str">
        <f ca="1">CONCATENATE(INT(W15),":",INT(X15),":", INT(Y15))</f>
        <v>0:3:13</v>
      </c>
      <c r="V15" s="298">
        <f ca="1">V13-V14</f>
        <v>218.20771275771682</v>
      </c>
      <c r="W15" s="299">
        <f ca="1">W13-W14</f>
        <v>0</v>
      </c>
      <c r="X15" s="299">
        <f ca="1">X13-X14</f>
        <v>3.333333333333333</v>
      </c>
      <c r="Y15" s="299">
        <f ca="1">Y13-Y14</f>
        <v>13.655784568287601</v>
      </c>
    </row>
    <row r="16" spans="1:34" ht="15" thickTop="1" x14ac:dyDescent="0.3">
      <c r="B16" s="118" t="s">
        <v>19</v>
      </c>
      <c r="C16" s="208" t="s">
        <v>87</v>
      </c>
      <c r="D16" s="98" t="s">
        <v>29</v>
      </c>
      <c r="E16" s="98" t="s">
        <v>109</v>
      </c>
      <c r="F16" s="99">
        <f ca="1">(RANDBETWEEN(1.1,2))*G16</f>
        <v>1654532</v>
      </c>
      <c r="G16" s="99">
        <v>827266</v>
      </c>
      <c r="H16" s="100">
        <f t="shared" si="0"/>
        <v>11.814035187935565</v>
      </c>
      <c r="I16" s="99">
        <v>70024</v>
      </c>
      <c r="J16" s="101" t="str">
        <f t="shared" si="1"/>
        <v>3446:56:30</v>
      </c>
      <c r="K16" s="134">
        <f>0.25*G16</f>
        <v>206816.5</v>
      </c>
      <c r="L16" s="102">
        <f>K16*60</f>
        <v>12408990</v>
      </c>
      <c r="M16" s="102">
        <f>INT(L16/3600)</f>
        <v>3446</v>
      </c>
      <c r="N16" s="102">
        <f>INT(MOD(L16,3600)/60)</f>
        <v>56</v>
      </c>
      <c r="O16" s="102">
        <f xml:space="preserve"> MOD(MOD(L16, 3600),60)</f>
        <v>30</v>
      </c>
      <c r="P16" s="103" t="str">
        <f t="shared" si="2"/>
        <v>0:0:15</v>
      </c>
      <c r="Q16" s="134">
        <f>L16/G16</f>
        <v>15</v>
      </c>
      <c r="R16" s="102">
        <f>INT(Q16/3600)</f>
        <v>0</v>
      </c>
      <c r="S16" s="102">
        <f>INT(MOD(Q16,3600)/60)</f>
        <v>0</v>
      </c>
      <c r="T16" s="102">
        <f xml:space="preserve"> MOD(MOD(Q16, 3600),60)</f>
        <v>15</v>
      </c>
      <c r="U16" s="103" t="str">
        <f t="shared" ref="U16:U38" si="3">CONCATENATE(INT(W16),":",INT(X16),":", INT(Y16))</f>
        <v>0:2:57</v>
      </c>
      <c r="V16" s="296">
        <f>L16/I16</f>
        <v>177.21052781903347</v>
      </c>
      <c r="W16" s="297">
        <f>INT(V16/3600)</f>
        <v>0</v>
      </c>
      <c r="X16" s="297">
        <f>INT(MOD(V16,3600)/60)</f>
        <v>2</v>
      </c>
      <c r="Y16" s="297">
        <f xml:space="preserve"> MOD(MOD(V16, 3600),60)</f>
        <v>57.210527819033473</v>
      </c>
    </row>
    <row r="17" spans="2:25" x14ac:dyDescent="0.3">
      <c r="B17" s="76"/>
      <c r="C17" s="209"/>
      <c r="D17" s="121" t="s">
        <v>70</v>
      </c>
      <c r="E17" s="121"/>
      <c r="F17" s="125">
        <f ca="1">F16 / RANDBETWEEN(2,4)</f>
        <v>413633</v>
      </c>
      <c r="G17" s="125">
        <f ca="1">G16 / RANDBETWEEN(2,4)</f>
        <v>413633</v>
      </c>
      <c r="H17" s="129">
        <f t="shared" ca="1" si="0"/>
        <v>11.814035187935565</v>
      </c>
      <c r="I17" s="125">
        <f ca="1">I16 / RANDBETWEEN(2,4)</f>
        <v>35012</v>
      </c>
      <c r="J17" s="136" t="str">
        <f t="shared" ca="1" si="1"/>
        <v>861:28:10</v>
      </c>
      <c r="K17" s="77">
        <f ca="1">K16 / RANDBETWEEN(2,4)</f>
        <v>103408.25</v>
      </c>
      <c r="L17" s="77">
        <f ca="1">L16 / RANDBETWEEN(2,4)</f>
        <v>4136330</v>
      </c>
      <c r="M17" s="77">
        <f ca="1">M16 / RANDBETWEEN(2,4)</f>
        <v>861.5</v>
      </c>
      <c r="N17" s="77">
        <f ca="1">N16 / RANDBETWEEN(2,4)</f>
        <v>28</v>
      </c>
      <c r="O17" s="77">
        <f ca="1">O16 / RANDBETWEEN(2,4)</f>
        <v>10</v>
      </c>
      <c r="P17" s="78" t="str">
        <f t="shared" ca="1" si="2"/>
        <v>0:0:3</v>
      </c>
      <c r="Q17" s="77">
        <f ca="1">Q16 / RANDBETWEEN(2,4)</f>
        <v>7.5</v>
      </c>
      <c r="R17" s="77">
        <f ca="1">R16 / RANDBETWEEN(2,4)</f>
        <v>0</v>
      </c>
      <c r="S17" s="77">
        <f ca="1">S16 / RANDBETWEEN(2,4)</f>
        <v>0</v>
      </c>
      <c r="T17" s="77">
        <f ca="1">T16 / RANDBETWEEN(2,4)</f>
        <v>3.75</v>
      </c>
      <c r="U17" s="78" t="str">
        <f ca="1">CONCATENATE(INT(W17),":",INT(X17),":", INT(Y17))</f>
        <v>0:1:28</v>
      </c>
      <c r="V17" s="298">
        <f ca="1">V16 / RANDBETWEEN(2,4)</f>
        <v>59.070175939677824</v>
      </c>
      <c r="W17" s="299">
        <f ca="1">W16 / RANDBETWEEN(2,4)</f>
        <v>0</v>
      </c>
      <c r="X17" s="299">
        <f ca="1">X16 / RANDBETWEEN(2,4)</f>
        <v>1</v>
      </c>
      <c r="Y17" s="299">
        <f ca="1">Y16 / RANDBETWEEN(2,4)</f>
        <v>28.605263909516736</v>
      </c>
    </row>
    <row r="18" spans="2:25" x14ac:dyDescent="0.3">
      <c r="B18" s="83"/>
      <c r="C18" s="212"/>
      <c r="D18" s="123" t="s">
        <v>71</v>
      </c>
      <c r="E18" s="123"/>
      <c r="F18" s="127">
        <f ca="1">(F16-F17) / RANDBETWEEN(2,4)</f>
        <v>413633</v>
      </c>
      <c r="G18" s="127">
        <f ca="1">(G16-G17) / RANDBETWEEN(2,4)</f>
        <v>206816.5</v>
      </c>
      <c r="H18" s="131">
        <f t="shared" ca="1" si="0"/>
        <v>17.721052781903349</v>
      </c>
      <c r="I18" s="127">
        <f ca="1">(I16-I17) / RANDBETWEEN(2,4)</f>
        <v>11670.666666666666</v>
      </c>
      <c r="J18" s="138" t="str">
        <f t="shared" ca="1" si="1"/>
        <v>1292:14:5</v>
      </c>
      <c r="K18" s="81">
        <f ca="1">(K16-K17) / RANDBETWEEN(2,4)</f>
        <v>51704.125</v>
      </c>
      <c r="L18" s="81">
        <f ca="1">(L16-L17) / RANDBETWEEN(2,4)</f>
        <v>2068165</v>
      </c>
      <c r="M18" s="81">
        <f ca="1">(M16-M17) / RANDBETWEEN(2,4)</f>
        <v>1292.25</v>
      </c>
      <c r="N18" s="81">
        <f ca="1">(N16-N17) / RANDBETWEEN(2,4)</f>
        <v>14</v>
      </c>
      <c r="O18" s="81">
        <f ca="1">(O16-O17) / RANDBETWEEN(2,4)</f>
        <v>5</v>
      </c>
      <c r="P18" s="84" t="str">
        <f t="shared" ca="1" si="2"/>
        <v>0:0:3</v>
      </c>
      <c r="Q18" s="81">
        <f ca="1">(Q16-Q17) / RANDBETWEEN(2,4)</f>
        <v>1.875</v>
      </c>
      <c r="R18" s="81">
        <f ca="1">(R16-R17) / RANDBETWEEN(2,4)</f>
        <v>0</v>
      </c>
      <c r="S18" s="81">
        <f ca="1">(S16-S17) / RANDBETWEEN(2,4)</f>
        <v>0</v>
      </c>
      <c r="T18" s="81">
        <f ca="1">(T16-T17) / RANDBETWEEN(2,4)</f>
        <v>3.75</v>
      </c>
      <c r="U18" s="84" t="str">
        <f ca="1">CONCATENATE(INT(W18),":",INT(X18),":", INT(Y18))</f>
        <v>0:0:14</v>
      </c>
      <c r="V18" s="298">
        <f ca="1">(V16-V17) / RANDBETWEEN(2,4)</f>
        <v>59.070175939677824</v>
      </c>
      <c r="W18" s="299">
        <f ca="1">(W16-W17) / RANDBETWEEN(2,4)</f>
        <v>0</v>
      </c>
      <c r="X18" s="299">
        <f ca="1">(X16-X17) / RANDBETWEEN(2,4)</f>
        <v>0.33333333333333331</v>
      </c>
      <c r="Y18" s="299">
        <f ca="1">(Y16-Y17) / RANDBETWEEN(2,4)</f>
        <v>14.302631954758368</v>
      </c>
    </row>
    <row r="19" spans="2:25" ht="15" thickBot="1" x14ac:dyDescent="0.35">
      <c r="B19" s="86"/>
      <c r="C19" s="210"/>
      <c r="D19" s="122" t="s">
        <v>72</v>
      </c>
      <c r="E19" s="122"/>
      <c r="F19" s="126">
        <f ca="1">F16 - (F17+F18)</f>
        <v>827266</v>
      </c>
      <c r="G19" s="126">
        <f ca="1">G16 - (G17+G18)</f>
        <v>206816.5</v>
      </c>
      <c r="H19" s="130">
        <f t="shared" ca="1" si="0"/>
        <v>8.8605263909516729</v>
      </c>
      <c r="I19" s="126">
        <f ca="1">I16 - (I17+I18)</f>
        <v>23341.333333333336</v>
      </c>
      <c r="J19" s="137" t="str">
        <f t="shared" ca="1" si="1"/>
        <v>1292:14:15</v>
      </c>
      <c r="K19" s="87">
        <f ca="1">K16 - (K17+K18)</f>
        <v>51704.125</v>
      </c>
      <c r="L19" s="87">
        <f ca="1">L16 - (L17+L18)</f>
        <v>6204495</v>
      </c>
      <c r="M19" s="87">
        <f ca="1">M16 - (M17+M18)</f>
        <v>1292.25</v>
      </c>
      <c r="N19" s="87">
        <f ca="1">N16 - (N17+N18)</f>
        <v>14</v>
      </c>
      <c r="O19" s="87">
        <f ca="1">O16 - (O17+O18)</f>
        <v>15</v>
      </c>
      <c r="P19" s="88" t="str">
        <f t="shared" ca="1" si="2"/>
        <v>0:0:7</v>
      </c>
      <c r="Q19" s="87">
        <f ca="1">Q16 - (Q17+Q18)</f>
        <v>5.625</v>
      </c>
      <c r="R19" s="87">
        <f ca="1">R16 - (R17+R18)</f>
        <v>0</v>
      </c>
      <c r="S19" s="87">
        <f ca="1">S16 - (S17+S18)</f>
        <v>0</v>
      </c>
      <c r="T19" s="87">
        <f ca="1">T16 - (T17+T18)</f>
        <v>7.5</v>
      </c>
      <c r="U19" s="88" t="str">
        <f ca="1">CONCATENATE(INT(W19),":",INT(X19),":", INT(Y19))</f>
        <v>0:0:14</v>
      </c>
      <c r="V19" s="298">
        <f ca="1">V16 - (V17+V18)</f>
        <v>59.070175939677824</v>
      </c>
      <c r="W19" s="299">
        <f ca="1">W16 - (W17+W18)</f>
        <v>0</v>
      </c>
      <c r="X19" s="299">
        <f ca="1">X16 - (X17+X18)</f>
        <v>0.66666666666666674</v>
      </c>
      <c r="Y19" s="299">
        <f ca="1">Y16 - (Y17+Y18)</f>
        <v>14.302631954758368</v>
      </c>
    </row>
    <row r="20" spans="2:25" ht="15" thickTop="1" x14ac:dyDescent="0.3">
      <c r="B20" s="118" t="s">
        <v>20</v>
      </c>
      <c r="C20" s="208" t="s">
        <v>87</v>
      </c>
      <c r="D20" s="98" t="s">
        <v>30</v>
      </c>
      <c r="E20" s="98" t="s">
        <v>110</v>
      </c>
      <c r="F20" s="99">
        <f ca="1">(RANDBETWEEN(1.1,2))*G20</f>
        <v>1473666</v>
      </c>
      <c r="G20" s="99">
        <v>736833</v>
      </c>
      <c r="H20" s="100">
        <f t="shared" si="0"/>
        <v>10.522878523892491</v>
      </c>
      <c r="I20" s="99">
        <v>70022</v>
      </c>
      <c r="J20" s="101" t="str">
        <f t="shared" si="1"/>
        <v>2456:6:36</v>
      </c>
      <c r="K20" s="134">
        <f>0.2*G20</f>
        <v>147366.6</v>
      </c>
      <c r="L20" s="102">
        <f>K20*60</f>
        <v>8841996</v>
      </c>
      <c r="M20" s="102">
        <f>INT(L20/3600)</f>
        <v>2456</v>
      </c>
      <c r="N20" s="102">
        <f>INT(MOD(L20,3600)/60)</f>
        <v>6</v>
      </c>
      <c r="O20" s="102">
        <f xml:space="preserve"> MOD(MOD(L20, 3600),60)</f>
        <v>36</v>
      </c>
      <c r="P20" s="103" t="str">
        <f t="shared" si="2"/>
        <v>0:0:12</v>
      </c>
      <c r="Q20" s="134">
        <f>L20/G20</f>
        <v>12</v>
      </c>
      <c r="R20" s="102">
        <f>INT(Q20/3600)</f>
        <v>0</v>
      </c>
      <c r="S20" s="102">
        <f>INT(MOD(Q20,3600)/60)</f>
        <v>0</v>
      </c>
      <c r="T20" s="102">
        <f xml:space="preserve"> MOD(MOD(Q20, 3600),60)</f>
        <v>12</v>
      </c>
      <c r="U20" s="103" t="str">
        <f t="shared" si="3"/>
        <v>0:2:6</v>
      </c>
      <c r="V20" s="296">
        <f>L20/I20</f>
        <v>126.27454228670989</v>
      </c>
      <c r="W20" s="297">
        <f>INT(V20/3600)</f>
        <v>0</v>
      </c>
      <c r="X20" s="297">
        <f>INT(MOD(V20,3600)/60)</f>
        <v>2</v>
      </c>
      <c r="Y20" s="297">
        <f xml:space="preserve"> MOD(MOD(V20, 3600),60)</f>
        <v>6.2745422867098881</v>
      </c>
    </row>
    <row r="21" spans="2:25" ht="15" thickBot="1" x14ac:dyDescent="0.35">
      <c r="B21" s="89"/>
      <c r="C21" s="213"/>
      <c r="D21" s="124" t="s">
        <v>70</v>
      </c>
      <c r="E21" s="124"/>
      <c r="F21" s="128">
        <f ca="1">F20</f>
        <v>1473666</v>
      </c>
      <c r="G21" s="128">
        <f>G20</f>
        <v>736833</v>
      </c>
      <c r="H21" s="132">
        <f t="shared" si="0"/>
        <v>10.522878523892491</v>
      </c>
      <c r="I21" s="128">
        <f>I20</f>
        <v>70022</v>
      </c>
      <c r="J21" s="128" t="str">
        <f t="shared" ref="J21:Y21" si="4">J20</f>
        <v>2456:6:36</v>
      </c>
      <c r="K21" s="90">
        <f t="shared" si="4"/>
        <v>147366.6</v>
      </c>
      <c r="L21" s="90">
        <f t="shared" si="4"/>
        <v>8841996</v>
      </c>
      <c r="M21" s="90">
        <f t="shared" si="4"/>
        <v>2456</v>
      </c>
      <c r="N21" s="90">
        <f t="shared" si="4"/>
        <v>6</v>
      </c>
      <c r="O21" s="90">
        <f t="shared" si="4"/>
        <v>36</v>
      </c>
      <c r="P21" s="91" t="str">
        <f t="shared" si="4"/>
        <v>0:0:12</v>
      </c>
      <c r="Q21" s="90">
        <f t="shared" si="4"/>
        <v>12</v>
      </c>
      <c r="R21" s="90">
        <f t="shared" si="4"/>
        <v>0</v>
      </c>
      <c r="S21" s="90">
        <f t="shared" si="4"/>
        <v>0</v>
      </c>
      <c r="T21" s="90">
        <f t="shared" si="4"/>
        <v>12</v>
      </c>
      <c r="U21" s="91" t="str">
        <f t="shared" si="4"/>
        <v>0:2:6</v>
      </c>
      <c r="V21" s="300">
        <f t="shared" si="4"/>
        <v>126.27454228670989</v>
      </c>
      <c r="W21" s="301">
        <f t="shared" si="4"/>
        <v>0</v>
      </c>
      <c r="X21" s="301">
        <f t="shared" si="4"/>
        <v>2</v>
      </c>
      <c r="Y21" s="301">
        <f t="shared" si="4"/>
        <v>6.2745422867098881</v>
      </c>
    </row>
    <row r="22" spans="2:25" ht="15" thickTop="1" x14ac:dyDescent="0.3">
      <c r="B22" s="118" t="s">
        <v>21</v>
      </c>
      <c r="C22" s="208" t="s">
        <v>87</v>
      </c>
      <c r="D22" s="98" t="s">
        <v>31</v>
      </c>
      <c r="E22" s="98" t="s">
        <v>111</v>
      </c>
      <c r="F22" s="99">
        <f ca="1">(RANDBETWEEN(1.1,2))*G22</f>
        <v>907688</v>
      </c>
      <c r="G22" s="99">
        <v>453844</v>
      </c>
      <c r="H22" s="100">
        <f t="shared" si="0"/>
        <v>2.1702355562781532</v>
      </c>
      <c r="I22" s="99">
        <v>209122</v>
      </c>
      <c r="J22" s="101" t="str">
        <f t="shared" ref="J22:J38" si="5">CONCATENATE(INT(M22),":",INT(N22),":", INT(O22))</f>
        <v>983:19:43</v>
      </c>
      <c r="K22" s="134">
        <f>0.13*G22</f>
        <v>58999.72</v>
      </c>
      <c r="L22" s="102">
        <f>K22*60</f>
        <v>3539983.2</v>
      </c>
      <c r="M22" s="102">
        <f>INT(L22/3600)</f>
        <v>983</v>
      </c>
      <c r="N22" s="102">
        <f>INT(MOD(L22,3600)/60)</f>
        <v>19</v>
      </c>
      <c r="O22" s="102">
        <f xml:space="preserve"> MOD(MOD(L22, 3600),60)</f>
        <v>43.200000000186265</v>
      </c>
      <c r="P22" s="103" t="str">
        <f t="shared" si="2"/>
        <v>0:0:7</v>
      </c>
      <c r="Q22" s="134">
        <f>L22/G22</f>
        <v>7.8000000000000007</v>
      </c>
      <c r="R22" s="102">
        <f>INT(Q22/3600)</f>
        <v>0</v>
      </c>
      <c r="S22" s="102">
        <f>INT(MOD(Q22,3600)/60)</f>
        <v>0</v>
      </c>
      <c r="T22" s="102">
        <f xml:space="preserve"> MOD(MOD(Q22, 3600),60)</f>
        <v>7.8000000000000007</v>
      </c>
      <c r="U22" s="103" t="str">
        <f t="shared" si="3"/>
        <v>0:0:16</v>
      </c>
      <c r="V22" s="296">
        <f>L22/I22</f>
        <v>16.927837338969599</v>
      </c>
      <c r="W22" s="297">
        <f>INT(V22/3600)</f>
        <v>0</v>
      </c>
      <c r="X22" s="297">
        <f>INT(MOD(V22,3600)/60)</f>
        <v>0</v>
      </c>
      <c r="Y22" s="297">
        <f xml:space="preserve"> MOD(MOD(V22, 3600),60)</f>
        <v>16.927837338969599</v>
      </c>
    </row>
    <row r="23" spans="2:25" ht="15" thickBot="1" x14ac:dyDescent="0.35">
      <c r="B23" s="89"/>
      <c r="C23" s="213"/>
      <c r="D23" s="124" t="s">
        <v>70</v>
      </c>
      <c r="E23" s="124"/>
      <c r="F23" s="128">
        <f ca="1">F22</f>
        <v>907688</v>
      </c>
      <c r="G23" s="128">
        <f>G22</f>
        <v>453844</v>
      </c>
      <c r="H23" s="132">
        <f t="shared" si="0"/>
        <v>2.1702355562781532</v>
      </c>
      <c r="I23" s="128">
        <f>I22</f>
        <v>209122</v>
      </c>
      <c r="J23" s="139" t="str">
        <f t="shared" si="5"/>
        <v>983:19:43</v>
      </c>
      <c r="K23" s="90">
        <f>K22</f>
        <v>58999.72</v>
      </c>
      <c r="L23" s="90">
        <f>L22</f>
        <v>3539983.2</v>
      </c>
      <c r="M23" s="90">
        <f>M22</f>
        <v>983</v>
      </c>
      <c r="N23" s="90">
        <f t="shared" ref="N23:Y23" si="6">N22</f>
        <v>19</v>
      </c>
      <c r="O23" s="90">
        <f t="shared" si="6"/>
        <v>43.200000000186265</v>
      </c>
      <c r="P23" s="91" t="str">
        <f t="shared" si="6"/>
        <v>0:0:7</v>
      </c>
      <c r="Q23" s="90">
        <f t="shared" si="6"/>
        <v>7.8000000000000007</v>
      </c>
      <c r="R23" s="90">
        <f t="shared" si="6"/>
        <v>0</v>
      </c>
      <c r="S23" s="90">
        <f t="shared" si="6"/>
        <v>0</v>
      </c>
      <c r="T23" s="90">
        <f t="shared" si="6"/>
        <v>7.8000000000000007</v>
      </c>
      <c r="U23" s="91" t="str">
        <f t="shared" si="6"/>
        <v>0:0:16</v>
      </c>
      <c r="V23" s="300">
        <f t="shared" si="6"/>
        <v>16.927837338969599</v>
      </c>
      <c r="W23" s="301">
        <f t="shared" si="6"/>
        <v>0</v>
      </c>
      <c r="X23" s="301">
        <f t="shared" si="6"/>
        <v>0</v>
      </c>
      <c r="Y23" s="301">
        <f t="shared" si="6"/>
        <v>16.927837338969599</v>
      </c>
    </row>
    <row r="24" spans="2:25" ht="15" thickTop="1" x14ac:dyDescent="0.3">
      <c r="B24" s="118" t="s">
        <v>22</v>
      </c>
      <c r="C24" s="211" t="s">
        <v>127</v>
      </c>
      <c r="D24" s="98" t="s">
        <v>32</v>
      </c>
      <c r="E24" s="98" t="s">
        <v>112</v>
      </c>
      <c r="F24" s="99">
        <f ca="1">(RANDBETWEEN(1.1,2))*G24</f>
        <v>3794916</v>
      </c>
      <c r="G24" s="99">
        <v>1897458</v>
      </c>
      <c r="H24" s="100">
        <f t="shared" si="0"/>
        <v>6.271655456213125</v>
      </c>
      <c r="I24" s="99">
        <v>302545</v>
      </c>
      <c r="J24" s="101" t="str">
        <f t="shared" si="5"/>
        <v>12333:28:37</v>
      </c>
      <c r="K24" s="134">
        <f>0.39*G24</f>
        <v>740008.62</v>
      </c>
      <c r="L24" s="102">
        <f>K24*60</f>
        <v>44400517.200000003</v>
      </c>
      <c r="M24" s="102">
        <f>INT(L24/3600)</f>
        <v>12333</v>
      </c>
      <c r="N24" s="102">
        <f>INT(MOD(L24,3600)/60)</f>
        <v>28</v>
      </c>
      <c r="O24" s="102">
        <f xml:space="preserve"> MOD(MOD(L24, 3600),60)</f>
        <v>37.200000002980232</v>
      </c>
      <c r="P24" s="103" t="str">
        <f t="shared" si="2"/>
        <v>0:0:23</v>
      </c>
      <c r="Q24" s="134">
        <f>L24/G24</f>
        <v>23.400000000000002</v>
      </c>
      <c r="R24" s="102">
        <f>INT(Q24/3600)</f>
        <v>0</v>
      </c>
      <c r="S24" s="102">
        <f>INT(MOD(Q24,3600)/60)</f>
        <v>0</v>
      </c>
      <c r="T24" s="102">
        <f xml:space="preserve"> MOD(MOD(Q24, 3600),60)</f>
        <v>23.400000000000002</v>
      </c>
      <c r="U24" s="103" t="str">
        <f t="shared" si="3"/>
        <v>0:2:26</v>
      </c>
      <c r="V24" s="296">
        <f>L24/I24</f>
        <v>146.75673767538714</v>
      </c>
      <c r="W24" s="297">
        <f>INT(V24/3600)</f>
        <v>0</v>
      </c>
      <c r="X24" s="297">
        <f>INT(MOD(V24,3600)/60)</f>
        <v>2</v>
      </c>
      <c r="Y24" s="297">
        <f xml:space="preserve"> MOD(MOD(V24, 3600),60)</f>
        <v>26.756737675387143</v>
      </c>
    </row>
    <row r="25" spans="2:25" x14ac:dyDescent="0.3">
      <c r="B25" s="76"/>
      <c r="C25" s="209"/>
      <c r="D25" s="121" t="s">
        <v>73</v>
      </c>
      <c r="E25" s="121"/>
      <c r="F25" s="125">
        <f ca="1">F24 / RANDBETWEEN(2,4)</f>
        <v>1264972</v>
      </c>
      <c r="G25" s="125">
        <f ca="1">G24 / RANDBETWEEN(2,4)</f>
        <v>632486</v>
      </c>
      <c r="H25" s="129">
        <f t="shared" ca="1" si="0"/>
        <v>6.2716554562131259</v>
      </c>
      <c r="I25" s="125">
        <f ca="1">I24 / RANDBETWEEN(2,4)</f>
        <v>100848.33333333333</v>
      </c>
      <c r="J25" s="136" t="str">
        <f t="shared" ca="1" si="5"/>
        <v>4111:7:12</v>
      </c>
      <c r="K25" s="77">
        <f ca="1">K24 / RANDBETWEEN(2,4)</f>
        <v>246669.54</v>
      </c>
      <c r="L25" s="77">
        <f ca="1">L24 / RANDBETWEEN(2,4)</f>
        <v>22200258.600000001</v>
      </c>
      <c r="M25" s="77">
        <f ca="1">M24 / RANDBETWEEN(2,4)</f>
        <v>4111</v>
      </c>
      <c r="N25" s="77">
        <f ca="1">N24 / RANDBETWEEN(2,4)</f>
        <v>7</v>
      </c>
      <c r="O25" s="77">
        <f ca="1">O24 / RANDBETWEEN(2,4)</f>
        <v>12.40000000099341</v>
      </c>
      <c r="P25" s="78" t="str">
        <f t="shared" ca="1" si="2"/>
        <v>0:0:7</v>
      </c>
      <c r="Q25" s="77">
        <f ca="1">Q24 / RANDBETWEEN(2,4)</f>
        <v>5.8500000000000005</v>
      </c>
      <c r="R25" s="77">
        <f ca="1">R24 / RANDBETWEEN(2,4)</f>
        <v>0</v>
      </c>
      <c r="S25" s="77">
        <f ca="1">S24 / RANDBETWEEN(2,4)</f>
        <v>0</v>
      </c>
      <c r="T25" s="77">
        <f ca="1">T24 / RANDBETWEEN(2,4)</f>
        <v>7.8000000000000007</v>
      </c>
      <c r="U25" s="78" t="str">
        <f t="shared" ca="1" si="3"/>
        <v>0:0:8</v>
      </c>
      <c r="V25" s="298">
        <f ca="1">V24 / RANDBETWEEN(2,4)</f>
        <v>48.918912558462381</v>
      </c>
      <c r="W25" s="299">
        <f ca="1">W24 / RANDBETWEEN(2,4)</f>
        <v>0</v>
      </c>
      <c r="X25" s="299">
        <f ca="1">X24 / RANDBETWEEN(2,4)</f>
        <v>0.5</v>
      </c>
      <c r="Y25" s="299">
        <f ca="1">Y24 / RANDBETWEEN(2,4)</f>
        <v>8.918912558462381</v>
      </c>
    </row>
    <row r="26" spans="2:25" x14ac:dyDescent="0.3">
      <c r="B26" s="83"/>
      <c r="C26" s="212"/>
      <c r="D26" s="123" t="s">
        <v>74</v>
      </c>
      <c r="E26" s="123"/>
      <c r="F26" s="127">
        <f ca="1">(F24-F25) / RANDBETWEEN(2,4)</f>
        <v>843314.66666666663</v>
      </c>
      <c r="G26" s="127">
        <f ca="1">(G24-G25) / RANDBETWEEN(2,4)</f>
        <v>421657.33333333331</v>
      </c>
      <c r="H26" s="131">
        <f t="shared" ca="1" si="0"/>
        <v>4.1811036374754167</v>
      </c>
      <c r="I26" s="127">
        <f ca="1">(I24-I25) / RANDBETWEEN(2,4)</f>
        <v>100848.33333333334</v>
      </c>
      <c r="J26" s="138" t="str">
        <f t="shared" ca="1" si="5"/>
        <v>2740:5:8</v>
      </c>
      <c r="K26" s="81">
        <f ca="1">(K24-K25) / RANDBETWEEN(2,4)</f>
        <v>246669.53999999998</v>
      </c>
      <c r="L26" s="81">
        <f ca="1">(L24-L25) / RANDBETWEEN(2,4)</f>
        <v>11100129.300000001</v>
      </c>
      <c r="M26" s="81">
        <f ca="1">(M24-M25) / RANDBETWEEN(2,4)</f>
        <v>2740.6666666666665</v>
      </c>
      <c r="N26" s="81">
        <f ca="1">(N24-N25) / RANDBETWEEN(2,4)</f>
        <v>5.25</v>
      </c>
      <c r="O26" s="81">
        <f ca="1">(O24-O25) / RANDBETWEEN(2,4)</f>
        <v>8.2666666673289413</v>
      </c>
      <c r="P26" s="84" t="str">
        <f t="shared" ca="1" si="2"/>
        <v>0:0:3</v>
      </c>
      <c r="Q26" s="81">
        <f ca="1">(Q24-Q25) / RANDBETWEEN(2,4)</f>
        <v>8.7750000000000004</v>
      </c>
      <c r="R26" s="81">
        <f ca="1">(R24-R25) / RANDBETWEEN(2,4)</f>
        <v>0</v>
      </c>
      <c r="S26" s="81">
        <f ca="1">(S24-S25) / RANDBETWEEN(2,4)</f>
        <v>0</v>
      </c>
      <c r="T26" s="81">
        <f ca="1">(T24-T25) / RANDBETWEEN(2,4)</f>
        <v>3.9000000000000004</v>
      </c>
      <c r="U26" s="84" t="str">
        <f t="shared" ca="1" si="3"/>
        <v>0:0:8</v>
      </c>
      <c r="V26" s="298">
        <f ca="1">(V24-V25) / RANDBETWEEN(2,4)</f>
        <v>32.612608372308252</v>
      </c>
      <c r="W26" s="299">
        <f ca="1">(W24-W25) / RANDBETWEEN(2,4)</f>
        <v>0</v>
      </c>
      <c r="X26" s="299">
        <f ca="1">(X24-X25) / RANDBETWEEN(2,4)</f>
        <v>0.375</v>
      </c>
      <c r="Y26" s="299">
        <f ca="1">(Y24-Y25) / RANDBETWEEN(2,4)</f>
        <v>8.918912558462381</v>
      </c>
    </row>
    <row r="27" spans="2:25" ht="15" thickBot="1" x14ac:dyDescent="0.35">
      <c r="B27" s="86"/>
      <c r="C27" s="210"/>
      <c r="D27" s="122" t="s">
        <v>129</v>
      </c>
      <c r="E27" s="122"/>
      <c r="F27" s="126">
        <f ca="1">F24 - (F25+F26)</f>
        <v>1686629.3333333335</v>
      </c>
      <c r="G27" s="126">
        <f ca="1">G24 - (G25+G26)</f>
        <v>843314.66666666674</v>
      </c>
      <c r="H27" s="130">
        <f t="shared" ca="1" si="0"/>
        <v>8.3622072749508369</v>
      </c>
      <c r="I27" s="126">
        <f ca="1">I24 - (I25+I26)</f>
        <v>100848.33333333331</v>
      </c>
      <c r="J27" s="137" t="str">
        <f t="shared" ca="1" si="5"/>
        <v>5481:15:16</v>
      </c>
      <c r="K27" s="87">
        <f ca="1">K24 - (K25+K26)</f>
        <v>246669.54000000004</v>
      </c>
      <c r="L27" s="87">
        <f ca="1">L24 - (L25+L26)</f>
        <v>11100129.300000001</v>
      </c>
      <c r="M27" s="87">
        <f ca="1">M24 - (M25+M26)</f>
        <v>5481.3333333333339</v>
      </c>
      <c r="N27" s="87">
        <f ca="1">N24 - (N25+N26)</f>
        <v>15.75</v>
      </c>
      <c r="O27" s="87">
        <f ca="1">O24 - (O25+O26)</f>
        <v>16.533333334657883</v>
      </c>
      <c r="P27" s="88" t="str">
        <f t="shared" ca="1" si="2"/>
        <v>0:0:11</v>
      </c>
      <c r="Q27" s="87">
        <f ca="1">Q24 - (Q25+Q26)</f>
        <v>8.7750000000000021</v>
      </c>
      <c r="R27" s="87">
        <f ca="1">R24 - (R25+R26)</f>
        <v>0</v>
      </c>
      <c r="S27" s="87">
        <f ca="1">S24 - (S25+S26)</f>
        <v>0</v>
      </c>
      <c r="T27" s="87">
        <f ca="1">T24 - (T25+T26)</f>
        <v>11.700000000000001</v>
      </c>
      <c r="U27" s="88" t="str">
        <f t="shared" ca="1" si="3"/>
        <v>0:1:8</v>
      </c>
      <c r="V27" s="298">
        <f ca="1">V24 - (V25+V26)</f>
        <v>65.225216744616517</v>
      </c>
      <c r="W27" s="299">
        <f ca="1">W24 - (W25+W26)</f>
        <v>0</v>
      </c>
      <c r="X27" s="299">
        <f ca="1">X24 - (X25+X26)</f>
        <v>1.125</v>
      </c>
      <c r="Y27" s="299">
        <f ca="1">Y24 - (Y25+Y26)</f>
        <v>8.918912558462381</v>
      </c>
    </row>
    <row r="28" spans="2:25" ht="15" thickTop="1" x14ac:dyDescent="0.3">
      <c r="B28" s="118" t="s">
        <v>23</v>
      </c>
      <c r="C28" s="211" t="s">
        <v>127</v>
      </c>
      <c r="D28" s="98" t="s">
        <v>33</v>
      </c>
      <c r="E28" s="98" t="s">
        <v>113</v>
      </c>
      <c r="F28" s="99">
        <f ca="1">(RANDBETWEEN(1.1,2))*G28</f>
        <v>1000574</v>
      </c>
      <c r="G28" s="99">
        <v>500287</v>
      </c>
      <c r="H28" s="100">
        <f t="shared" si="0"/>
        <v>2.5014349999999999</v>
      </c>
      <c r="I28" s="99">
        <v>200000</v>
      </c>
      <c r="J28" s="101" t="str">
        <f t="shared" si="5"/>
        <v>3502:0:32</v>
      </c>
      <c r="K28" s="134">
        <f>0.42*G28</f>
        <v>210120.53999999998</v>
      </c>
      <c r="L28" s="102">
        <f>K28*60</f>
        <v>12607232.399999999</v>
      </c>
      <c r="M28" s="102">
        <f>INT(L28/3600)</f>
        <v>3502</v>
      </c>
      <c r="N28" s="102">
        <f>INT(MOD(L28,3600)/60)</f>
        <v>0</v>
      </c>
      <c r="O28" s="102">
        <f xml:space="preserve"> MOD(MOD(L28, 3600),60)</f>
        <v>32.399999998509884</v>
      </c>
      <c r="P28" s="103" t="str">
        <f t="shared" si="2"/>
        <v>0:0:25</v>
      </c>
      <c r="Q28" s="134">
        <f>L28/G28</f>
        <v>25.199999999999996</v>
      </c>
      <c r="R28" s="102">
        <f>INT(Q28/3600)</f>
        <v>0</v>
      </c>
      <c r="S28" s="102">
        <f>INT(MOD(Q28,3600)/60)</f>
        <v>0</v>
      </c>
      <c r="T28" s="102">
        <f xml:space="preserve"> MOD(MOD(Q28, 3600),60)</f>
        <v>25.199999999999996</v>
      </c>
      <c r="U28" s="103" t="str">
        <f t="shared" si="3"/>
        <v>0:1:3</v>
      </c>
      <c r="V28" s="296">
        <f>L28/I28</f>
        <v>63.03616199999999</v>
      </c>
      <c r="W28" s="297">
        <f>INT(V28/3600)</f>
        <v>0</v>
      </c>
      <c r="X28" s="297">
        <f>INT(MOD(V28,3600)/60)</f>
        <v>1</v>
      </c>
      <c r="Y28" s="297">
        <f xml:space="preserve"> MOD(MOD(V28, 3600),60)</f>
        <v>3.0361619999999903</v>
      </c>
    </row>
    <row r="29" spans="2:25" ht="15" thickBot="1" x14ac:dyDescent="0.35">
      <c r="B29" s="89"/>
      <c r="C29" s="213"/>
      <c r="D29" s="124" t="s">
        <v>73</v>
      </c>
      <c r="E29" s="124"/>
      <c r="F29" s="128">
        <f ca="1">F28</f>
        <v>1000574</v>
      </c>
      <c r="G29" s="128">
        <f>G28</f>
        <v>500287</v>
      </c>
      <c r="H29" s="132">
        <f t="shared" si="0"/>
        <v>2.5014349999999999</v>
      </c>
      <c r="I29" s="128">
        <f>I28</f>
        <v>200000</v>
      </c>
      <c r="J29" s="139" t="str">
        <f t="shared" si="5"/>
        <v>3502:0:32</v>
      </c>
      <c r="K29" s="90">
        <f>K28</f>
        <v>210120.53999999998</v>
      </c>
      <c r="L29" s="90">
        <f>L28</f>
        <v>12607232.399999999</v>
      </c>
      <c r="M29" s="90">
        <f>M28</f>
        <v>3502</v>
      </c>
      <c r="N29" s="90">
        <f>N28</f>
        <v>0</v>
      </c>
      <c r="O29" s="90">
        <f>O28</f>
        <v>32.399999998509884</v>
      </c>
      <c r="P29" s="92" t="str">
        <f t="shared" si="2"/>
        <v>0:0:25</v>
      </c>
      <c r="Q29" s="90">
        <f>Q28</f>
        <v>25.199999999999996</v>
      </c>
      <c r="R29" s="90">
        <f>R28</f>
        <v>0</v>
      </c>
      <c r="S29" s="90">
        <f>S28</f>
        <v>0</v>
      </c>
      <c r="T29" s="90">
        <f>T28</f>
        <v>25.199999999999996</v>
      </c>
      <c r="U29" s="92" t="str">
        <f t="shared" si="3"/>
        <v>0:1:3</v>
      </c>
      <c r="V29" s="300">
        <f>V28</f>
        <v>63.03616199999999</v>
      </c>
      <c r="W29" s="301">
        <f>W28</f>
        <v>0</v>
      </c>
      <c r="X29" s="301">
        <f>X28</f>
        <v>1</v>
      </c>
      <c r="Y29" s="301">
        <f>Y28</f>
        <v>3.0361619999999903</v>
      </c>
    </row>
    <row r="30" spans="2:25" ht="15" thickTop="1" x14ac:dyDescent="0.3">
      <c r="B30" s="118" t="s">
        <v>24</v>
      </c>
      <c r="C30" s="211" t="s">
        <v>127</v>
      </c>
      <c r="D30" s="98" t="s">
        <v>34</v>
      </c>
      <c r="E30" s="98" t="s">
        <v>114</v>
      </c>
      <c r="F30" s="99">
        <f ca="1">(RANDBETWEEN(1.1,2))*G30</f>
        <v>997650</v>
      </c>
      <c r="G30" s="99">
        <v>498825</v>
      </c>
      <c r="H30" s="100">
        <f t="shared" si="0"/>
        <v>2.9891776577958615</v>
      </c>
      <c r="I30" s="99">
        <v>166877</v>
      </c>
      <c r="J30" s="101" t="str">
        <f t="shared" si="5"/>
        <v>3741:11:15</v>
      </c>
      <c r="K30" s="134">
        <f>0.45*G30</f>
        <v>224471.25</v>
      </c>
      <c r="L30" s="102">
        <f>K30*60</f>
        <v>13468275</v>
      </c>
      <c r="M30" s="102">
        <f>INT(L30/3600)</f>
        <v>3741</v>
      </c>
      <c r="N30" s="102">
        <f>INT(MOD(L30,3600)/60)</f>
        <v>11</v>
      </c>
      <c r="O30" s="102">
        <f xml:space="preserve"> MOD(MOD(L30, 3600),60)</f>
        <v>15</v>
      </c>
      <c r="P30" s="103" t="str">
        <f t="shared" si="2"/>
        <v>0:0:27</v>
      </c>
      <c r="Q30" s="134">
        <f>L30/G30</f>
        <v>27</v>
      </c>
      <c r="R30" s="102">
        <f>INT(Q30/3600)</f>
        <v>0</v>
      </c>
      <c r="S30" s="102">
        <f>INT(MOD(Q30,3600)/60)</f>
        <v>0</v>
      </c>
      <c r="T30" s="102">
        <f xml:space="preserve"> MOD(MOD(Q30, 3600),60)</f>
        <v>27</v>
      </c>
      <c r="U30" s="103" t="str">
        <f t="shared" si="3"/>
        <v>0:1:20</v>
      </c>
      <c r="V30" s="296">
        <f>L30/I30</f>
        <v>80.707796760488264</v>
      </c>
      <c r="W30" s="297">
        <f>INT(V30/3600)</f>
        <v>0</v>
      </c>
      <c r="X30" s="297">
        <f>INT(MOD(V30,3600)/60)</f>
        <v>1</v>
      </c>
      <c r="Y30" s="297">
        <f xml:space="preserve"> MOD(MOD(V30, 3600),60)</f>
        <v>20.707796760488264</v>
      </c>
    </row>
    <row r="31" spans="2:25" ht="15" thickBot="1" x14ac:dyDescent="0.35">
      <c r="B31" s="89"/>
      <c r="C31" s="213"/>
      <c r="D31" s="124" t="s">
        <v>73</v>
      </c>
      <c r="E31" s="124"/>
      <c r="F31" s="128">
        <f ca="1">F30</f>
        <v>997650</v>
      </c>
      <c r="G31" s="128">
        <f>G30</f>
        <v>498825</v>
      </c>
      <c r="H31" s="132">
        <f t="shared" si="0"/>
        <v>2.9891776577958615</v>
      </c>
      <c r="I31" s="128">
        <f>I30</f>
        <v>166877</v>
      </c>
      <c r="J31" s="139" t="str">
        <f t="shared" si="5"/>
        <v>3741:11:15</v>
      </c>
      <c r="K31" s="90">
        <f>K30</f>
        <v>224471.25</v>
      </c>
      <c r="L31" s="90">
        <f>L30</f>
        <v>13468275</v>
      </c>
      <c r="M31" s="90">
        <f>M30</f>
        <v>3741</v>
      </c>
      <c r="N31" s="90">
        <f>N30</f>
        <v>11</v>
      </c>
      <c r="O31" s="90">
        <f>O30</f>
        <v>15</v>
      </c>
      <c r="P31" s="92" t="str">
        <f t="shared" si="2"/>
        <v>0:0:27</v>
      </c>
      <c r="Q31" s="90">
        <f>Q30</f>
        <v>27</v>
      </c>
      <c r="R31" s="90">
        <f>R30</f>
        <v>0</v>
      </c>
      <c r="S31" s="90">
        <f>S30</f>
        <v>0</v>
      </c>
      <c r="T31" s="90">
        <f>T30</f>
        <v>27</v>
      </c>
      <c r="U31" s="92" t="str">
        <f t="shared" si="3"/>
        <v>0:1:20</v>
      </c>
      <c r="V31" s="300">
        <f>V30</f>
        <v>80.707796760488264</v>
      </c>
      <c r="W31" s="301">
        <f>W30</f>
        <v>0</v>
      </c>
      <c r="X31" s="301">
        <f>X30</f>
        <v>1</v>
      </c>
      <c r="Y31" s="301">
        <f>Y30</f>
        <v>20.707796760488264</v>
      </c>
    </row>
    <row r="32" spans="2:25" ht="15" thickTop="1" x14ac:dyDescent="0.3">
      <c r="B32" s="118" t="s">
        <v>25</v>
      </c>
      <c r="C32" s="211" t="s">
        <v>127</v>
      </c>
      <c r="D32" s="98" t="s">
        <v>35</v>
      </c>
      <c r="E32" s="98" t="s">
        <v>115</v>
      </c>
      <c r="F32" s="99">
        <f ca="1">(RANDBETWEEN(1.1,2))*G32</f>
        <v>4106402</v>
      </c>
      <c r="G32" s="99">
        <v>2053201</v>
      </c>
      <c r="H32" s="100">
        <f t="shared" si="0"/>
        <v>2.1415618415837452</v>
      </c>
      <c r="I32" s="99">
        <v>958740</v>
      </c>
      <c r="J32" s="101" t="str">
        <f t="shared" si="5"/>
        <v>17110:0:30</v>
      </c>
      <c r="K32" s="134">
        <f>0.5*G32</f>
        <v>1026600.5</v>
      </c>
      <c r="L32" s="102">
        <f>K32*60</f>
        <v>61596030</v>
      </c>
      <c r="M32" s="102">
        <f>INT(L32/3600)</f>
        <v>17110</v>
      </c>
      <c r="N32" s="102">
        <f>INT(MOD(L32,3600)/60)</f>
        <v>0</v>
      </c>
      <c r="O32" s="102">
        <f xml:space="preserve"> MOD(MOD(L32, 3600),60)</f>
        <v>30</v>
      </c>
      <c r="P32" s="103" t="str">
        <f t="shared" si="2"/>
        <v>0:0:30</v>
      </c>
      <c r="Q32" s="134">
        <f>L32/G32</f>
        <v>30</v>
      </c>
      <c r="R32" s="102">
        <f>INT(Q32/3600)</f>
        <v>0</v>
      </c>
      <c r="S32" s="102">
        <f>INT(MOD(Q32,3600)/60)</f>
        <v>0</v>
      </c>
      <c r="T32" s="102">
        <f xml:space="preserve"> MOD(MOD(Q32, 3600),60)</f>
        <v>30</v>
      </c>
      <c r="U32" s="103" t="str">
        <f t="shared" si="3"/>
        <v>0:1:4</v>
      </c>
      <c r="V32" s="296">
        <f>L32/I32</f>
        <v>64.246855247512357</v>
      </c>
      <c r="W32" s="297">
        <f>INT(V32/3600)</f>
        <v>0</v>
      </c>
      <c r="X32" s="297">
        <f>INT(MOD(V32,3600)/60)</f>
        <v>1</v>
      </c>
      <c r="Y32" s="297">
        <f xml:space="preserve"> MOD(MOD(V32, 3600),60)</f>
        <v>4.2468552475123573</v>
      </c>
    </row>
    <row r="33" spans="2:25" ht="15" thickBot="1" x14ac:dyDescent="0.35">
      <c r="B33" s="89"/>
      <c r="C33" s="213"/>
      <c r="D33" s="124" t="s">
        <v>74</v>
      </c>
      <c r="E33" s="124"/>
      <c r="F33" s="128">
        <f ca="1">F32</f>
        <v>4106402</v>
      </c>
      <c r="G33" s="128">
        <f>G32</f>
        <v>2053201</v>
      </c>
      <c r="H33" s="132">
        <f t="shared" si="0"/>
        <v>2.1415618415837452</v>
      </c>
      <c r="I33" s="128">
        <f>I32</f>
        <v>958740</v>
      </c>
      <c r="J33" s="139" t="str">
        <f t="shared" si="5"/>
        <v>17110:0:30</v>
      </c>
      <c r="K33" s="90">
        <f>K32</f>
        <v>1026600.5</v>
      </c>
      <c r="L33" s="90">
        <f>L32</f>
        <v>61596030</v>
      </c>
      <c r="M33" s="90">
        <f>M32</f>
        <v>17110</v>
      </c>
      <c r="N33" s="90">
        <f>N32</f>
        <v>0</v>
      </c>
      <c r="O33" s="90">
        <f>O32</f>
        <v>30</v>
      </c>
      <c r="P33" s="92" t="str">
        <f t="shared" si="2"/>
        <v>0:0:30</v>
      </c>
      <c r="Q33" s="90">
        <f>Q32</f>
        <v>30</v>
      </c>
      <c r="R33" s="90">
        <f>R32</f>
        <v>0</v>
      </c>
      <c r="S33" s="90">
        <f>S32</f>
        <v>0</v>
      </c>
      <c r="T33" s="90">
        <f>T32</f>
        <v>30</v>
      </c>
      <c r="U33" s="92" t="str">
        <f t="shared" si="3"/>
        <v>0:1:4</v>
      </c>
      <c r="V33" s="300">
        <f>V32</f>
        <v>64.246855247512357</v>
      </c>
      <c r="W33" s="301">
        <f>W32</f>
        <v>0</v>
      </c>
      <c r="X33" s="301">
        <f>X32</f>
        <v>1</v>
      </c>
      <c r="Y33" s="301">
        <f>Y32</f>
        <v>4.2468552475123573</v>
      </c>
    </row>
    <row r="34" spans="2:25" ht="15" thickTop="1" x14ac:dyDescent="0.3">
      <c r="B34" s="118" t="s">
        <v>26</v>
      </c>
      <c r="C34" s="211" t="s">
        <v>127</v>
      </c>
      <c r="D34" s="98" t="s">
        <v>36</v>
      </c>
      <c r="E34" s="98" t="s">
        <v>116</v>
      </c>
      <c r="F34" s="99">
        <f ca="1">(RANDBETWEEN(1.1,2))*G34</f>
        <v>1394910</v>
      </c>
      <c r="G34" s="99">
        <v>697455</v>
      </c>
      <c r="H34" s="100">
        <f t="shared" si="0"/>
        <v>11.517330779265816</v>
      </c>
      <c r="I34" s="99">
        <v>60557</v>
      </c>
      <c r="J34" s="101" t="str">
        <f t="shared" si="5"/>
        <v>5230:54:45</v>
      </c>
      <c r="K34" s="134">
        <f>0.45*G34</f>
        <v>313854.75</v>
      </c>
      <c r="L34" s="102">
        <f>K34*60</f>
        <v>18831285</v>
      </c>
      <c r="M34" s="102">
        <f>INT(L34/3600)</f>
        <v>5230</v>
      </c>
      <c r="N34" s="102">
        <f>INT(MOD(L34,3600)/60)</f>
        <v>54</v>
      </c>
      <c r="O34" s="102">
        <f xml:space="preserve"> MOD(MOD(L34, 3600),60)</f>
        <v>45</v>
      </c>
      <c r="P34" s="103" t="str">
        <f t="shared" si="2"/>
        <v>0:0:27</v>
      </c>
      <c r="Q34" s="134">
        <f>L34/G34</f>
        <v>27</v>
      </c>
      <c r="R34" s="102">
        <f>INT(Q34/3600)</f>
        <v>0</v>
      </c>
      <c r="S34" s="102">
        <f>INT(MOD(Q34,3600)/60)</f>
        <v>0</v>
      </c>
      <c r="T34" s="102">
        <f xml:space="preserve"> MOD(MOD(Q34, 3600),60)</f>
        <v>27</v>
      </c>
      <c r="U34" s="103" t="str">
        <f t="shared" si="3"/>
        <v>0:5:10</v>
      </c>
      <c r="V34" s="296">
        <f>L34/I34</f>
        <v>310.96793104017701</v>
      </c>
      <c r="W34" s="297">
        <f>INT(V34/3600)</f>
        <v>0</v>
      </c>
      <c r="X34" s="297">
        <f>INT(MOD(V34,3600)/60)</f>
        <v>5</v>
      </c>
      <c r="Y34" s="297">
        <f xml:space="preserve"> MOD(MOD(V34, 3600),60)</f>
        <v>10.967931040177007</v>
      </c>
    </row>
    <row r="35" spans="2:25" ht="15" thickBot="1" x14ac:dyDescent="0.35">
      <c r="B35" s="89"/>
      <c r="C35" s="213"/>
      <c r="D35" s="124" t="s">
        <v>129</v>
      </c>
      <c r="E35" s="124"/>
      <c r="F35" s="128">
        <f ca="1">F34</f>
        <v>1394910</v>
      </c>
      <c r="G35" s="128">
        <f>G34</f>
        <v>697455</v>
      </c>
      <c r="H35" s="132">
        <f t="shared" si="0"/>
        <v>11.517330779265816</v>
      </c>
      <c r="I35" s="128">
        <f>I34</f>
        <v>60557</v>
      </c>
      <c r="J35" s="139" t="str">
        <f t="shared" si="5"/>
        <v>5230:54:45</v>
      </c>
      <c r="K35" s="90">
        <f>K34</f>
        <v>313854.75</v>
      </c>
      <c r="L35" s="90">
        <f>L34</f>
        <v>18831285</v>
      </c>
      <c r="M35" s="90">
        <f>M34</f>
        <v>5230</v>
      </c>
      <c r="N35" s="90">
        <f>N34</f>
        <v>54</v>
      </c>
      <c r="O35" s="90">
        <f>O34</f>
        <v>45</v>
      </c>
      <c r="P35" s="92" t="str">
        <f t="shared" si="2"/>
        <v>0:0:27</v>
      </c>
      <c r="Q35" s="90">
        <f>Q34</f>
        <v>27</v>
      </c>
      <c r="R35" s="90">
        <f>R34</f>
        <v>0</v>
      </c>
      <c r="S35" s="90">
        <f>S34</f>
        <v>0</v>
      </c>
      <c r="T35" s="90">
        <f>T34</f>
        <v>27</v>
      </c>
      <c r="U35" s="92" t="str">
        <f t="shared" si="3"/>
        <v>0:5:10</v>
      </c>
      <c r="V35" s="300">
        <f>V34</f>
        <v>310.96793104017701</v>
      </c>
      <c r="W35" s="301">
        <f>W34</f>
        <v>0</v>
      </c>
      <c r="X35" s="301">
        <f>X34</f>
        <v>5</v>
      </c>
      <c r="Y35" s="301">
        <f>Y34</f>
        <v>10.967931040177007</v>
      </c>
    </row>
    <row r="36" spans="2:25" ht="15.6" thickTop="1" thickBot="1" x14ac:dyDescent="0.35">
      <c r="B36" s="119" t="s">
        <v>27</v>
      </c>
      <c r="C36" s="214" t="s">
        <v>128</v>
      </c>
      <c r="D36" s="113" t="s">
        <v>37</v>
      </c>
      <c r="E36" s="113" t="s">
        <v>117</v>
      </c>
      <c r="F36" s="110">
        <f ca="1">(RANDBETWEEN(1.1,2))*G36</f>
        <v>201174</v>
      </c>
      <c r="G36" s="110">
        <v>100587</v>
      </c>
      <c r="H36" s="114">
        <f t="shared" si="0"/>
        <v>3.9374853205981366</v>
      </c>
      <c r="I36" s="110">
        <v>25546</v>
      </c>
      <c r="J36" s="115" t="str">
        <f t="shared" si="5"/>
        <v>586:45:27</v>
      </c>
      <c r="K36" s="135">
        <f>0.35*G36</f>
        <v>35205.449999999997</v>
      </c>
      <c r="L36" s="116">
        <f>K36*60</f>
        <v>2112327</v>
      </c>
      <c r="M36" s="116">
        <f>INT(L36/3600)</f>
        <v>586</v>
      </c>
      <c r="N36" s="116">
        <f>INT(MOD(L36,3600)/60)</f>
        <v>45</v>
      </c>
      <c r="O36" s="116">
        <f xml:space="preserve"> MOD(MOD(L36, 3600),60)</f>
        <v>27</v>
      </c>
      <c r="P36" s="112" t="str">
        <f t="shared" si="2"/>
        <v>0:0:21</v>
      </c>
      <c r="Q36" s="140">
        <f>L36/G36</f>
        <v>21</v>
      </c>
      <c r="R36" s="111">
        <f>INT(Q36/3600)</f>
        <v>0</v>
      </c>
      <c r="S36" s="111">
        <f>INT(MOD(Q36,3600)/60)</f>
        <v>0</v>
      </c>
      <c r="T36" s="111">
        <f xml:space="preserve"> MOD(MOD(Q36, 3600),60)</f>
        <v>21</v>
      </c>
      <c r="U36" s="112" t="str">
        <f t="shared" si="3"/>
        <v>0:1:22</v>
      </c>
      <c r="V36" s="296">
        <f>L36/I36</f>
        <v>82.687191732560876</v>
      </c>
      <c r="W36" s="297">
        <f>INT(V36/3600)</f>
        <v>0</v>
      </c>
      <c r="X36" s="297">
        <f>INT(MOD(V36,3600)/60)</f>
        <v>1</v>
      </c>
      <c r="Y36" s="297">
        <f xml:space="preserve"> MOD(MOD(V36, 3600),60)</f>
        <v>22.687191732560876</v>
      </c>
    </row>
    <row r="37" spans="2:25" ht="15" thickBot="1" x14ac:dyDescent="0.35">
      <c r="B37" s="86"/>
      <c r="C37" s="210"/>
      <c r="D37" s="122" t="s">
        <v>130</v>
      </c>
      <c r="E37" s="122"/>
      <c r="F37" s="126">
        <f ca="1">F36</f>
        <v>201174</v>
      </c>
      <c r="G37" s="126">
        <f>G36</f>
        <v>100587</v>
      </c>
      <c r="H37" s="130">
        <f t="shared" si="0"/>
        <v>3.9374853205981366</v>
      </c>
      <c r="I37" s="126">
        <f>I36</f>
        <v>25546</v>
      </c>
      <c r="J37" s="137" t="str">
        <f t="shared" si="5"/>
        <v>586:45:27</v>
      </c>
      <c r="K37" s="87">
        <f>K36</f>
        <v>35205.449999999997</v>
      </c>
      <c r="L37" s="87">
        <f>L36</f>
        <v>2112327</v>
      </c>
      <c r="M37" s="87">
        <f>M36</f>
        <v>586</v>
      </c>
      <c r="N37" s="87">
        <f>N36</f>
        <v>45</v>
      </c>
      <c r="O37" s="87">
        <f>O36</f>
        <v>27</v>
      </c>
      <c r="P37" s="88" t="str">
        <f t="shared" si="2"/>
        <v>0:0:21</v>
      </c>
      <c r="Q37" s="90">
        <f>Q36</f>
        <v>21</v>
      </c>
      <c r="R37" s="90">
        <f>R36</f>
        <v>0</v>
      </c>
      <c r="S37" s="90">
        <f>S36</f>
        <v>0</v>
      </c>
      <c r="T37" s="90">
        <f>T36</f>
        <v>21</v>
      </c>
      <c r="U37" s="92" t="str">
        <f t="shared" si="3"/>
        <v>0:1:22</v>
      </c>
      <c r="V37" s="300">
        <f>V36</f>
        <v>82.687191732560876</v>
      </c>
      <c r="W37" s="301">
        <f>W36</f>
        <v>0</v>
      </c>
      <c r="X37" s="301">
        <f>X36</f>
        <v>1</v>
      </c>
      <c r="Y37" s="301">
        <f>Y36</f>
        <v>22.687191732560876</v>
      </c>
    </row>
    <row r="38" spans="2:25" ht="15.6" thickTop="1" thickBot="1" x14ac:dyDescent="0.35">
      <c r="C38" s="269"/>
      <c r="D38" s="270"/>
      <c r="E38" s="34" t="s">
        <v>78</v>
      </c>
      <c r="F38" s="106">
        <f ca="1">SUM(F13,F16,F20,F22,F24,F28,F30,F32,F34,F36)</f>
        <v>23186286</v>
      </c>
      <c r="G38" s="271">
        <f>SUM(G13,G16,G20,G22,G24,G28,G30,G32,G34,G36)</f>
        <v>11593143</v>
      </c>
      <c r="H38" s="271">
        <f>AVERAGE(H13,H16,H20,H22,H24,H28,H30,H32,H34,H36)</f>
        <v>6.5724910147351849</v>
      </c>
      <c r="I38" s="106">
        <f>SUM(I13,I16,I20,I22,I24,I28,I30,I32,I34,I36)</f>
        <v>2386171</v>
      </c>
      <c r="J38" s="104" t="str">
        <f t="shared" ca="1" si="5"/>
        <v>156881:18:27</v>
      </c>
      <c r="K38" s="107">
        <f ca="1">SUM(K13:K36)</f>
        <v>9412878.4499999993</v>
      </c>
      <c r="L38" s="107">
        <f ca="1">SUM(L13:L36)</f>
        <v>564772707</v>
      </c>
      <c r="M38" s="105">
        <f ca="1">INT(L38/3600)</f>
        <v>156881</v>
      </c>
      <c r="N38" s="105">
        <f ca="1">INT(MOD(L38,3600)/60)</f>
        <v>18</v>
      </c>
      <c r="O38" s="105">
        <f ca="1" xml:space="preserve"> MOD(MOD(L38, 3600),60)</f>
        <v>27</v>
      </c>
      <c r="P38" s="109" t="str">
        <f t="shared" ca="1" si="2"/>
        <v>0:0:48</v>
      </c>
      <c r="Q38" s="266">
        <f ca="1">L38/G38</f>
        <v>48.716099421873778</v>
      </c>
      <c r="R38" s="105">
        <f ca="1">INT(Q38/3600)</f>
        <v>0</v>
      </c>
      <c r="S38" s="105">
        <f ca="1">INT(MOD(Q38,3600)/60)</f>
        <v>0</v>
      </c>
      <c r="T38" s="105">
        <f ca="1" xml:space="preserve"> MOD(MOD(Q38, 3600),60)</f>
        <v>48.716099421873778</v>
      </c>
      <c r="U38" s="109" t="str">
        <f t="shared" ca="1" si="3"/>
        <v>0:3:56</v>
      </c>
      <c r="V38" s="296">
        <f ca="1">L38/I38</f>
        <v>236.6857643479868</v>
      </c>
      <c r="W38" s="297">
        <f ca="1">INT(V38/3600)</f>
        <v>0</v>
      </c>
      <c r="X38" s="297">
        <f ca="1">INT(MOD(V38,3600)/60)</f>
        <v>3</v>
      </c>
      <c r="Y38" s="297">
        <f ca="1" xml:space="preserve"> MOD(MOD(V38, 3600),60)</f>
        <v>56.685764347986805</v>
      </c>
    </row>
    <row r="39" spans="2:25" s="186" customFormat="1" x14ac:dyDescent="0.3">
      <c r="C39" s="215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</row>
    <row r="40" spans="2:25" s="186" customFormat="1" x14ac:dyDescent="0.3">
      <c r="B40" s="310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</row>
    <row r="41" spans="2:25" s="186" customFormat="1" x14ac:dyDescent="0.3"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</row>
    <row r="42" spans="2:25" s="186" customFormat="1" x14ac:dyDescent="0.3"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</row>
    <row r="43" spans="2:25" s="186" customFormat="1" x14ac:dyDescent="0.3">
      <c r="E43" s="42" t="s">
        <v>92</v>
      </c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</row>
    <row r="44" spans="2:25" s="186" customFormat="1" x14ac:dyDescent="0.3">
      <c r="E44" s="195" t="s">
        <v>91</v>
      </c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</row>
    <row r="45" spans="2:25" s="186" customFormat="1" x14ac:dyDescent="0.3"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</row>
    <row r="46" spans="2:25" s="186" customFormat="1" x14ac:dyDescent="0.3"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</row>
    <row r="47" spans="2:25" s="186" customFormat="1" x14ac:dyDescent="0.3"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</row>
    <row r="48" spans="2:25" s="186" customFormat="1" x14ac:dyDescent="0.3"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</row>
    <row r="49" spans="7:22" s="186" customFormat="1" x14ac:dyDescent="0.3"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</row>
    <row r="50" spans="7:22" s="186" customFormat="1" x14ac:dyDescent="0.3"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</row>
    <row r="51" spans="7:22" s="186" customFormat="1" x14ac:dyDescent="0.3"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</row>
    <row r="52" spans="7:22" s="186" customFormat="1" x14ac:dyDescent="0.3"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</row>
    <row r="53" spans="7:22" s="186" customFormat="1" x14ac:dyDescent="0.3"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</row>
    <row r="54" spans="7:22" s="186" customFormat="1" x14ac:dyDescent="0.3"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</row>
    <row r="55" spans="7:22" s="186" customFormat="1" x14ac:dyDescent="0.3"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</row>
    <row r="56" spans="7:22" s="186" customFormat="1" x14ac:dyDescent="0.3"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</row>
    <row r="57" spans="7:22" s="186" customFormat="1" x14ac:dyDescent="0.3"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</row>
    <row r="58" spans="7:22" s="186" customFormat="1" x14ac:dyDescent="0.3"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</row>
    <row r="59" spans="7:22" s="186" customFormat="1" x14ac:dyDescent="0.3"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</row>
    <row r="60" spans="7:22" s="186" customFormat="1" x14ac:dyDescent="0.3"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</row>
    <row r="61" spans="7:22" s="186" customFormat="1" x14ac:dyDescent="0.3"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</row>
    <row r="62" spans="7:22" s="186" customFormat="1" x14ac:dyDescent="0.3"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</row>
    <row r="63" spans="7:22" s="186" customFormat="1" x14ac:dyDescent="0.3"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</row>
    <row r="64" spans="7:22" s="186" customFormat="1" x14ac:dyDescent="0.3"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</row>
    <row r="65" spans="7:22" s="186" customFormat="1" x14ac:dyDescent="0.3"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</row>
    <row r="66" spans="7:22" s="186" customFormat="1" x14ac:dyDescent="0.3"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</row>
    <row r="67" spans="7:22" s="186" customFormat="1" x14ac:dyDescent="0.3"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</row>
    <row r="68" spans="7:22" s="186" customFormat="1" x14ac:dyDescent="0.3"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</row>
    <row r="69" spans="7:22" s="186" customFormat="1" x14ac:dyDescent="0.3"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</row>
    <row r="70" spans="7:22" s="186" customFormat="1" x14ac:dyDescent="0.3"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</row>
    <row r="71" spans="7:22" s="186" customFormat="1" x14ac:dyDescent="0.3"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</row>
    <row r="72" spans="7:22" s="186" customFormat="1" x14ac:dyDescent="0.3"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</row>
    <row r="73" spans="7:22" s="186" customFormat="1" x14ac:dyDescent="0.3"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</row>
    <row r="74" spans="7:22" s="186" customFormat="1" x14ac:dyDescent="0.3"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</row>
    <row r="75" spans="7:22" s="186" customFormat="1" x14ac:dyDescent="0.3"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</row>
    <row r="76" spans="7:22" s="186" customFormat="1" x14ac:dyDescent="0.3"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</row>
    <row r="77" spans="7:22" s="186" customFormat="1" x14ac:dyDescent="0.3"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</row>
    <row r="78" spans="7:22" s="186" customFormat="1" x14ac:dyDescent="0.3"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</row>
    <row r="79" spans="7:22" s="186" customFormat="1" x14ac:dyDescent="0.3"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</row>
    <row r="80" spans="7:22" s="186" customFormat="1" x14ac:dyDescent="0.3"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</row>
    <row r="81" spans="7:22" s="186" customFormat="1" x14ac:dyDescent="0.3"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</row>
    <row r="82" spans="7:22" s="186" customFormat="1" x14ac:dyDescent="0.3"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</row>
    <row r="83" spans="7:22" s="186" customFormat="1" x14ac:dyDescent="0.3"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</row>
    <row r="84" spans="7:22" s="186" customFormat="1" x14ac:dyDescent="0.3"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</row>
    <row r="85" spans="7:22" s="186" customFormat="1" x14ac:dyDescent="0.3"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</row>
    <row r="86" spans="7:22" s="186" customFormat="1" x14ac:dyDescent="0.3"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</row>
    <row r="87" spans="7:22" s="186" customFormat="1" x14ac:dyDescent="0.3"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</row>
    <row r="88" spans="7:22" s="186" customFormat="1" x14ac:dyDescent="0.3"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</row>
    <row r="89" spans="7:22" s="186" customFormat="1" x14ac:dyDescent="0.3"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</row>
    <row r="90" spans="7:22" s="186" customFormat="1" x14ac:dyDescent="0.3"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</row>
    <row r="91" spans="7:22" s="186" customFormat="1" x14ac:dyDescent="0.3"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</row>
    <row r="92" spans="7:22" s="186" customFormat="1" x14ac:dyDescent="0.3"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</row>
    <row r="93" spans="7:22" s="186" customFormat="1" x14ac:dyDescent="0.3"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</row>
    <row r="94" spans="7:22" s="186" customFormat="1" x14ac:dyDescent="0.3"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</row>
    <row r="95" spans="7:22" s="186" customFormat="1" x14ac:dyDescent="0.3"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</row>
    <row r="96" spans="7:22" s="186" customFormat="1" x14ac:dyDescent="0.3"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</row>
    <row r="97" spans="7:22" s="186" customFormat="1" x14ac:dyDescent="0.3"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</row>
    <row r="98" spans="7:22" s="186" customFormat="1" x14ac:dyDescent="0.3"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</row>
    <row r="99" spans="7:22" s="186" customFormat="1" x14ac:dyDescent="0.3"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</row>
    <row r="100" spans="7:22" s="186" customFormat="1" x14ac:dyDescent="0.3"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</row>
    <row r="101" spans="7:22" s="186" customFormat="1" x14ac:dyDescent="0.3"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</row>
    <row r="102" spans="7:22" s="186" customFormat="1" x14ac:dyDescent="0.3"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</row>
    <row r="103" spans="7:22" s="186" customFormat="1" x14ac:dyDescent="0.3"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</row>
    <row r="104" spans="7:22" s="186" customFormat="1" x14ac:dyDescent="0.3"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</row>
    <row r="105" spans="7:22" s="186" customFormat="1" x14ac:dyDescent="0.3"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</row>
    <row r="106" spans="7:22" s="186" customFormat="1" x14ac:dyDescent="0.3"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</row>
    <row r="107" spans="7:22" s="186" customFormat="1" x14ac:dyDescent="0.3"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</row>
    <row r="108" spans="7:22" s="186" customFormat="1" x14ac:dyDescent="0.3"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</row>
    <row r="109" spans="7:22" s="186" customFormat="1" x14ac:dyDescent="0.3"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</row>
    <row r="110" spans="7:22" s="186" customFormat="1" x14ac:dyDescent="0.3"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</row>
    <row r="111" spans="7:22" s="186" customFormat="1" x14ac:dyDescent="0.3"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</row>
    <row r="112" spans="7:22" s="186" customFormat="1" x14ac:dyDescent="0.3"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</row>
    <row r="113" spans="7:22" s="186" customFormat="1" x14ac:dyDescent="0.3"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</row>
    <row r="114" spans="7:22" s="186" customFormat="1" x14ac:dyDescent="0.3"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</row>
    <row r="115" spans="7:22" s="186" customFormat="1" x14ac:dyDescent="0.3"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</row>
    <row r="116" spans="7:22" s="186" customFormat="1" x14ac:dyDescent="0.3"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</row>
    <row r="117" spans="7:22" s="186" customFormat="1" x14ac:dyDescent="0.3"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</row>
    <row r="118" spans="7:22" s="186" customFormat="1" x14ac:dyDescent="0.3"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</row>
    <row r="119" spans="7:22" s="186" customFormat="1" x14ac:dyDescent="0.3"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</row>
    <row r="120" spans="7:22" s="186" customFormat="1" x14ac:dyDescent="0.3"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</row>
    <row r="121" spans="7:22" s="186" customFormat="1" x14ac:dyDescent="0.3"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</row>
    <row r="122" spans="7:22" s="186" customFormat="1" x14ac:dyDescent="0.3"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</row>
    <row r="123" spans="7:22" s="186" customFormat="1" x14ac:dyDescent="0.3"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</row>
    <row r="124" spans="7:22" s="186" customFormat="1" x14ac:dyDescent="0.3"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</row>
    <row r="125" spans="7:22" s="186" customFormat="1" x14ac:dyDescent="0.3"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</row>
    <row r="126" spans="7:22" s="186" customFormat="1" x14ac:dyDescent="0.3"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</row>
    <row r="127" spans="7:22" s="186" customFormat="1" x14ac:dyDescent="0.3"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</row>
    <row r="128" spans="7:22" s="186" customFormat="1" x14ac:dyDescent="0.3"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</row>
    <row r="129" spans="7:22" s="186" customFormat="1" x14ac:dyDescent="0.3"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</row>
    <row r="130" spans="7:22" s="186" customFormat="1" x14ac:dyDescent="0.3"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</row>
    <row r="131" spans="7:22" s="186" customFormat="1" x14ac:dyDescent="0.3"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</row>
    <row r="132" spans="7:22" s="186" customFormat="1" x14ac:dyDescent="0.3"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</row>
    <row r="133" spans="7:22" s="186" customFormat="1" x14ac:dyDescent="0.3"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</row>
    <row r="134" spans="7:22" s="186" customFormat="1" x14ac:dyDescent="0.3"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</row>
    <row r="135" spans="7:22" s="186" customFormat="1" x14ac:dyDescent="0.3"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</row>
    <row r="136" spans="7:22" s="186" customFormat="1" x14ac:dyDescent="0.3"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</row>
    <row r="137" spans="7:22" s="186" customFormat="1" x14ac:dyDescent="0.3"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</row>
    <row r="138" spans="7:22" s="186" customFormat="1" x14ac:dyDescent="0.3"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</row>
    <row r="139" spans="7:22" s="186" customFormat="1" x14ac:dyDescent="0.3"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</row>
    <row r="140" spans="7:22" s="186" customFormat="1" x14ac:dyDescent="0.3"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</row>
    <row r="141" spans="7:22" s="186" customFormat="1" x14ac:dyDescent="0.3"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</row>
    <row r="142" spans="7:22" s="186" customFormat="1" x14ac:dyDescent="0.3"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</row>
    <row r="143" spans="7:22" s="186" customFormat="1" x14ac:dyDescent="0.3"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</row>
    <row r="144" spans="7:22" s="186" customFormat="1" x14ac:dyDescent="0.3"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</row>
    <row r="145" spans="7:22" s="186" customFormat="1" x14ac:dyDescent="0.3"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</row>
    <row r="146" spans="7:22" s="186" customFormat="1" x14ac:dyDescent="0.3"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</row>
    <row r="147" spans="7:22" s="186" customFormat="1" x14ac:dyDescent="0.3"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</row>
    <row r="148" spans="7:22" s="186" customFormat="1" x14ac:dyDescent="0.3"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</row>
    <row r="149" spans="7:22" s="186" customFormat="1" x14ac:dyDescent="0.3"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</row>
    <row r="150" spans="7:22" s="186" customFormat="1" x14ac:dyDescent="0.3"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</row>
    <row r="151" spans="7:22" s="186" customFormat="1" x14ac:dyDescent="0.3"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</row>
    <row r="152" spans="7:22" s="186" customFormat="1" x14ac:dyDescent="0.3"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</row>
    <row r="153" spans="7:22" s="186" customFormat="1" x14ac:dyDescent="0.3"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</row>
    <row r="154" spans="7:22" s="186" customFormat="1" x14ac:dyDescent="0.3"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</row>
    <row r="155" spans="7:22" s="186" customFormat="1" x14ac:dyDescent="0.3"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</row>
    <row r="156" spans="7:22" s="186" customFormat="1" x14ac:dyDescent="0.3"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</row>
    <row r="157" spans="7:22" s="186" customFormat="1" x14ac:dyDescent="0.3"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</row>
    <row r="158" spans="7:22" s="186" customFormat="1" x14ac:dyDescent="0.3"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</row>
    <row r="159" spans="7:22" s="186" customFormat="1" x14ac:dyDescent="0.3"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</row>
    <row r="160" spans="7:22" s="186" customFormat="1" x14ac:dyDescent="0.3"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</row>
    <row r="161" spans="7:22" s="186" customFormat="1" x14ac:dyDescent="0.3"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</row>
    <row r="162" spans="7:22" s="186" customFormat="1" x14ac:dyDescent="0.3"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</row>
    <row r="163" spans="7:22" s="186" customFormat="1" x14ac:dyDescent="0.3"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</row>
    <row r="164" spans="7:22" s="186" customFormat="1" x14ac:dyDescent="0.3"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</row>
    <row r="165" spans="7:22" s="186" customFormat="1" x14ac:dyDescent="0.3"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</row>
    <row r="166" spans="7:22" s="186" customFormat="1" x14ac:dyDescent="0.3"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</row>
    <row r="167" spans="7:22" s="186" customFormat="1" x14ac:dyDescent="0.3"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</row>
    <row r="168" spans="7:22" s="186" customFormat="1" x14ac:dyDescent="0.3"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</row>
    <row r="169" spans="7:22" s="186" customFormat="1" x14ac:dyDescent="0.3"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</row>
    <row r="170" spans="7:22" s="186" customFormat="1" x14ac:dyDescent="0.3"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</row>
    <row r="171" spans="7:22" s="186" customFormat="1" x14ac:dyDescent="0.3"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</row>
    <row r="172" spans="7:22" s="186" customFormat="1" x14ac:dyDescent="0.3"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</row>
    <row r="173" spans="7:22" s="186" customFormat="1" x14ac:dyDescent="0.3"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</row>
    <row r="174" spans="7:22" s="186" customFormat="1" x14ac:dyDescent="0.3"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</row>
    <row r="175" spans="7:22" s="186" customFormat="1" x14ac:dyDescent="0.3"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</row>
  </sheetData>
  <pageMargins left="0.7" right="0.7" top="0.75" bottom="0.75" header="0.3" footer="0.3"/>
  <pageSetup scale="1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76"/>
  <sheetViews>
    <sheetView zoomScale="70" zoomScaleNormal="70" workbookViewId="0"/>
  </sheetViews>
  <sheetFormatPr defaultColWidth="9.109375" defaultRowHeight="14.4" x14ac:dyDescent="0.3"/>
  <cols>
    <col min="1" max="1" width="3.77734375" style="186" customWidth="1"/>
    <col min="2" max="2" width="24" bestFit="1" customWidth="1"/>
    <col min="3" max="3" width="31.33203125" customWidth="1"/>
    <col min="4" max="4" width="21.33203125" bestFit="1" customWidth="1"/>
    <col min="5" max="5" width="28" bestFit="1" customWidth="1"/>
    <col min="6" max="6" width="19.88671875" style="31" bestFit="1" customWidth="1"/>
    <col min="7" max="7" width="13.5546875" style="31" customWidth="1"/>
    <col min="8" max="8" width="14.88671875" style="31" customWidth="1"/>
    <col min="9" max="9" width="17.44140625" style="31" bestFit="1" customWidth="1"/>
    <col min="10" max="10" width="20" style="31" customWidth="1"/>
    <col min="11" max="11" width="19.44140625" style="31" customWidth="1"/>
    <col min="12" max="12" width="6.109375" style="31" customWidth="1"/>
    <col min="13" max="13" width="5.44140625" style="31" customWidth="1"/>
    <col min="14" max="14" width="4.88671875" style="31" customWidth="1"/>
    <col min="15" max="15" width="19.6640625" style="31" customWidth="1"/>
    <col min="16" max="16" width="22.44140625" style="31" customWidth="1"/>
    <col min="17" max="17" width="6.109375" style="31" customWidth="1"/>
    <col min="18" max="18" width="5.44140625" style="31" customWidth="1"/>
    <col min="19" max="19" width="28.109375" style="31" customWidth="1"/>
    <col min="20" max="20" width="28.88671875" style="31" customWidth="1"/>
    <col min="21" max="21" width="29" style="31" customWidth="1"/>
    <col min="22" max="22" width="6.109375" customWidth="1"/>
    <col min="23" max="23" width="5.33203125" customWidth="1"/>
    <col min="24" max="24" width="4.88671875" customWidth="1"/>
    <col min="25" max="26" width="9.109375" style="186" customWidth="1"/>
    <col min="27" max="33" width="9.109375" style="186"/>
  </cols>
  <sheetData>
    <row r="1" spans="1:33" s="186" customFormat="1" x14ac:dyDescent="0.3">
      <c r="F1" s="188"/>
      <c r="G1" s="188"/>
      <c r="H1" s="188"/>
      <c r="I1" s="188"/>
      <c r="J1" s="188"/>
    </row>
    <row r="2" spans="1:33" s="186" customFormat="1" x14ac:dyDescent="0.3">
      <c r="F2" s="188"/>
      <c r="G2" s="188"/>
      <c r="H2" s="188"/>
      <c r="I2" s="188"/>
      <c r="J2" s="188"/>
    </row>
    <row r="3" spans="1:33" s="186" customFormat="1" x14ac:dyDescent="0.3">
      <c r="F3" s="188"/>
      <c r="G3" s="188"/>
      <c r="H3" s="188"/>
      <c r="I3" s="188"/>
      <c r="J3" s="188"/>
    </row>
    <row r="4" spans="1:33" s="186" customFormat="1" x14ac:dyDescent="0.3">
      <c r="F4" s="188"/>
      <c r="G4" s="188"/>
      <c r="H4" s="188"/>
      <c r="I4" s="188"/>
      <c r="J4" s="188"/>
    </row>
    <row r="5" spans="1:33" s="47" customFormat="1" ht="23.4" x14ac:dyDescent="0.45">
      <c r="A5" s="186"/>
      <c r="B5" s="50" t="s">
        <v>85</v>
      </c>
      <c r="C5" s="43" t="s">
        <v>86</v>
      </c>
      <c r="D5" s="43"/>
      <c r="E5" s="44"/>
      <c r="F5" s="44"/>
      <c r="G5" s="45"/>
      <c r="H5" s="45"/>
      <c r="I5" s="45"/>
      <c r="J5" s="45"/>
      <c r="K5" s="44"/>
      <c r="L5" s="44"/>
      <c r="M5" s="44"/>
      <c r="N5" s="44"/>
      <c r="O5" s="44"/>
      <c r="P5" s="44"/>
      <c r="Q5" s="44"/>
      <c r="R5" s="44"/>
      <c r="S5" s="44"/>
      <c r="T5" s="44"/>
      <c r="Y5" s="186"/>
      <c r="Z5" s="186"/>
      <c r="AA5" s="186"/>
      <c r="AB5" s="186"/>
      <c r="AC5" s="186"/>
      <c r="AD5" s="186"/>
      <c r="AE5" s="186"/>
      <c r="AF5" s="186"/>
      <c r="AG5" s="186"/>
    </row>
    <row r="6" spans="1:33" s="49" customFormat="1" ht="23.4" x14ac:dyDescent="0.45">
      <c r="A6" s="189"/>
      <c r="B6" s="50" t="s">
        <v>88</v>
      </c>
      <c r="C6" s="43" t="s">
        <v>66</v>
      </c>
      <c r="D6" s="43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Y6" s="189"/>
      <c r="Z6" s="189"/>
      <c r="AA6" s="189"/>
      <c r="AB6" s="189"/>
      <c r="AC6" s="189"/>
      <c r="AD6" s="189"/>
      <c r="AE6" s="189"/>
      <c r="AF6" s="189"/>
      <c r="AG6" s="189"/>
    </row>
    <row r="7" spans="1:33" s="49" customFormat="1" x14ac:dyDescent="0.3">
      <c r="A7" s="189"/>
      <c r="B7" s="51" t="s">
        <v>81</v>
      </c>
      <c r="C7" s="52" t="s">
        <v>87</v>
      </c>
      <c r="D7" s="52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Y7" s="189"/>
      <c r="Z7" s="189"/>
      <c r="AA7" s="189"/>
      <c r="AB7" s="189"/>
      <c r="AC7" s="189"/>
      <c r="AD7" s="189"/>
      <c r="AE7" s="189"/>
      <c r="AF7" s="189"/>
      <c r="AG7" s="189"/>
    </row>
    <row r="8" spans="1:33" s="49" customFormat="1" x14ac:dyDescent="0.3">
      <c r="A8" s="189"/>
      <c r="B8" s="51" t="s">
        <v>64</v>
      </c>
      <c r="C8" s="60">
        <v>40586</v>
      </c>
      <c r="D8" s="60"/>
      <c r="E8" s="59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Y8" s="189"/>
      <c r="Z8" s="189"/>
      <c r="AA8" s="189"/>
      <c r="AB8" s="189"/>
      <c r="AC8" s="189"/>
      <c r="AD8" s="189"/>
      <c r="AE8" s="189"/>
      <c r="AF8" s="189"/>
      <c r="AG8" s="189"/>
    </row>
    <row r="9" spans="1:33" s="49" customFormat="1" x14ac:dyDescent="0.3">
      <c r="A9" s="189"/>
      <c r="B9" s="51" t="s">
        <v>65</v>
      </c>
      <c r="C9" s="60">
        <v>40588.999988425923</v>
      </c>
      <c r="D9" s="60"/>
      <c r="E9" s="59"/>
      <c r="F9" s="46"/>
      <c r="G9" s="57"/>
      <c r="H9" s="46"/>
      <c r="I9" s="46"/>
      <c r="J9" s="46"/>
      <c r="K9" s="46"/>
      <c r="L9" s="46"/>
      <c r="M9" s="46"/>
      <c r="N9" s="46"/>
      <c r="O9" s="199"/>
      <c r="P9" s="46"/>
      <c r="Q9" s="46"/>
      <c r="R9" s="46"/>
      <c r="S9" s="46"/>
      <c r="T9" s="199" t="s">
        <v>89</v>
      </c>
      <c r="Y9" s="189"/>
      <c r="Z9" s="189"/>
      <c r="AA9" s="189"/>
      <c r="AB9" s="189"/>
      <c r="AC9" s="189"/>
      <c r="AD9" s="189"/>
      <c r="AE9" s="189"/>
      <c r="AF9" s="189"/>
      <c r="AG9" s="189"/>
    </row>
    <row r="10" spans="1:33" s="186" customFormat="1" x14ac:dyDescent="0.3"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</row>
    <row r="11" spans="1:33" s="186" customFormat="1" x14ac:dyDescent="0.3">
      <c r="C11" s="193"/>
      <c r="D11" s="193"/>
      <c r="E11" s="197"/>
      <c r="F11" s="198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</row>
    <row r="12" spans="1:33" s="186" customFormat="1" ht="15" thickBot="1" x14ac:dyDescent="0.35">
      <c r="C12" s="193"/>
      <c r="D12" s="193"/>
      <c r="E12" s="197"/>
      <c r="F12" s="198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W12" s="196"/>
      <c r="X12" s="196"/>
      <c r="Y12" s="196"/>
      <c r="Z12" s="196"/>
    </row>
    <row r="13" spans="1:33" x14ac:dyDescent="0.3">
      <c r="B13" s="184" t="s">
        <v>98</v>
      </c>
      <c r="C13" s="185" t="s">
        <v>99</v>
      </c>
      <c r="D13" s="65" t="s">
        <v>107</v>
      </c>
      <c r="E13" s="71" t="s">
        <v>83</v>
      </c>
      <c r="F13" s="71" t="s">
        <v>0</v>
      </c>
      <c r="G13" s="71" t="s">
        <v>16</v>
      </c>
      <c r="H13" s="71" t="s">
        <v>1</v>
      </c>
      <c r="I13" s="71" t="s">
        <v>10</v>
      </c>
      <c r="J13" s="120" t="s">
        <v>8</v>
      </c>
      <c r="K13" s="71" t="s">
        <v>9</v>
      </c>
      <c r="L13" s="71" t="s">
        <v>12</v>
      </c>
      <c r="M13" s="71" t="s">
        <v>13</v>
      </c>
      <c r="N13" s="71" t="s">
        <v>14</v>
      </c>
      <c r="O13" s="71" t="s">
        <v>11</v>
      </c>
      <c r="P13" s="120" t="s">
        <v>15</v>
      </c>
      <c r="Q13" s="71" t="s">
        <v>12</v>
      </c>
      <c r="R13" s="71" t="s">
        <v>13</v>
      </c>
      <c r="S13" s="71" t="s">
        <v>14</v>
      </c>
      <c r="T13" s="72" t="s">
        <v>143</v>
      </c>
      <c r="U13" t="s">
        <v>17</v>
      </c>
      <c r="V13" t="s">
        <v>12</v>
      </c>
      <c r="W13" t="s">
        <v>13</v>
      </c>
      <c r="X13" t="s">
        <v>14</v>
      </c>
      <c r="Y13" s="265"/>
    </row>
    <row r="14" spans="1:33" x14ac:dyDescent="0.3">
      <c r="B14" s="117" t="s">
        <v>18</v>
      </c>
      <c r="C14" s="3" t="s">
        <v>28</v>
      </c>
      <c r="D14" s="3" t="s">
        <v>108</v>
      </c>
      <c r="E14" s="93">
        <f ca="1">(RANDBETWEEN(1.1,2))*F14</f>
        <v>7654774</v>
      </c>
      <c r="F14" s="93">
        <v>3827387</v>
      </c>
      <c r="G14" s="94">
        <f t="shared" ref="G14:G38" si="0">F14/H14</f>
        <v>11.859114823788955</v>
      </c>
      <c r="H14" s="93">
        <v>322738</v>
      </c>
      <c r="I14" s="95" t="str">
        <f t="shared" ref="I14:I21" si="1">CONCATENATE(INT(L14),":",INT(M14),":", INT(N14))</f>
        <v>29343:18:1</v>
      </c>
      <c r="J14" s="133">
        <f>0.46*F14</f>
        <v>1760598.02</v>
      </c>
      <c r="K14" s="96">
        <f>J14*60</f>
        <v>105635881.2</v>
      </c>
      <c r="L14" s="96">
        <f>INT(K14/3600)</f>
        <v>29343</v>
      </c>
      <c r="M14" s="96">
        <f>INT(MOD(K14,3600)/60)</f>
        <v>18</v>
      </c>
      <c r="N14" s="96">
        <f xml:space="preserve"> MOD(MOD(K14, 3600),60)</f>
        <v>1.2000000029802322</v>
      </c>
      <c r="O14" s="95" t="str">
        <f t="shared" ref="O14:O39" si="2">CONCATENATE(INT(Q14),":",INT(R14),":", INT(S14))</f>
        <v>0:0:27</v>
      </c>
      <c r="P14" s="133">
        <f>K14/F14</f>
        <v>27.6</v>
      </c>
      <c r="Q14" s="96">
        <f>INT(P14/3600)</f>
        <v>0</v>
      </c>
      <c r="R14" s="96">
        <f>INT(MOD(P14,3600)/60)</f>
        <v>0</v>
      </c>
      <c r="S14" s="96">
        <f xml:space="preserve"> MOD(MOD(P14, 3600),60)</f>
        <v>27.6</v>
      </c>
      <c r="T14" s="97" t="str">
        <f>CONCATENATE(INT(V14),":",INT(W14),":", INT(X14))</f>
        <v>0:5:27</v>
      </c>
      <c r="U14" s="1">
        <f>K14/H14</f>
        <v>327.3115691365752</v>
      </c>
      <c r="V14" s="1">
        <f>INT(U14/3600)</f>
        <v>0</v>
      </c>
      <c r="W14" s="1">
        <f>INT(MOD(U14,3600)/60)</f>
        <v>5</v>
      </c>
      <c r="X14" s="1">
        <f xml:space="preserve"> MOD(MOD(U14, 3600),60)</f>
        <v>27.311569136575201</v>
      </c>
      <c r="Y14" s="265"/>
    </row>
    <row r="15" spans="1:33" x14ac:dyDescent="0.3">
      <c r="B15" s="76"/>
      <c r="C15" s="121" t="s">
        <v>70</v>
      </c>
      <c r="D15" s="121"/>
      <c r="E15" s="125">
        <f ca="1">E14 / RANDBETWEEN(2,3)</f>
        <v>3827387</v>
      </c>
      <c r="F15" s="125">
        <f ca="1">F14 / RANDBETWEEN(2,3)</f>
        <v>1275795.6666666667</v>
      </c>
      <c r="G15" s="129">
        <f t="shared" ca="1" si="0"/>
        <v>11.859114823788957</v>
      </c>
      <c r="H15" s="125">
        <f ca="1">H14 / RANDBETWEEN(2,3)</f>
        <v>107579.33333333333</v>
      </c>
      <c r="I15" s="136" t="str">
        <f t="shared" ca="1" si="1"/>
        <v>14671:6:0</v>
      </c>
      <c r="J15" s="77">
        <f ca="1">J14 / RANDBETWEEN(2,3)</f>
        <v>880299.01</v>
      </c>
      <c r="K15" s="77">
        <f ca="1">K14 / RANDBETWEEN(2,3)</f>
        <v>35211960.399999999</v>
      </c>
      <c r="L15" s="77">
        <f ca="1">L14 / RANDBETWEEN(2,3)</f>
        <v>14671.5</v>
      </c>
      <c r="M15" s="77">
        <f ca="1">M14 / RANDBETWEEN(2,3)</f>
        <v>6</v>
      </c>
      <c r="N15" s="77">
        <f ca="1">N14 / RANDBETWEEN(2,3)</f>
        <v>0.40000000099341076</v>
      </c>
      <c r="O15" s="141" t="str">
        <f t="shared" ca="1" si="2"/>
        <v>0:0:9</v>
      </c>
      <c r="P15" s="77">
        <f ca="1">P14 / RANDBETWEEN(2,3)</f>
        <v>13.8</v>
      </c>
      <c r="Q15" s="77">
        <f ca="1">Q14 / RANDBETWEEN(2,3)</f>
        <v>0</v>
      </c>
      <c r="R15" s="77">
        <f ca="1">R14 / RANDBETWEEN(2,3)</f>
        <v>0</v>
      </c>
      <c r="S15" s="77">
        <f ca="1">S14 / RANDBETWEEN(2,3)</f>
        <v>9.2000000000000011</v>
      </c>
      <c r="T15" s="78" t="str">
        <f ca="1">CONCATENATE(INT(V15),":",INT(W15),":", INT(X15))</f>
        <v>0:1:13</v>
      </c>
      <c r="U15" s="77">
        <f ca="1">U14 / RANDBETWEEN(2,3)</f>
        <v>163.6557845682876</v>
      </c>
      <c r="V15" s="77">
        <f ca="1">V14 / RANDBETWEEN(2,3)</f>
        <v>0</v>
      </c>
      <c r="W15" s="77">
        <f ca="1">W14 / RANDBETWEEN(2,3)</f>
        <v>1.6666666666666667</v>
      </c>
      <c r="X15" s="77">
        <f ca="1">X14 / RANDBETWEEN(2,3)</f>
        <v>13.655784568287601</v>
      </c>
      <c r="Y15" s="265"/>
    </row>
    <row r="16" spans="1:33" ht="15" thickBot="1" x14ac:dyDescent="0.35">
      <c r="B16" s="86"/>
      <c r="C16" s="122" t="s">
        <v>71</v>
      </c>
      <c r="D16" s="122"/>
      <c r="E16" s="126">
        <f ca="1">E14-E15</f>
        <v>3827387</v>
      </c>
      <c r="F16" s="126">
        <f ca="1">F14-F15</f>
        <v>2551591.333333333</v>
      </c>
      <c r="G16" s="130">
        <f t="shared" ca="1" si="0"/>
        <v>11.859114823788953</v>
      </c>
      <c r="H16" s="126">
        <f ca="1">H14-H15</f>
        <v>215158.66666666669</v>
      </c>
      <c r="I16" s="137" t="str">
        <f t="shared" ca="1" si="1"/>
        <v>14671:12:0</v>
      </c>
      <c r="J16" s="87">
        <f ca="1">J14-J15</f>
        <v>880299.01</v>
      </c>
      <c r="K16" s="87">
        <f ca="1">K14-K15</f>
        <v>70423920.800000012</v>
      </c>
      <c r="L16" s="87">
        <f ca="1">L14-L15</f>
        <v>14671.5</v>
      </c>
      <c r="M16" s="87">
        <f ca="1">M14-M15</f>
        <v>12</v>
      </c>
      <c r="N16" s="87">
        <f ca="1">N14-N15</f>
        <v>0.80000000198682142</v>
      </c>
      <c r="O16" s="142" t="str">
        <f t="shared" ca="1" si="2"/>
        <v>0:0:18</v>
      </c>
      <c r="P16" s="87">
        <f ca="1">P14-P15</f>
        <v>13.8</v>
      </c>
      <c r="Q16" s="87">
        <f ca="1">Q14-Q15</f>
        <v>0</v>
      </c>
      <c r="R16" s="87">
        <f ca="1">R14-R15</f>
        <v>0</v>
      </c>
      <c r="S16" s="87">
        <f ca="1">S14-S15</f>
        <v>18.399999999999999</v>
      </c>
      <c r="T16" s="88" t="str">
        <f ca="1">CONCATENATE(INT(V16),":",INT(W16),":", INT(X16))</f>
        <v>0:3:13</v>
      </c>
      <c r="U16" s="79">
        <f ca="1">U14-U15</f>
        <v>163.6557845682876</v>
      </c>
      <c r="V16" s="79">
        <f ca="1">V14-V15</f>
        <v>0</v>
      </c>
      <c r="W16" s="79">
        <f ca="1">W14-W15</f>
        <v>3.333333333333333</v>
      </c>
      <c r="X16" s="79">
        <f ca="1">X14-X15</f>
        <v>13.655784568287601</v>
      </c>
      <c r="Y16" s="265"/>
    </row>
    <row r="17" spans="2:25" ht="15" thickTop="1" x14ac:dyDescent="0.3">
      <c r="B17" s="118" t="s">
        <v>19</v>
      </c>
      <c r="C17" s="98" t="s">
        <v>29</v>
      </c>
      <c r="D17" s="98" t="s">
        <v>109</v>
      </c>
      <c r="E17" s="99">
        <f ca="1">(RANDBETWEEN(1.1,2))*F17</f>
        <v>1654532</v>
      </c>
      <c r="F17" s="99">
        <v>827266</v>
      </c>
      <c r="G17" s="100">
        <f t="shared" si="0"/>
        <v>11.814035187935565</v>
      </c>
      <c r="H17" s="99">
        <v>70024</v>
      </c>
      <c r="I17" s="101" t="str">
        <f t="shared" si="1"/>
        <v>3446:56:30</v>
      </c>
      <c r="J17" s="134">
        <f>0.25*F17</f>
        <v>206816.5</v>
      </c>
      <c r="K17" s="102">
        <f>J17*60</f>
        <v>12408990</v>
      </c>
      <c r="L17" s="102">
        <f>INT(K17/3600)</f>
        <v>3446</v>
      </c>
      <c r="M17" s="102">
        <f>INT(MOD(K17,3600)/60)</f>
        <v>56</v>
      </c>
      <c r="N17" s="102">
        <f xml:space="preserve"> MOD(MOD(K17, 3600),60)</f>
        <v>30</v>
      </c>
      <c r="O17" s="101" t="str">
        <f t="shared" si="2"/>
        <v>0:0:15</v>
      </c>
      <c r="P17" s="134">
        <f>K17/F17</f>
        <v>15</v>
      </c>
      <c r="Q17" s="102">
        <f>INT(P17/3600)</f>
        <v>0</v>
      </c>
      <c r="R17" s="102">
        <f>INT(MOD(P17,3600)/60)</f>
        <v>0</v>
      </c>
      <c r="S17" s="102">
        <f xml:space="preserve"> MOD(MOD(P17, 3600),60)</f>
        <v>15</v>
      </c>
      <c r="T17" s="103" t="str">
        <f t="shared" ref="T17:T39" si="3">CONCATENATE(INT(V17),":",INT(W17),":", INT(X17))</f>
        <v>0:2:57</v>
      </c>
      <c r="U17" s="1">
        <f>K17/H17</f>
        <v>177.21052781903347</v>
      </c>
      <c r="V17" s="1">
        <f>INT(U17/3600)</f>
        <v>0</v>
      </c>
      <c r="W17" s="1">
        <f>INT(MOD(U17,3600)/60)</f>
        <v>2</v>
      </c>
      <c r="X17" s="1">
        <f xml:space="preserve"> MOD(MOD(U17, 3600),60)</f>
        <v>57.210527819033473</v>
      </c>
      <c r="Y17" s="265"/>
    </row>
    <row r="18" spans="2:25" x14ac:dyDescent="0.3">
      <c r="B18" s="76"/>
      <c r="C18" s="121" t="s">
        <v>70</v>
      </c>
      <c r="D18" s="121"/>
      <c r="E18" s="125">
        <f ca="1">E17 / RANDBETWEEN(2,4)</f>
        <v>413633</v>
      </c>
      <c r="F18" s="125">
        <f ca="1">F17 / RANDBETWEEN(2,4)</f>
        <v>206816.5</v>
      </c>
      <c r="G18" s="129">
        <f t="shared" ca="1" si="0"/>
        <v>8.8605263909516747</v>
      </c>
      <c r="H18" s="125">
        <f ca="1">H17 / RANDBETWEEN(2,4)</f>
        <v>23341.333333333332</v>
      </c>
      <c r="I18" s="136" t="str">
        <f t="shared" ca="1" si="1"/>
        <v>861:28:10</v>
      </c>
      <c r="J18" s="77">
        <f ca="1">J17 / RANDBETWEEN(2,4)</f>
        <v>68938.833333333328</v>
      </c>
      <c r="K18" s="77">
        <f ca="1">K17 / RANDBETWEEN(2,4)</f>
        <v>3102247.5</v>
      </c>
      <c r="L18" s="77">
        <f ca="1">L17 / RANDBETWEEN(2,4)</f>
        <v>861.5</v>
      </c>
      <c r="M18" s="77">
        <f ca="1">M17 / RANDBETWEEN(2,4)</f>
        <v>28</v>
      </c>
      <c r="N18" s="77">
        <f ca="1">N17 / RANDBETWEEN(2,4)</f>
        <v>10</v>
      </c>
      <c r="O18" s="141" t="str">
        <f t="shared" ca="1" si="2"/>
        <v>0:0:7</v>
      </c>
      <c r="P18" s="77">
        <f ca="1">P17 / RANDBETWEEN(2,4)</f>
        <v>7.5</v>
      </c>
      <c r="Q18" s="77">
        <f ca="1">Q17 / RANDBETWEEN(2,4)</f>
        <v>0</v>
      </c>
      <c r="R18" s="77">
        <f ca="1">R17 / RANDBETWEEN(2,4)</f>
        <v>0</v>
      </c>
      <c r="S18" s="77">
        <f ca="1">S17 / RANDBETWEEN(2,4)</f>
        <v>7.5</v>
      </c>
      <c r="T18" s="78" t="str">
        <f ca="1">CONCATENATE(INT(V18),":",INT(W18),":", INT(X18))</f>
        <v>0:0:28</v>
      </c>
      <c r="U18" s="85">
        <f ca="1">U17 / RANDBETWEEN(2,4)</f>
        <v>59.070175939677824</v>
      </c>
      <c r="V18" s="75">
        <f ca="1">V17 / RANDBETWEEN(2,4)</f>
        <v>0</v>
      </c>
      <c r="W18" s="75">
        <f ca="1">W17 / RANDBETWEEN(2,4)</f>
        <v>0.5</v>
      </c>
      <c r="X18" s="263">
        <f ca="1">X17 / RANDBETWEEN(2,4)</f>
        <v>28.605263909516736</v>
      </c>
      <c r="Y18" s="265"/>
    </row>
    <row r="19" spans="2:25" x14ac:dyDescent="0.3">
      <c r="B19" s="83"/>
      <c r="C19" s="123" t="s">
        <v>71</v>
      </c>
      <c r="D19" s="123"/>
      <c r="E19" s="127">
        <f ca="1">(E17-E18) / RANDBETWEEN(2,4)</f>
        <v>413633</v>
      </c>
      <c r="F19" s="127">
        <f ca="1">(F17-F18) / RANDBETWEEN(2,4)</f>
        <v>310224.75</v>
      </c>
      <c r="G19" s="131">
        <f t="shared" ca="1" si="0"/>
        <v>13.290789586427509</v>
      </c>
      <c r="H19" s="127">
        <f ca="1">(H17-H18) / RANDBETWEEN(2,4)</f>
        <v>23341.333333333336</v>
      </c>
      <c r="I19" s="138" t="str">
        <f t="shared" ca="1" si="1"/>
        <v>861:9:5</v>
      </c>
      <c r="J19" s="81">
        <f ca="1">(J17-J18) / RANDBETWEEN(2,4)</f>
        <v>45959.222222222226</v>
      </c>
      <c r="K19" s="81">
        <f ca="1">(K17-K18) / RANDBETWEEN(2,4)</f>
        <v>4653371.25</v>
      </c>
      <c r="L19" s="81">
        <f ca="1">(L17-L18) / RANDBETWEEN(2,4)</f>
        <v>861.5</v>
      </c>
      <c r="M19" s="81">
        <f ca="1">(M17-M18) / RANDBETWEEN(2,4)</f>
        <v>9.3333333333333339</v>
      </c>
      <c r="N19" s="81">
        <f ca="1">(N17-N18) / RANDBETWEEN(2,4)</f>
        <v>5</v>
      </c>
      <c r="O19" s="143" t="str">
        <f t="shared" ca="1" si="2"/>
        <v>0:0:1</v>
      </c>
      <c r="P19" s="81">
        <f ca="1">(P17-P18) / RANDBETWEEN(2,4)</f>
        <v>1.875</v>
      </c>
      <c r="Q19" s="81">
        <f ca="1">(Q17-Q18) / RANDBETWEEN(2,4)</f>
        <v>0</v>
      </c>
      <c r="R19" s="81">
        <f ca="1">(R17-R18) / RANDBETWEEN(2,4)</f>
        <v>0</v>
      </c>
      <c r="S19" s="81">
        <f ca="1">(S17-S18) / RANDBETWEEN(2,4)</f>
        <v>1.875</v>
      </c>
      <c r="T19" s="84" t="str">
        <f ca="1">CONCATENATE(INT(V19),":",INT(W19),":", INT(X19))</f>
        <v>0:0:14</v>
      </c>
      <c r="U19" s="85">
        <f ca="1">(U17-U18) / RANDBETWEEN(2,4)</f>
        <v>39.380117293118552</v>
      </c>
      <c r="V19" s="75">
        <f ca="1">(V17-V18) / RANDBETWEEN(2,4)</f>
        <v>0</v>
      </c>
      <c r="W19" s="75">
        <f ca="1">(W17-W18) / RANDBETWEEN(2,4)</f>
        <v>0.5</v>
      </c>
      <c r="X19" s="263">
        <f ca="1">(X17-X18) / RANDBETWEEN(2,4)</f>
        <v>14.302631954758368</v>
      </c>
      <c r="Y19" s="265"/>
    </row>
    <row r="20" spans="2:25" ht="15" thickBot="1" x14ac:dyDescent="0.35">
      <c r="B20" s="86"/>
      <c r="C20" s="122" t="s">
        <v>72</v>
      </c>
      <c r="D20" s="122"/>
      <c r="E20" s="126">
        <f ca="1">E17 - (E18+E19)</f>
        <v>827266</v>
      </c>
      <c r="F20" s="126">
        <f ca="1">F17 - (F18+F19)</f>
        <v>310224.75</v>
      </c>
      <c r="G20" s="130">
        <f t="shared" ca="1" si="0"/>
        <v>13.290789586427513</v>
      </c>
      <c r="H20" s="126">
        <f ca="1">H17 - (H18+H19)</f>
        <v>23341.333333333328</v>
      </c>
      <c r="I20" s="137" t="str">
        <f t="shared" ca="1" si="1"/>
        <v>1723:18:15</v>
      </c>
      <c r="J20" s="87">
        <f ca="1">J17 - (J18+J19)</f>
        <v>91918.444444444438</v>
      </c>
      <c r="K20" s="87">
        <f ca="1">K17 - (K18+K19)</f>
        <v>4653371.25</v>
      </c>
      <c r="L20" s="87">
        <f ca="1">L17 - (L18+L19)</f>
        <v>1723</v>
      </c>
      <c r="M20" s="87">
        <f ca="1">M17 - (M18+M19)</f>
        <v>18.666666666666664</v>
      </c>
      <c r="N20" s="87">
        <f ca="1">N17 - (N18+N19)</f>
        <v>15</v>
      </c>
      <c r="O20" s="142" t="str">
        <f t="shared" ca="1" si="2"/>
        <v>0:0:5</v>
      </c>
      <c r="P20" s="87">
        <f ca="1">P17 - (P18+P19)</f>
        <v>5.625</v>
      </c>
      <c r="Q20" s="87">
        <f ca="1">Q17 - (Q18+Q19)</f>
        <v>0</v>
      </c>
      <c r="R20" s="87">
        <f ca="1">R17 - (R18+R19)</f>
        <v>0</v>
      </c>
      <c r="S20" s="87">
        <f ca="1">S17 - (S18+S19)</f>
        <v>5.625</v>
      </c>
      <c r="T20" s="88" t="str">
        <f ca="1">CONCATENATE(INT(V20),":",INT(W20),":", INT(X20))</f>
        <v>0:1:14</v>
      </c>
      <c r="U20" s="85">
        <f ca="1">U17 - (U18+U19)</f>
        <v>78.76023458623709</v>
      </c>
      <c r="V20" s="75">
        <f ca="1">V17 - (V18+V19)</f>
        <v>0</v>
      </c>
      <c r="W20" s="75">
        <f ca="1">W17 - (W18+W19)</f>
        <v>1</v>
      </c>
      <c r="X20" s="263">
        <f ca="1">X17 - (X18+X19)</f>
        <v>14.302631954758368</v>
      </c>
      <c r="Y20" s="265"/>
    </row>
    <row r="21" spans="2:25" ht="15" thickTop="1" x14ac:dyDescent="0.3">
      <c r="B21" s="118" t="s">
        <v>20</v>
      </c>
      <c r="C21" s="98" t="s">
        <v>30</v>
      </c>
      <c r="D21" s="98" t="s">
        <v>110</v>
      </c>
      <c r="E21" s="99">
        <f ca="1">(RANDBETWEEN(1.1,2))*F21</f>
        <v>1473666</v>
      </c>
      <c r="F21" s="99">
        <v>736833</v>
      </c>
      <c r="G21" s="100">
        <f t="shared" si="0"/>
        <v>10.522878523892491</v>
      </c>
      <c r="H21" s="99">
        <v>70022</v>
      </c>
      <c r="I21" s="101" t="str">
        <f t="shared" si="1"/>
        <v>2456:6:36</v>
      </c>
      <c r="J21" s="134">
        <f>0.2*F21</f>
        <v>147366.6</v>
      </c>
      <c r="K21" s="102">
        <f>J21*60</f>
        <v>8841996</v>
      </c>
      <c r="L21" s="102">
        <f>INT(K21/3600)</f>
        <v>2456</v>
      </c>
      <c r="M21" s="102">
        <f>INT(MOD(K21,3600)/60)</f>
        <v>6</v>
      </c>
      <c r="N21" s="102">
        <f xml:space="preserve"> MOD(MOD(K21, 3600),60)</f>
        <v>36</v>
      </c>
      <c r="O21" s="101" t="str">
        <f t="shared" si="2"/>
        <v>0:0:12</v>
      </c>
      <c r="P21" s="134">
        <f>K21/F21</f>
        <v>12</v>
      </c>
      <c r="Q21" s="102">
        <f>INT(P21/3600)</f>
        <v>0</v>
      </c>
      <c r="R21" s="102">
        <f>INT(MOD(P21,3600)/60)</f>
        <v>0</v>
      </c>
      <c r="S21" s="102">
        <f xml:space="preserve"> MOD(MOD(P21, 3600),60)</f>
        <v>12</v>
      </c>
      <c r="T21" s="103" t="str">
        <f t="shared" si="3"/>
        <v>0:2:6</v>
      </c>
      <c r="U21" s="1">
        <f>K21/H21</f>
        <v>126.27454228670989</v>
      </c>
      <c r="V21" s="1">
        <f>INT(U21/3600)</f>
        <v>0</v>
      </c>
      <c r="W21" s="1">
        <f>INT(MOD(U21,3600)/60)</f>
        <v>2</v>
      </c>
      <c r="X21" s="1">
        <f xml:space="preserve"> MOD(MOD(U21, 3600),60)</f>
        <v>6.2745422867098881</v>
      </c>
      <c r="Y21" s="265"/>
    </row>
    <row r="22" spans="2:25" ht="15" thickBot="1" x14ac:dyDescent="0.35">
      <c r="B22" s="89"/>
      <c r="C22" s="124" t="s">
        <v>70</v>
      </c>
      <c r="D22" s="124"/>
      <c r="E22" s="128">
        <f ca="1">E21</f>
        <v>1473666</v>
      </c>
      <c r="F22" s="128">
        <f>F21</f>
        <v>736833</v>
      </c>
      <c r="G22" s="132">
        <f t="shared" si="0"/>
        <v>10.522878523892491</v>
      </c>
      <c r="H22" s="128">
        <f>H21</f>
        <v>70022</v>
      </c>
      <c r="I22" s="128" t="str">
        <f t="shared" ref="I22:X22" si="4">I21</f>
        <v>2456:6:36</v>
      </c>
      <c r="J22" s="90">
        <f t="shared" si="4"/>
        <v>147366.6</v>
      </c>
      <c r="K22" s="90">
        <f t="shared" si="4"/>
        <v>8841996</v>
      </c>
      <c r="L22" s="90">
        <f t="shared" si="4"/>
        <v>2456</v>
      </c>
      <c r="M22" s="90">
        <f t="shared" si="4"/>
        <v>6</v>
      </c>
      <c r="N22" s="90">
        <f t="shared" si="4"/>
        <v>36</v>
      </c>
      <c r="O22" s="144" t="str">
        <f t="shared" si="4"/>
        <v>0:0:12</v>
      </c>
      <c r="P22" s="90">
        <f t="shared" si="4"/>
        <v>12</v>
      </c>
      <c r="Q22" s="90">
        <f t="shared" si="4"/>
        <v>0</v>
      </c>
      <c r="R22" s="90">
        <f t="shared" si="4"/>
        <v>0</v>
      </c>
      <c r="S22" s="90">
        <f t="shared" si="4"/>
        <v>12</v>
      </c>
      <c r="T22" s="91" t="str">
        <f t="shared" si="4"/>
        <v>0:2:6</v>
      </c>
      <c r="U22" s="82">
        <f t="shared" si="4"/>
        <v>126.27454228670989</v>
      </c>
      <c r="V22" s="38">
        <f t="shared" si="4"/>
        <v>0</v>
      </c>
      <c r="W22" s="38">
        <f t="shared" si="4"/>
        <v>2</v>
      </c>
      <c r="X22" s="264">
        <f t="shared" si="4"/>
        <v>6.2745422867098881</v>
      </c>
      <c r="Y22" s="265"/>
    </row>
    <row r="23" spans="2:25" ht="15" thickTop="1" x14ac:dyDescent="0.3">
      <c r="B23" s="118" t="s">
        <v>21</v>
      </c>
      <c r="C23" s="98" t="s">
        <v>31</v>
      </c>
      <c r="D23" s="98" t="s">
        <v>111</v>
      </c>
      <c r="E23" s="99">
        <f ca="1">(RANDBETWEEN(1.1,2))*F23</f>
        <v>907688</v>
      </c>
      <c r="F23" s="99">
        <v>453844</v>
      </c>
      <c r="G23" s="100">
        <f t="shared" si="0"/>
        <v>2.1702355562781532</v>
      </c>
      <c r="H23" s="99">
        <v>209122</v>
      </c>
      <c r="I23" s="101" t="str">
        <f t="shared" ref="I23:I39" si="5">CONCATENATE(INT(L23),":",INT(M23),":", INT(N23))</f>
        <v>983:19:43</v>
      </c>
      <c r="J23" s="134">
        <f>0.13*F23</f>
        <v>58999.72</v>
      </c>
      <c r="K23" s="102">
        <f>J23*60</f>
        <v>3539983.2</v>
      </c>
      <c r="L23" s="102">
        <f>INT(K23/3600)</f>
        <v>983</v>
      </c>
      <c r="M23" s="102">
        <f>INT(MOD(K23,3600)/60)</f>
        <v>19</v>
      </c>
      <c r="N23" s="102">
        <f xml:space="preserve"> MOD(MOD(K23, 3600),60)</f>
        <v>43.200000000186265</v>
      </c>
      <c r="O23" s="101" t="str">
        <f t="shared" si="2"/>
        <v>0:0:7</v>
      </c>
      <c r="P23" s="134">
        <f>K23/F23</f>
        <v>7.8000000000000007</v>
      </c>
      <c r="Q23" s="102">
        <f>INT(P23/3600)</f>
        <v>0</v>
      </c>
      <c r="R23" s="102">
        <f>INT(MOD(P23,3600)/60)</f>
        <v>0</v>
      </c>
      <c r="S23" s="102">
        <f xml:space="preserve"> MOD(MOD(P23, 3600),60)</f>
        <v>7.8000000000000007</v>
      </c>
      <c r="T23" s="103" t="str">
        <f t="shared" si="3"/>
        <v>0:0:16</v>
      </c>
      <c r="U23" s="1">
        <f>K23/H23</f>
        <v>16.927837338969599</v>
      </c>
      <c r="V23" s="1">
        <f>INT(U23/3600)</f>
        <v>0</v>
      </c>
      <c r="W23" s="1">
        <f>INT(MOD(U23,3600)/60)</f>
        <v>0</v>
      </c>
      <c r="X23" s="1">
        <f xml:space="preserve"> MOD(MOD(U23, 3600),60)</f>
        <v>16.927837338969599</v>
      </c>
      <c r="Y23" s="265"/>
    </row>
    <row r="24" spans="2:25" ht="15" thickBot="1" x14ac:dyDescent="0.35">
      <c r="B24" s="89"/>
      <c r="C24" s="124" t="s">
        <v>70</v>
      </c>
      <c r="D24" s="124"/>
      <c r="E24" s="128">
        <f ca="1">E23</f>
        <v>907688</v>
      </c>
      <c r="F24" s="128">
        <f>F23</f>
        <v>453844</v>
      </c>
      <c r="G24" s="132">
        <f t="shared" si="0"/>
        <v>2.1702355562781532</v>
      </c>
      <c r="H24" s="128">
        <f>H23</f>
        <v>209122</v>
      </c>
      <c r="I24" s="139" t="str">
        <f t="shared" si="5"/>
        <v>983:19:43</v>
      </c>
      <c r="J24" s="90">
        <f>J23</f>
        <v>58999.72</v>
      </c>
      <c r="K24" s="90">
        <f>K23</f>
        <v>3539983.2</v>
      </c>
      <c r="L24" s="90">
        <f>L23</f>
        <v>983</v>
      </c>
      <c r="M24" s="90">
        <f t="shared" ref="M24:X24" si="6">M23</f>
        <v>19</v>
      </c>
      <c r="N24" s="90">
        <f t="shared" si="6"/>
        <v>43.200000000186265</v>
      </c>
      <c r="O24" s="144" t="str">
        <f t="shared" si="6"/>
        <v>0:0:7</v>
      </c>
      <c r="P24" s="90">
        <f t="shared" si="6"/>
        <v>7.8000000000000007</v>
      </c>
      <c r="Q24" s="90">
        <f t="shared" si="6"/>
        <v>0</v>
      </c>
      <c r="R24" s="90">
        <f t="shared" si="6"/>
        <v>0</v>
      </c>
      <c r="S24" s="90">
        <f t="shared" si="6"/>
        <v>7.8000000000000007</v>
      </c>
      <c r="T24" s="91" t="str">
        <f t="shared" si="6"/>
        <v>0:0:16</v>
      </c>
      <c r="U24" s="82">
        <f t="shared" si="6"/>
        <v>16.927837338969599</v>
      </c>
      <c r="V24" s="38">
        <f t="shared" si="6"/>
        <v>0</v>
      </c>
      <c r="W24" s="38">
        <f t="shared" si="6"/>
        <v>0</v>
      </c>
      <c r="X24" s="264">
        <f t="shared" si="6"/>
        <v>16.927837338969599</v>
      </c>
      <c r="Y24" s="265"/>
    </row>
    <row r="25" spans="2:25" ht="15" thickTop="1" x14ac:dyDescent="0.3">
      <c r="B25" s="118" t="s">
        <v>22</v>
      </c>
      <c r="C25" s="98" t="s">
        <v>32</v>
      </c>
      <c r="D25" s="98" t="s">
        <v>112</v>
      </c>
      <c r="E25" s="99">
        <f ca="1">(RANDBETWEEN(1.1,2))*F25</f>
        <v>3794916</v>
      </c>
      <c r="F25" s="99">
        <v>1897458</v>
      </c>
      <c r="G25" s="100">
        <f t="shared" si="0"/>
        <v>6.271655456213125</v>
      </c>
      <c r="H25" s="99">
        <v>302545</v>
      </c>
      <c r="I25" s="101" t="str">
        <f t="shared" si="5"/>
        <v>12333:28:37</v>
      </c>
      <c r="J25" s="134">
        <f>0.39*F25</f>
        <v>740008.62</v>
      </c>
      <c r="K25" s="102">
        <f>J25*60</f>
        <v>44400517.200000003</v>
      </c>
      <c r="L25" s="102">
        <f>INT(K25/3600)</f>
        <v>12333</v>
      </c>
      <c r="M25" s="102">
        <f>INT(MOD(K25,3600)/60)</f>
        <v>28</v>
      </c>
      <c r="N25" s="102">
        <f xml:space="preserve"> MOD(MOD(K25, 3600),60)</f>
        <v>37.200000002980232</v>
      </c>
      <c r="O25" s="101" t="str">
        <f t="shared" si="2"/>
        <v>0:0:23</v>
      </c>
      <c r="P25" s="134">
        <f>K25/F25</f>
        <v>23.400000000000002</v>
      </c>
      <c r="Q25" s="102">
        <f>INT(P25/3600)</f>
        <v>0</v>
      </c>
      <c r="R25" s="102">
        <f>INT(MOD(P25,3600)/60)</f>
        <v>0</v>
      </c>
      <c r="S25" s="102">
        <f xml:space="preserve"> MOD(MOD(P25, 3600),60)</f>
        <v>23.400000000000002</v>
      </c>
      <c r="T25" s="103" t="str">
        <f t="shared" si="3"/>
        <v>0:2:26</v>
      </c>
      <c r="U25" s="1">
        <f>K25/H25</f>
        <v>146.75673767538714</v>
      </c>
      <c r="V25" s="1">
        <f>INT(U25/3600)</f>
        <v>0</v>
      </c>
      <c r="W25" s="1">
        <f>INT(MOD(U25,3600)/60)</f>
        <v>2</v>
      </c>
      <c r="X25" s="1">
        <f xml:space="preserve"> MOD(MOD(U25, 3600),60)</f>
        <v>26.756737675387143</v>
      </c>
      <c r="Y25" s="265"/>
    </row>
    <row r="26" spans="2:25" x14ac:dyDescent="0.3">
      <c r="B26" s="76"/>
      <c r="C26" s="121" t="s">
        <v>73</v>
      </c>
      <c r="D26" s="121"/>
      <c r="E26" s="125">
        <f ca="1">E25 / RANDBETWEEN(2,4)</f>
        <v>1897458</v>
      </c>
      <c r="F26" s="125">
        <f ca="1">F25 / RANDBETWEEN(2,4)</f>
        <v>474364.5</v>
      </c>
      <c r="G26" s="129">
        <f t="shared" ca="1" si="0"/>
        <v>4.7037415921598438</v>
      </c>
      <c r="H26" s="125">
        <f ca="1">H25 / RANDBETWEEN(2,4)</f>
        <v>100848.33333333333</v>
      </c>
      <c r="I26" s="136" t="str">
        <f t="shared" ca="1" si="5"/>
        <v>6166:14:12</v>
      </c>
      <c r="J26" s="77">
        <f ca="1">J25 / RANDBETWEEN(2,4)</f>
        <v>185002.155</v>
      </c>
      <c r="K26" s="77">
        <f ca="1">K25 / RANDBETWEEN(2,4)</f>
        <v>11100129.300000001</v>
      </c>
      <c r="L26" s="77">
        <f ca="1">L25 / RANDBETWEEN(2,4)</f>
        <v>6166.5</v>
      </c>
      <c r="M26" s="77">
        <f ca="1">M25 / RANDBETWEEN(2,4)</f>
        <v>14</v>
      </c>
      <c r="N26" s="77">
        <f ca="1">N25 / RANDBETWEEN(2,4)</f>
        <v>12.40000000099341</v>
      </c>
      <c r="O26" s="141" t="str">
        <f t="shared" ca="1" si="2"/>
        <v>0:0:11</v>
      </c>
      <c r="P26" s="77">
        <f ca="1">P25 / RANDBETWEEN(2,4)</f>
        <v>7.8000000000000007</v>
      </c>
      <c r="Q26" s="77">
        <f ca="1">Q25 / RANDBETWEEN(2,4)</f>
        <v>0</v>
      </c>
      <c r="R26" s="77">
        <f ca="1">R25 / RANDBETWEEN(2,4)</f>
        <v>0</v>
      </c>
      <c r="S26" s="77">
        <f ca="1">S25 / RANDBETWEEN(2,4)</f>
        <v>11.700000000000001</v>
      </c>
      <c r="T26" s="78" t="str">
        <f t="shared" ca="1" si="3"/>
        <v>0:1:6</v>
      </c>
      <c r="U26" s="85">
        <f ca="1">U25 / RANDBETWEEN(2,4)</f>
        <v>48.918912558462381</v>
      </c>
      <c r="V26" s="75">
        <f ca="1">V25 / RANDBETWEEN(2,4)</f>
        <v>0</v>
      </c>
      <c r="W26" s="75">
        <f ca="1">W25 / RANDBETWEEN(2,4)</f>
        <v>1</v>
      </c>
      <c r="X26" s="263">
        <f ca="1">X25 / RANDBETWEEN(2,4)</f>
        <v>6.6891844188467857</v>
      </c>
      <c r="Y26" s="265"/>
    </row>
    <row r="27" spans="2:25" x14ac:dyDescent="0.3">
      <c r="B27" s="83"/>
      <c r="C27" s="123" t="s">
        <v>74</v>
      </c>
      <c r="D27" s="123"/>
      <c r="E27" s="127">
        <f ca="1">(E25-E26) / RANDBETWEEN(2,4)</f>
        <v>948729</v>
      </c>
      <c r="F27" s="127">
        <f ca="1">(F25-F26) / RANDBETWEEN(2,4)</f>
        <v>355773.375</v>
      </c>
      <c r="G27" s="131">
        <f t="shared" ca="1" si="0"/>
        <v>5.2917092911798234</v>
      </c>
      <c r="H27" s="127">
        <f ca="1">(H25-H26) / RANDBETWEEN(2,4)</f>
        <v>67232.222222222234</v>
      </c>
      <c r="I27" s="138" t="str">
        <f t="shared" ca="1" si="5"/>
        <v>1541:7:8</v>
      </c>
      <c r="J27" s="81">
        <f ca="1">(J25-J26) / RANDBETWEEN(2,4)</f>
        <v>185002.155</v>
      </c>
      <c r="K27" s="81">
        <f ca="1">(K25-K26) / RANDBETWEEN(2,4)</f>
        <v>11100129.300000001</v>
      </c>
      <c r="L27" s="81">
        <f ca="1">(L25-L26) / RANDBETWEEN(2,4)</f>
        <v>1541.625</v>
      </c>
      <c r="M27" s="81">
        <f ca="1">(M25-M26) / RANDBETWEEN(2,4)</f>
        <v>7</v>
      </c>
      <c r="N27" s="81">
        <f ca="1">(N25-N26) / RANDBETWEEN(2,4)</f>
        <v>8.2666666673289413</v>
      </c>
      <c r="O27" s="143" t="str">
        <f t="shared" ca="1" si="2"/>
        <v>0:0:5</v>
      </c>
      <c r="P27" s="81">
        <f ca="1">(P25-P26) / RANDBETWEEN(2,4)</f>
        <v>3.9000000000000004</v>
      </c>
      <c r="Q27" s="81">
        <f ca="1">(Q25-Q26) / RANDBETWEEN(2,4)</f>
        <v>0</v>
      </c>
      <c r="R27" s="81">
        <f ca="1">(R25-R26) / RANDBETWEEN(2,4)</f>
        <v>0</v>
      </c>
      <c r="S27" s="81">
        <f ca="1">(S25-S26) / RANDBETWEEN(2,4)</f>
        <v>5.8500000000000005</v>
      </c>
      <c r="T27" s="84" t="str">
        <f t="shared" ca="1" si="3"/>
        <v>0:0:10</v>
      </c>
      <c r="U27" s="85">
        <f ca="1">(U25-U26) / RANDBETWEEN(2,4)</f>
        <v>32.612608372308252</v>
      </c>
      <c r="V27" s="75">
        <f ca="1">(V25-V26) / RANDBETWEEN(2,4)</f>
        <v>0</v>
      </c>
      <c r="W27" s="75">
        <f ca="1">(W25-W26) / RANDBETWEEN(2,4)</f>
        <v>0.25</v>
      </c>
      <c r="X27" s="263">
        <f ca="1">(X25-X26) / RANDBETWEEN(2,4)</f>
        <v>10.033776628270179</v>
      </c>
      <c r="Y27" s="265"/>
    </row>
    <row r="28" spans="2:25" ht="15" thickBot="1" x14ac:dyDescent="0.35">
      <c r="B28" s="86"/>
      <c r="C28" s="122" t="s">
        <v>129</v>
      </c>
      <c r="D28" s="122"/>
      <c r="E28" s="126">
        <f ca="1">E25 - (E26+E27)</f>
        <v>948729</v>
      </c>
      <c r="F28" s="126">
        <f ca="1">F25 - (F26+F27)</f>
        <v>1067320.125</v>
      </c>
      <c r="G28" s="130">
        <f t="shared" ca="1" si="0"/>
        <v>7.9375639367697373</v>
      </c>
      <c r="H28" s="126">
        <f ca="1">H25 - (H26+H27)</f>
        <v>134464.44444444444</v>
      </c>
      <c r="I28" s="137" t="str">
        <f t="shared" ca="1" si="5"/>
        <v>4624:7:16</v>
      </c>
      <c r="J28" s="87">
        <f ca="1">J25 - (J26+J27)</f>
        <v>370004.31</v>
      </c>
      <c r="K28" s="87">
        <f ca="1">K25 - (K26+K27)</f>
        <v>22200258.600000001</v>
      </c>
      <c r="L28" s="87">
        <f ca="1">L25 - (L26+L27)</f>
        <v>4624.875</v>
      </c>
      <c r="M28" s="87">
        <f ca="1">M25 - (M26+M27)</f>
        <v>7</v>
      </c>
      <c r="N28" s="87">
        <f ca="1">N25 - (N26+N27)</f>
        <v>16.533333334657883</v>
      </c>
      <c r="O28" s="142" t="str">
        <f t="shared" ca="1" si="2"/>
        <v>0:0:5</v>
      </c>
      <c r="P28" s="87">
        <f ca="1">P25 - (P26+P27)</f>
        <v>11.700000000000001</v>
      </c>
      <c r="Q28" s="87">
        <f ca="1">Q25 - (Q26+Q27)</f>
        <v>0</v>
      </c>
      <c r="R28" s="87">
        <f ca="1">R25 - (R26+R27)</f>
        <v>0</v>
      </c>
      <c r="S28" s="87">
        <f ca="1">S25 - (S26+S27)</f>
        <v>5.8500000000000014</v>
      </c>
      <c r="T28" s="88" t="str">
        <f t="shared" ca="1" si="3"/>
        <v>0:0:10</v>
      </c>
      <c r="U28" s="85">
        <f ca="1">U25 - (U26+U27)</f>
        <v>65.225216744616517</v>
      </c>
      <c r="V28" s="75">
        <f ca="1">V25 - (V26+V27)</f>
        <v>0</v>
      </c>
      <c r="W28" s="75">
        <f ca="1">W25 - (W26+W27)</f>
        <v>0.75</v>
      </c>
      <c r="X28" s="263">
        <f ca="1">X25 - (X26+X27)</f>
        <v>10.033776628270179</v>
      </c>
      <c r="Y28" s="265"/>
    </row>
    <row r="29" spans="2:25" ht="15" thickTop="1" x14ac:dyDescent="0.3">
      <c r="B29" s="118" t="s">
        <v>23</v>
      </c>
      <c r="C29" s="98" t="s">
        <v>33</v>
      </c>
      <c r="D29" s="98" t="s">
        <v>113</v>
      </c>
      <c r="E29" s="99">
        <f ca="1">(RANDBETWEEN(1.1,2))*F29</f>
        <v>1000574</v>
      </c>
      <c r="F29" s="99">
        <v>500287</v>
      </c>
      <c r="G29" s="100">
        <f t="shared" si="0"/>
        <v>2.5014349999999999</v>
      </c>
      <c r="H29" s="99">
        <v>200000</v>
      </c>
      <c r="I29" s="101" t="str">
        <f t="shared" si="5"/>
        <v>3502:0:32</v>
      </c>
      <c r="J29" s="134">
        <f>0.42*F29</f>
        <v>210120.53999999998</v>
      </c>
      <c r="K29" s="102">
        <f>J29*60</f>
        <v>12607232.399999999</v>
      </c>
      <c r="L29" s="102">
        <f>INT(K29/3600)</f>
        <v>3502</v>
      </c>
      <c r="M29" s="102">
        <f>INT(MOD(K29,3600)/60)</f>
        <v>0</v>
      </c>
      <c r="N29" s="102">
        <f xml:space="preserve"> MOD(MOD(K29, 3600),60)</f>
        <v>32.399999998509884</v>
      </c>
      <c r="O29" s="101" t="str">
        <f t="shared" si="2"/>
        <v>0:0:25</v>
      </c>
      <c r="P29" s="134">
        <f>K29/F29</f>
        <v>25.199999999999996</v>
      </c>
      <c r="Q29" s="102">
        <f>INT(P29/3600)</f>
        <v>0</v>
      </c>
      <c r="R29" s="102">
        <f>INT(MOD(P29,3600)/60)</f>
        <v>0</v>
      </c>
      <c r="S29" s="102">
        <f xml:space="preserve"> MOD(MOD(P29, 3600),60)</f>
        <v>25.199999999999996</v>
      </c>
      <c r="T29" s="103" t="str">
        <f t="shared" si="3"/>
        <v>0:1:3</v>
      </c>
      <c r="U29" s="1">
        <f>K29/H29</f>
        <v>63.03616199999999</v>
      </c>
      <c r="V29" s="1">
        <f>INT(U29/3600)</f>
        <v>0</v>
      </c>
      <c r="W29" s="1">
        <f>INT(MOD(U29,3600)/60)</f>
        <v>1</v>
      </c>
      <c r="X29" s="1">
        <f xml:space="preserve"> MOD(MOD(U29, 3600),60)</f>
        <v>3.0361619999999903</v>
      </c>
      <c r="Y29" s="265"/>
    </row>
    <row r="30" spans="2:25" ht="15" thickBot="1" x14ac:dyDescent="0.35">
      <c r="B30" s="89"/>
      <c r="C30" s="124" t="s">
        <v>73</v>
      </c>
      <c r="D30" s="124"/>
      <c r="E30" s="128">
        <f ca="1">E29</f>
        <v>1000574</v>
      </c>
      <c r="F30" s="128">
        <f>F29</f>
        <v>500287</v>
      </c>
      <c r="G30" s="132">
        <f t="shared" si="0"/>
        <v>2.5014349999999999</v>
      </c>
      <c r="H30" s="128">
        <f>H29</f>
        <v>200000</v>
      </c>
      <c r="I30" s="139" t="str">
        <f t="shared" si="5"/>
        <v>3502:0:32</v>
      </c>
      <c r="J30" s="90">
        <f>J29</f>
        <v>210120.53999999998</v>
      </c>
      <c r="K30" s="90">
        <f>K29</f>
        <v>12607232.399999999</v>
      </c>
      <c r="L30" s="90">
        <f>L29</f>
        <v>3502</v>
      </c>
      <c r="M30" s="90">
        <f>M29</f>
        <v>0</v>
      </c>
      <c r="N30" s="90">
        <f>N29</f>
        <v>32.399999998509884</v>
      </c>
      <c r="O30" s="145" t="str">
        <f t="shared" si="2"/>
        <v>0:0:25</v>
      </c>
      <c r="P30" s="90">
        <f>P29</f>
        <v>25.199999999999996</v>
      </c>
      <c r="Q30" s="90">
        <f>Q29</f>
        <v>0</v>
      </c>
      <c r="R30" s="90">
        <f>R29</f>
        <v>0</v>
      </c>
      <c r="S30" s="90">
        <f>S29</f>
        <v>25.199999999999996</v>
      </c>
      <c r="T30" s="92" t="str">
        <f t="shared" si="3"/>
        <v>0:1:3</v>
      </c>
      <c r="U30" s="82">
        <f>U29</f>
        <v>63.03616199999999</v>
      </c>
      <c r="V30" s="38">
        <f>V29</f>
        <v>0</v>
      </c>
      <c r="W30" s="38">
        <f>W29</f>
        <v>1</v>
      </c>
      <c r="X30" s="264">
        <f>X29</f>
        <v>3.0361619999999903</v>
      </c>
      <c r="Y30" s="265"/>
    </row>
    <row r="31" spans="2:25" ht="15" thickTop="1" x14ac:dyDescent="0.3">
      <c r="B31" s="118" t="s">
        <v>24</v>
      </c>
      <c r="C31" s="98" t="s">
        <v>34</v>
      </c>
      <c r="D31" s="98" t="s">
        <v>114</v>
      </c>
      <c r="E31" s="99">
        <f ca="1">(RANDBETWEEN(1.1,2))*F31</f>
        <v>997650</v>
      </c>
      <c r="F31" s="99">
        <v>498825</v>
      </c>
      <c r="G31" s="100">
        <f t="shared" si="0"/>
        <v>2.9891776577958615</v>
      </c>
      <c r="H31" s="99">
        <v>166877</v>
      </c>
      <c r="I31" s="101" t="str">
        <f t="shared" si="5"/>
        <v>3741:11:15</v>
      </c>
      <c r="J31" s="134">
        <f>0.45*F31</f>
        <v>224471.25</v>
      </c>
      <c r="K31" s="102">
        <f>J31*60</f>
        <v>13468275</v>
      </c>
      <c r="L31" s="102">
        <f>INT(K31/3600)</f>
        <v>3741</v>
      </c>
      <c r="M31" s="102">
        <f>INT(MOD(K31,3600)/60)</f>
        <v>11</v>
      </c>
      <c r="N31" s="102">
        <f xml:space="preserve"> MOD(MOD(K31, 3600),60)</f>
        <v>15</v>
      </c>
      <c r="O31" s="101" t="str">
        <f t="shared" si="2"/>
        <v>0:0:27</v>
      </c>
      <c r="P31" s="134">
        <f>K31/F31</f>
        <v>27</v>
      </c>
      <c r="Q31" s="102">
        <f>INT(P31/3600)</f>
        <v>0</v>
      </c>
      <c r="R31" s="102">
        <f>INT(MOD(P31,3600)/60)</f>
        <v>0</v>
      </c>
      <c r="S31" s="102">
        <f xml:space="preserve"> MOD(MOD(P31, 3600),60)</f>
        <v>27</v>
      </c>
      <c r="T31" s="103" t="str">
        <f t="shared" si="3"/>
        <v>0:1:20</v>
      </c>
      <c r="U31" s="1">
        <f>K31/H31</f>
        <v>80.707796760488264</v>
      </c>
      <c r="V31" s="1">
        <f>INT(U31/3600)</f>
        <v>0</v>
      </c>
      <c r="W31" s="1">
        <f>INT(MOD(U31,3600)/60)</f>
        <v>1</v>
      </c>
      <c r="X31" s="1">
        <f xml:space="preserve"> MOD(MOD(U31, 3600),60)</f>
        <v>20.707796760488264</v>
      </c>
      <c r="Y31" s="265"/>
    </row>
    <row r="32" spans="2:25" ht="15" thickBot="1" x14ac:dyDescent="0.35">
      <c r="B32" s="89"/>
      <c r="C32" s="124" t="s">
        <v>73</v>
      </c>
      <c r="D32" s="124"/>
      <c r="E32" s="128">
        <f ca="1">E31</f>
        <v>997650</v>
      </c>
      <c r="F32" s="128">
        <f>F31</f>
        <v>498825</v>
      </c>
      <c r="G32" s="132">
        <f t="shared" si="0"/>
        <v>2.9891776577958615</v>
      </c>
      <c r="H32" s="128">
        <f>H31</f>
        <v>166877</v>
      </c>
      <c r="I32" s="139" t="str">
        <f t="shared" si="5"/>
        <v>3741:11:15</v>
      </c>
      <c r="J32" s="90">
        <f>J31</f>
        <v>224471.25</v>
      </c>
      <c r="K32" s="90">
        <f>K31</f>
        <v>13468275</v>
      </c>
      <c r="L32" s="90">
        <f>L31</f>
        <v>3741</v>
      </c>
      <c r="M32" s="90">
        <f>M31</f>
        <v>11</v>
      </c>
      <c r="N32" s="90">
        <f>N31</f>
        <v>15</v>
      </c>
      <c r="O32" s="145" t="str">
        <f t="shared" si="2"/>
        <v>0:0:27</v>
      </c>
      <c r="P32" s="90">
        <f>P31</f>
        <v>27</v>
      </c>
      <c r="Q32" s="90">
        <f>Q31</f>
        <v>0</v>
      </c>
      <c r="R32" s="90">
        <f>R31</f>
        <v>0</v>
      </c>
      <c r="S32" s="90">
        <f>S31</f>
        <v>27</v>
      </c>
      <c r="T32" s="92" t="str">
        <f t="shared" si="3"/>
        <v>0:1:20</v>
      </c>
      <c r="U32" s="82">
        <f>U31</f>
        <v>80.707796760488264</v>
      </c>
      <c r="V32" s="38">
        <f>V31</f>
        <v>0</v>
      </c>
      <c r="W32" s="38">
        <f>W31</f>
        <v>1</v>
      </c>
      <c r="X32" s="264">
        <f>X31</f>
        <v>20.707796760488264</v>
      </c>
      <c r="Y32" s="265"/>
    </row>
    <row r="33" spans="2:25" ht="15" thickTop="1" x14ac:dyDescent="0.3">
      <c r="B33" s="118" t="s">
        <v>25</v>
      </c>
      <c r="C33" s="98" t="s">
        <v>35</v>
      </c>
      <c r="D33" s="98" t="s">
        <v>115</v>
      </c>
      <c r="E33" s="99">
        <f ca="1">(RANDBETWEEN(1.1,2))*F33</f>
        <v>4106402</v>
      </c>
      <c r="F33" s="99">
        <v>2053201</v>
      </c>
      <c r="G33" s="100">
        <f t="shared" si="0"/>
        <v>2.1415618415837452</v>
      </c>
      <c r="H33" s="99">
        <v>958740</v>
      </c>
      <c r="I33" s="101" t="str">
        <f t="shared" si="5"/>
        <v>17110:0:30</v>
      </c>
      <c r="J33" s="134">
        <f>0.5*F33</f>
        <v>1026600.5</v>
      </c>
      <c r="K33" s="102">
        <f>J33*60</f>
        <v>61596030</v>
      </c>
      <c r="L33" s="102">
        <f>INT(K33/3600)</f>
        <v>17110</v>
      </c>
      <c r="M33" s="102">
        <f>INT(MOD(K33,3600)/60)</f>
        <v>0</v>
      </c>
      <c r="N33" s="102">
        <f xml:space="preserve"> MOD(MOD(K33, 3600),60)</f>
        <v>30</v>
      </c>
      <c r="O33" s="101" t="str">
        <f t="shared" si="2"/>
        <v>0:0:30</v>
      </c>
      <c r="P33" s="134">
        <f>K33/F33</f>
        <v>30</v>
      </c>
      <c r="Q33" s="102">
        <f>INT(P33/3600)</f>
        <v>0</v>
      </c>
      <c r="R33" s="102">
        <f>INT(MOD(P33,3600)/60)</f>
        <v>0</v>
      </c>
      <c r="S33" s="102">
        <f xml:space="preserve"> MOD(MOD(P33, 3600),60)</f>
        <v>30</v>
      </c>
      <c r="T33" s="103" t="str">
        <f t="shared" si="3"/>
        <v>0:1:4</v>
      </c>
      <c r="U33" s="1">
        <f>K33/H33</f>
        <v>64.246855247512357</v>
      </c>
      <c r="V33" s="1">
        <f>INT(U33/3600)</f>
        <v>0</v>
      </c>
      <c r="W33" s="1">
        <f>INT(MOD(U33,3600)/60)</f>
        <v>1</v>
      </c>
      <c r="X33" s="1">
        <f xml:space="preserve"> MOD(MOD(U33, 3600),60)</f>
        <v>4.2468552475123573</v>
      </c>
      <c r="Y33" s="265"/>
    </row>
    <row r="34" spans="2:25" ht="15" thickBot="1" x14ac:dyDescent="0.35">
      <c r="B34" s="89"/>
      <c r="C34" s="124" t="s">
        <v>74</v>
      </c>
      <c r="D34" s="124"/>
      <c r="E34" s="128">
        <f ca="1">E33</f>
        <v>4106402</v>
      </c>
      <c r="F34" s="128">
        <f>F33</f>
        <v>2053201</v>
      </c>
      <c r="G34" s="132">
        <f t="shared" si="0"/>
        <v>2.1415618415837452</v>
      </c>
      <c r="H34" s="128">
        <f>H33</f>
        <v>958740</v>
      </c>
      <c r="I34" s="139" t="str">
        <f t="shared" si="5"/>
        <v>17110:0:30</v>
      </c>
      <c r="J34" s="90">
        <f>J33</f>
        <v>1026600.5</v>
      </c>
      <c r="K34" s="90">
        <f>K33</f>
        <v>61596030</v>
      </c>
      <c r="L34" s="90">
        <f>L33</f>
        <v>17110</v>
      </c>
      <c r="M34" s="90">
        <f>M33</f>
        <v>0</v>
      </c>
      <c r="N34" s="90">
        <f>N33</f>
        <v>30</v>
      </c>
      <c r="O34" s="145" t="str">
        <f t="shared" si="2"/>
        <v>0:0:30</v>
      </c>
      <c r="P34" s="90">
        <f>P33</f>
        <v>30</v>
      </c>
      <c r="Q34" s="90">
        <f>Q33</f>
        <v>0</v>
      </c>
      <c r="R34" s="90">
        <f>R33</f>
        <v>0</v>
      </c>
      <c r="S34" s="90">
        <f>S33</f>
        <v>30</v>
      </c>
      <c r="T34" s="92" t="str">
        <f t="shared" si="3"/>
        <v>0:1:4</v>
      </c>
      <c r="U34" s="82">
        <f>U33</f>
        <v>64.246855247512357</v>
      </c>
      <c r="V34" s="38">
        <f>V33</f>
        <v>0</v>
      </c>
      <c r="W34" s="38">
        <f>W33</f>
        <v>1</v>
      </c>
      <c r="X34" s="264">
        <f>X33</f>
        <v>4.2468552475123573</v>
      </c>
      <c r="Y34" s="265"/>
    </row>
    <row r="35" spans="2:25" ht="15" thickTop="1" x14ac:dyDescent="0.3">
      <c r="B35" s="118" t="s">
        <v>26</v>
      </c>
      <c r="C35" s="98" t="s">
        <v>36</v>
      </c>
      <c r="D35" s="98" t="s">
        <v>116</v>
      </c>
      <c r="E35" s="99">
        <f ca="1">(RANDBETWEEN(1.1,2))*F35</f>
        <v>1394910</v>
      </c>
      <c r="F35" s="99">
        <v>697455</v>
      </c>
      <c r="G35" s="100">
        <f t="shared" si="0"/>
        <v>11.517330779265816</v>
      </c>
      <c r="H35" s="99">
        <v>60557</v>
      </c>
      <c r="I35" s="101" t="str">
        <f t="shared" si="5"/>
        <v>5230:54:45</v>
      </c>
      <c r="J35" s="134">
        <f>0.45*F35</f>
        <v>313854.75</v>
      </c>
      <c r="K35" s="102">
        <f>J35*60</f>
        <v>18831285</v>
      </c>
      <c r="L35" s="102">
        <f>INT(K35/3600)</f>
        <v>5230</v>
      </c>
      <c r="M35" s="102">
        <f>INT(MOD(K35,3600)/60)</f>
        <v>54</v>
      </c>
      <c r="N35" s="102">
        <f xml:space="preserve"> MOD(MOD(K35, 3600),60)</f>
        <v>45</v>
      </c>
      <c r="O35" s="101" t="str">
        <f t="shared" si="2"/>
        <v>0:0:27</v>
      </c>
      <c r="P35" s="134">
        <f>K35/F35</f>
        <v>27</v>
      </c>
      <c r="Q35" s="102">
        <f>INT(P35/3600)</f>
        <v>0</v>
      </c>
      <c r="R35" s="102">
        <f>INT(MOD(P35,3600)/60)</f>
        <v>0</v>
      </c>
      <c r="S35" s="102">
        <f xml:space="preserve"> MOD(MOD(P35, 3600),60)</f>
        <v>27</v>
      </c>
      <c r="T35" s="103" t="str">
        <f t="shared" si="3"/>
        <v>0:5:10</v>
      </c>
      <c r="U35" s="1">
        <f>K35/H35</f>
        <v>310.96793104017701</v>
      </c>
      <c r="V35" s="1">
        <f>INT(U35/3600)</f>
        <v>0</v>
      </c>
      <c r="W35" s="1">
        <f>INT(MOD(U35,3600)/60)</f>
        <v>5</v>
      </c>
      <c r="X35" s="1">
        <f xml:space="preserve"> MOD(MOD(U35, 3600),60)</f>
        <v>10.967931040177007</v>
      </c>
      <c r="Y35" s="265"/>
    </row>
    <row r="36" spans="2:25" ht="15" thickBot="1" x14ac:dyDescent="0.35">
      <c r="B36" s="89"/>
      <c r="C36" s="124" t="s">
        <v>129</v>
      </c>
      <c r="D36" s="124"/>
      <c r="E36" s="128">
        <f ca="1">E35</f>
        <v>1394910</v>
      </c>
      <c r="F36" s="128">
        <f>F35</f>
        <v>697455</v>
      </c>
      <c r="G36" s="132">
        <f t="shared" si="0"/>
        <v>11.517330779265816</v>
      </c>
      <c r="H36" s="128">
        <f>H35</f>
        <v>60557</v>
      </c>
      <c r="I36" s="139" t="str">
        <f t="shared" si="5"/>
        <v>5230:54:45</v>
      </c>
      <c r="J36" s="90">
        <f>J35</f>
        <v>313854.75</v>
      </c>
      <c r="K36" s="90">
        <f>K35</f>
        <v>18831285</v>
      </c>
      <c r="L36" s="90">
        <f>L35</f>
        <v>5230</v>
      </c>
      <c r="M36" s="90">
        <f>M35</f>
        <v>54</v>
      </c>
      <c r="N36" s="90">
        <f>N35</f>
        <v>45</v>
      </c>
      <c r="O36" s="145" t="str">
        <f t="shared" si="2"/>
        <v>0:0:27</v>
      </c>
      <c r="P36" s="90">
        <f>P35</f>
        <v>27</v>
      </c>
      <c r="Q36" s="90">
        <f>Q35</f>
        <v>0</v>
      </c>
      <c r="R36" s="90">
        <f>R35</f>
        <v>0</v>
      </c>
      <c r="S36" s="90">
        <f>S35</f>
        <v>27</v>
      </c>
      <c r="T36" s="92" t="str">
        <f t="shared" si="3"/>
        <v>0:5:10</v>
      </c>
      <c r="U36" s="82">
        <f>U35</f>
        <v>310.96793104017701</v>
      </c>
      <c r="V36" s="38">
        <f>V35</f>
        <v>0</v>
      </c>
      <c r="W36" s="38">
        <f>W35</f>
        <v>5</v>
      </c>
      <c r="X36" s="264">
        <f>X35</f>
        <v>10.967931040177007</v>
      </c>
      <c r="Y36" s="265"/>
    </row>
    <row r="37" spans="2:25" ht="15.6" thickTop="1" thickBot="1" x14ac:dyDescent="0.35">
      <c r="B37" s="119" t="s">
        <v>27</v>
      </c>
      <c r="C37" s="113" t="s">
        <v>37</v>
      </c>
      <c r="D37" s="113" t="s">
        <v>117</v>
      </c>
      <c r="E37" s="110">
        <f ca="1">(RANDBETWEEN(1.1,2))*F37</f>
        <v>201174</v>
      </c>
      <c r="F37" s="110">
        <v>100587</v>
      </c>
      <c r="G37" s="114">
        <f t="shared" si="0"/>
        <v>3.9374853205981366</v>
      </c>
      <c r="H37" s="110">
        <v>25546</v>
      </c>
      <c r="I37" s="115" t="str">
        <f t="shared" si="5"/>
        <v>586:45:27</v>
      </c>
      <c r="J37" s="135">
        <f>0.35*F37</f>
        <v>35205.449999999997</v>
      </c>
      <c r="K37" s="116">
        <f>J37*60</f>
        <v>2112327</v>
      </c>
      <c r="L37" s="116">
        <f>INT(K37/3600)</f>
        <v>586</v>
      </c>
      <c r="M37" s="116">
        <f>INT(MOD(K37,3600)/60)</f>
        <v>45</v>
      </c>
      <c r="N37" s="116">
        <f xml:space="preserve"> MOD(MOD(K37, 3600),60)</f>
        <v>27</v>
      </c>
      <c r="O37" s="115" t="str">
        <f t="shared" si="2"/>
        <v>0:0:21</v>
      </c>
      <c r="P37" s="140">
        <f>K37/F37</f>
        <v>21</v>
      </c>
      <c r="Q37" s="111">
        <f>INT(P37/3600)</f>
        <v>0</v>
      </c>
      <c r="R37" s="111">
        <f>INT(MOD(P37,3600)/60)</f>
        <v>0</v>
      </c>
      <c r="S37" s="111">
        <f xml:space="preserve"> MOD(MOD(P37, 3600),60)</f>
        <v>21</v>
      </c>
      <c r="T37" s="112" t="str">
        <f t="shared" si="3"/>
        <v>0:1:22</v>
      </c>
      <c r="U37" s="1">
        <f>K37/H37</f>
        <v>82.687191732560876</v>
      </c>
      <c r="V37" s="1">
        <f>INT(U37/3600)</f>
        <v>0</v>
      </c>
      <c r="W37" s="1">
        <f>INT(MOD(U37,3600)/60)</f>
        <v>1</v>
      </c>
      <c r="X37" s="1">
        <f xml:space="preserve"> MOD(MOD(U37, 3600),60)</f>
        <v>22.687191732560876</v>
      </c>
      <c r="Y37" s="265"/>
    </row>
    <row r="38" spans="2:25" ht="15" thickBot="1" x14ac:dyDescent="0.35">
      <c r="B38" s="86"/>
      <c r="C38" s="122" t="s">
        <v>130</v>
      </c>
      <c r="D38" s="122"/>
      <c r="E38" s="126">
        <f ca="1">E37</f>
        <v>201174</v>
      </c>
      <c r="F38" s="126">
        <f>F37</f>
        <v>100587</v>
      </c>
      <c r="G38" s="130">
        <f t="shared" si="0"/>
        <v>3.9374853205981366</v>
      </c>
      <c r="H38" s="126">
        <f>H37</f>
        <v>25546</v>
      </c>
      <c r="I38" s="137" t="str">
        <f t="shared" si="5"/>
        <v>586:45:27</v>
      </c>
      <c r="J38" s="87">
        <f>J37</f>
        <v>35205.449999999997</v>
      </c>
      <c r="K38" s="87">
        <f>K37</f>
        <v>2112327</v>
      </c>
      <c r="L38" s="87">
        <f>L37</f>
        <v>586</v>
      </c>
      <c r="M38" s="87">
        <f>M37</f>
        <v>45</v>
      </c>
      <c r="N38" s="87">
        <f>N37</f>
        <v>27</v>
      </c>
      <c r="O38" s="142" t="str">
        <f t="shared" si="2"/>
        <v>0:0:21</v>
      </c>
      <c r="P38" s="90">
        <f>P37</f>
        <v>21</v>
      </c>
      <c r="Q38" s="90">
        <f>Q37</f>
        <v>0</v>
      </c>
      <c r="R38" s="90">
        <f>R37</f>
        <v>0</v>
      </c>
      <c r="S38" s="90">
        <f>S37</f>
        <v>21</v>
      </c>
      <c r="T38" s="92" t="str">
        <f t="shared" si="3"/>
        <v>0:1:22</v>
      </c>
      <c r="U38" s="82">
        <f>U37</f>
        <v>82.687191732560876</v>
      </c>
      <c r="V38" s="38">
        <f>V37</f>
        <v>0</v>
      </c>
      <c r="W38" s="38">
        <f>W37</f>
        <v>1</v>
      </c>
      <c r="X38" s="264">
        <f>X37</f>
        <v>22.687191732560876</v>
      </c>
      <c r="Y38" s="265"/>
    </row>
    <row r="39" spans="2:25" ht="15.6" thickTop="1" thickBot="1" x14ac:dyDescent="0.35">
      <c r="C39" s="34" t="s">
        <v>78</v>
      </c>
      <c r="D39" s="182"/>
      <c r="E39" s="271">
        <f ca="1">SUM(E14,E17,E21,E23,E25,E29,E31,E33,E35,E37)</f>
        <v>23186286</v>
      </c>
      <c r="F39" s="271">
        <f>SUM(F14,F17,F21,F23,F25,F29,F31,F33,F35,F37)</f>
        <v>11593143</v>
      </c>
      <c r="G39" s="106">
        <f>AVERAGE(G14,G17,G21,G23,G25,G29,G31,G33,G35,G37)</f>
        <v>6.5724910147351849</v>
      </c>
      <c r="H39" s="271">
        <f>SUM(H14,H17,H21,H23,H25,H29,H31,H33,H35,H37)</f>
        <v>2386171</v>
      </c>
      <c r="I39" s="104" t="str">
        <f t="shared" ca="1" si="5"/>
        <v>156881:18:27</v>
      </c>
      <c r="J39" s="107">
        <f ca="1">SUM(J14:J37)</f>
        <v>9412878.4499999993</v>
      </c>
      <c r="K39" s="107">
        <f ca="1">SUM(K14:K37)</f>
        <v>564772707</v>
      </c>
      <c r="L39" s="105">
        <f ca="1">INT(K39/3600)</f>
        <v>156881</v>
      </c>
      <c r="M39" s="105">
        <f ca="1">INT(MOD(K39,3600)/60)</f>
        <v>18</v>
      </c>
      <c r="N39" s="105">
        <f ca="1" xml:space="preserve"> MOD(MOD(K39, 3600),60)</f>
        <v>27</v>
      </c>
      <c r="O39" s="104" t="str">
        <f t="shared" ca="1" si="2"/>
        <v>0:0:48</v>
      </c>
      <c r="P39" s="105">
        <f ca="1">K39/F39</f>
        <v>48.716099421873778</v>
      </c>
      <c r="Q39" s="105">
        <f ca="1">INT(P39/3600)</f>
        <v>0</v>
      </c>
      <c r="R39" s="105">
        <f ca="1">INT(MOD(P39,3600)/60)</f>
        <v>0</v>
      </c>
      <c r="S39" s="105">
        <f ca="1" xml:space="preserve"> MOD(MOD(P39, 3600),60)</f>
        <v>48.716099421873778</v>
      </c>
      <c r="T39" s="109" t="str">
        <f t="shared" ca="1" si="3"/>
        <v>0:3:56</v>
      </c>
      <c r="U39" s="1">
        <f ca="1">K39/H39</f>
        <v>236.6857643479868</v>
      </c>
      <c r="V39" s="1">
        <f ca="1">INT(U39/3600)</f>
        <v>0</v>
      </c>
      <c r="W39" s="1">
        <f ca="1">INT(MOD(U39,3600)/60)</f>
        <v>3</v>
      </c>
      <c r="X39" s="1">
        <f ca="1" xml:space="preserve"> MOD(MOD(U39, 3600),60)</f>
        <v>56.685764347986805</v>
      </c>
      <c r="Y39" s="265"/>
    </row>
    <row r="40" spans="2:25" s="186" customFormat="1" x14ac:dyDescent="0.3"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</row>
    <row r="41" spans="2:25" s="186" customFormat="1" x14ac:dyDescent="0.3"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</row>
    <row r="42" spans="2:25" s="186" customFormat="1" x14ac:dyDescent="0.3"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</row>
    <row r="43" spans="2:25" s="186" customFormat="1" x14ac:dyDescent="0.3"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</row>
    <row r="44" spans="2:25" s="186" customFormat="1" x14ac:dyDescent="0.3">
      <c r="E44" s="195" t="s">
        <v>90</v>
      </c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</row>
    <row r="45" spans="2:25" s="186" customFormat="1" x14ac:dyDescent="0.3">
      <c r="E45" s="195" t="s">
        <v>91</v>
      </c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</row>
    <row r="46" spans="2:25" s="186" customFormat="1" x14ac:dyDescent="0.3"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</row>
    <row r="47" spans="2:25" s="186" customFormat="1" x14ac:dyDescent="0.3"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</row>
    <row r="48" spans="2:25" s="186" customFormat="1" x14ac:dyDescent="0.3"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</row>
    <row r="49" spans="6:21" s="186" customFormat="1" x14ac:dyDescent="0.3"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</row>
    <row r="50" spans="6:21" s="186" customFormat="1" x14ac:dyDescent="0.3"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</row>
    <row r="51" spans="6:21" s="186" customFormat="1" x14ac:dyDescent="0.3"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</row>
    <row r="52" spans="6:21" s="186" customFormat="1" x14ac:dyDescent="0.3"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</row>
    <row r="53" spans="6:21" s="186" customFormat="1" x14ac:dyDescent="0.3"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</row>
    <row r="54" spans="6:21" s="186" customFormat="1" x14ac:dyDescent="0.3"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</row>
    <row r="55" spans="6:21" s="186" customFormat="1" x14ac:dyDescent="0.3"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</row>
    <row r="56" spans="6:21" s="186" customFormat="1" x14ac:dyDescent="0.3"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</row>
    <row r="57" spans="6:21" s="186" customFormat="1" x14ac:dyDescent="0.3"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</row>
    <row r="58" spans="6:21" s="186" customFormat="1" x14ac:dyDescent="0.3"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</row>
    <row r="59" spans="6:21" s="186" customFormat="1" x14ac:dyDescent="0.3"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</row>
    <row r="60" spans="6:21" s="186" customFormat="1" x14ac:dyDescent="0.3"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</row>
    <row r="61" spans="6:21" s="186" customFormat="1" x14ac:dyDescent="0.3"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</row>
    <row r="62" spans="6:21" s="186" customFormat="1" x14ac:dyDescent="0.3"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</row>
    <row r="63" spans="6:21" s="186" customFormat="1" x14ac:dyDescent="0.3"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</row>
    <row r="64" spans="6:21" s="186" customFormat="1" x14ac:dyDescent="0.3"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</row>
    <row r="65" spans="6:21" s="186" customFormat="1" x14ac:dyDescent="0.3"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</row>
    <row r="66" spans="6:21" s="186" customFormat="1" x14ac:dyDescent="0.3"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</row>
    <row r="67" spans="6:21" s="186" customFormat="1" x14ac:dyDescent="0.3"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</row>
    <row r="68" spans="6:21" s="186" customFormat="1" x14ac:dyDescent="0.3"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</row>
    <row r="69" spans="6:21" s="186" customFormat="1" x14ac:dyDescent="0.3"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</row>
    <row r="70" spans="6:21" s="186" customFormat="1" x14ac:dyDescent="0.3"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</row>
    <row r="71" spans="6:21" s="186" customFormat="1" x14ac:dyDescent="0.3"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</row>
    <row r="72" spans="6:21" s="186" customFormat="1" x14ac:dyDescent="0.3"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</row>
    <row r="73" spans="6:21" s="186" customFormat="1" x14ac:dyDescent="0.3"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</row>
    <row r="74" spans="6:21" s="186" customFormat="1" x14ac:dyDescent="0.3"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</row>
    <row r="75" spans="6:21" s="186" customFormat="1" x14ac:dyDescent="0.3"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</row>
    <row r="76" spans="6:21" s="186" customFormat="1" x14ac:dyDescent="0.3"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</row>
    <row r="77" spans="6:21" s="186" customFormat="1" x14ac:dyDescent="0.3"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</row>
    <row r="78" spans="6:21" s="186" customFormat="1" x14ac:dyDescent="0.3"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</row>
    <row r="79" spans="6:21" s="186" customFormat="1" x14ac:dyDescent="0.3"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</row>
    <row r="80" spans="6:21" s="186" customFormat="1" x14ac:dyDescent="0.3"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</row>
    <row r="81" spans="6:21" s="186" customFormat="1" x14ac:dyDescent="0.3"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</row>
    <row r="82" spans="6:21" s="186" customFormat="1" x14ac:dyDescent="0.3"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</row>
    <row r="83" spans="6:21" s="186" customFormat="1" x14ac:dyDescent="0.3"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</row>
    <row r="84" spans="6:21" s="186" customFormat="1" x14ac:dyDescent="0.3"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</row>
    <row r="85" spans="6:21" s="186" customFormat="1" x14ac:dyDescent="0.3"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</row>
    <row r="86" spans="6:21" s="186" customFormat="1" x14ac:dyDescent="0.3"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</row>
    <row r="87" spans="6:21" s="186" customFormat="1" x14ac:dyDescent="0.3"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</row>
    <row r="88" spans="6:21" s="186" customFormat="1" x14ac:dyDescent="0.3"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</row>
    <row r="89" spans="6:21" s="186" customFormat="1" x14ac:dyDescent="0.3"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</row>
    <row r="90" spans="6:21" s="186" customFormat="1" x14ac:dyDescent="0.3"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</row>
    <row r="91" spans="6:21" s="186" customFormat="1" x14ac:dyDescent="0.3"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</row>
    <row r="92" spans="6:21" s="186" customFormat="1" x14ac:dyDescent="0.3"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</row>
    <row r="93" spans="6:21" s="186" customFormat="1" x14ac:dyDescent="0.3"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</row>
    <row r="94" spans="6:21" s="186" customFormat="1" x14ac:dyDescent="0.3"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</row>
    <row r="95" spans="6:21" s="186" customFormat="1" x14ac:dyDescent="0.3"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</row>
    <row r="96" spans="6:21" s="186" customFormat="1" x14ac:dyDescent="0.3"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</row>
    <row r="97" spans="6:21" s="186" customFormat="1" x14ac:dyDescent="0.3"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</row>
    <row r="98" spans="6:21" s="186" customFormat="1" x14ac:dyDescent="0.3"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</row>
    <row r="99" spans="6:21" s="186" customFormat="1" x14ac:dyDescent="0.3"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</row>
    <row r="100" spans="6:21" s="186" customFormat="1" x14ac:dyDescent="0.3"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</row>
    <row r="101" spans="6:21" s="186" customFormat="1" x14ac:dyDescent="0.3"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</row>
    <row r="102" spans="6:21" s="186" customFormat="1" x14ac:dyDescent="0.3"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</row>
    <row r="103" spans="6:21" s="186" customFormat="1" x14ac:dyDescent="0.3"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</row>
    <row r="104" spans="6:21" s="186" customFormat="1" x14ac:dyDescent="0.3"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</row>
    <row r="105" spans="6:21" s="186" customFormat="1" x14ac:dyDescent="0.3"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</row>
    <row r="106" spans="6:21" s="186" customFormat="1" x14ac:dyDescent="0.3"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</row>
    <row r="107" spans="6:21" s="186" customFormat="1" x14ac:dyDescent="0.3"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</row>
    <row r="108" spans="6:21" s="186" customFormat="1" x14ac:dyDescent="0.3"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</row>
    <row r="109" spans="6:21" s="186" customFormat="1" x14ac:dyDescent="0.3"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</row>
    <row r="110" spans="6:21" s="186" customFormat="1" x14ac:dyDescent="0.3"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</row>
    <row r="111" spans="6:21" s="186" customFormat="1" x14ac:dyDescent="0.3"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</row>
    <row r="112" spans="6:21" s="186" customFormat="1" x14ac:dyDescent="0.3"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</row>
    <row r="113" spans="6:21" s="186" customFormat="1" x14ac:dyDescent="0.3"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</row>
    <row r="114" spans="6:21" s="186" customFormat="1" x14ac:dyDescent="0.3"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</row>
    <row r="115" spans="6:21" s="186" customFormat="1" x14ac:dyDescent="0.3"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</row>
    <row r="116" spans="6:21" s="186" customFormat="1" x14ac:dyDescent="0.3"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</row>
    <row r="117" spans="6:21" s="186" customFormat="1" x14ac:dyDescent="0.3"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</row>
    <row r="118" spans="6:21" s="186" customFormat="1" x14ac:dyDescent="0.3"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</row>
    <row r="119" spans="6:21" s="186" customFormat="1" x14ac:dyDescent="0.3"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</row>
    <row r="120" spans="6:21" s="186" customFormat="1" x14ac:dyDescent="0.3"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</row>
    <row r="121" spans="6:21" s="186" customFormat="1" x14ac:dyDescent="0.3"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</row>
    <row r="122" spans="6:21" s="186" customFormat="1" x14ac:dyDescent="0.3"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</row>
    <row r="123" spans="6:21" s="186" customFormat="1" x14ac:dyDescent="0.3"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</row>
    <row r="124" spans="6:21" s="186" customFormat="1" x14ac:dyDescent="0.3">
      <c r="F124" s="187"/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</row>
    <row r="125" spans="6:21" s="186" customFormat="1" x14ac:dyDescent="0.3"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</row>
    <row r="126" spans="6:21" s="186" customFormat="1" x14ac:dyDescent="0.3"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</row>
    <row r="127" spans="6:21" s="186" customFormat="1" x14ac:dyDescent="0.3"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</row>
    <row r="128" spans="6:21" s="186" customFormat="1" x14ac:dyDescent="0.3"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</row>
    <row r="129" spans="6:21" s="186" customFormat="1" x14ac:dyDescent="0.3"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</row>
    <row r="130" spans="6:21" s="186" customFormat="1" x14ac:dyDescent="0.3"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</row>
    <row r="131" spans="6:21" s="186" customFormat="1" x14ac:dyDescent="0.3"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</row>
    <row r="132" spans="6:21" s="186" customFormat="1" x14ac:dyDescent="0.3"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</row>
    <row r="133" spans="6:21" s="186" customFormat="1" x14ac:dyDescent="0.3"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</row>
    <row r="134" spans="6:21" s="186" customFormat="1" x14ac:dyDescent="0.3"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</row>
    <row r="135" spans="6:21" s="186" customFormat="1" x14ac:dyDescent="0.3"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</row>
    <row r="136" spans="6:21" s="186" customFormat="1" x14ac:dyDescent="0.3"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</row>
    <row r="137" spans="6:21" s="186" customFormat="1" x14ac:dyDescent="0.3"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</row>
    <row r="138" spans="6:21" s="186" customFormat="1" x14ac:dyDescent="0.3"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</row>
    <row r="139" spans="6:21" s="186" customFormat="1" x14ac:dyDescent="0.3"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</row>
    <row r="140" spans="6:21" s="186" customFormat="1" x14ac:dyDescent="0.3"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</row>
    <row r="141" spans="6:21" s="186" customFormat="1" x14ac:dyDescent="0.3"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</row>
    <row r="142" spans="6:21" s="186" customFormat="1" x14ac:dyDescent="0.3"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</row>
    <row r="143" spans="6:21" s="186" customFormat="1" x14ac:dyDescent="0.3"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</row>
    <row r="144" spans="6:21" s="186" customFormat="1" x14ac:dyDescent="0.3"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</row>
    <row r="145" spans="6:21" s="186" customFormat="1" x14ac:dyDescent="0.3"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</row>
    <row r="146" spans="6:21" s="186" customFormat="1" x14ac:dyDescent="0.3"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</row>
    <row r="147" spans="6:21" s="186" customFormat="1" x14ac:dyDescent="0.3"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</row>
    <row r="148" spans="6:21" s="186" customFormat="1" x14ac:dyDescent="0.3"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</row>
    <row r="149" spans="6:21" s="186" customFormat="1" x14ac:dyDescent="0.3"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</row>
    <row r="150" spans="6:21" s="186" customFormat="1" x14ac:dyDescent="0.3"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</row>
    <row r="151" spans="6:21" s="186" customFormat="1" x14ac:dyDescent="0.3"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</row>
    <row r="152" spans="6:21" s="186" customFormat="1" x14ac:dyDescent="0.3"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</row>
    <row r="153" spans="6:21" s="186" customFormat="1" x14ac:dyDescent="0.3"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</row>
    <row r="154" spans="6:21" s="186" customFormat="1" x14ac:dyDescent="0.3">
      <c r="F154" s="187"/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</row>
    <row r="155" spans="6:21" s="186" customFormat="1" x14ac:dyDescent="0.3"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</row>
    <row r="156" spans="6:21" s="186" customFormat="1" x14ac:dyDescent="0.3"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</row>
    <row r="157" spans="6:21" s="186" customFormat="1" x14ac:dyDescent="0.3"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</row>
    <row r="158" spans="6:21" s="186" customFormat="1" x14ac:dyDescent="0.3"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</row>
    <row r="159" spans="6:21" s="186" customFormat="1" x14ac:dyDescent="0.3"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</row>
    <row r="160" spans="6:21" s="186" customFormat="1" x14ac:dyDescent="0.3"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</row>
    <row r="161" spans="6:21" s="186" customFormat="1" x14ac:dyDescent="0.3"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</row>
    <row r="162" spans="6:21" s="186" customFormat="1" x14ac:dyDescent="0.3"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</row>
    <row r="163" spans="6:21" s="186" customFormat="1" x14ac:dyDescent="0.3"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</row>
    <row r="164" spans="6:21" s="186" customFormat="1" x14ac:dyDescent="0.3"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</row>
    <row r="165" spans="6:21" s="186" customFormat="1" x14ac:dyDescent="0.3"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</row>
    <row r="166" spans="6:21" s="186" customFormat="1" x14ac:dyDescent="0.3"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</row>
    <row r="167" spans="6:21" s="186" customFormat="1" x14ac:dyDescent="0.3"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</row>
    <row r="168" spans="6:21" s="186" customFormat="1" x14ac:dyDescent="0.3"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</row>
    <row r="169" spans="6:21" s="186" customFormat="1" x14ac:dyDescent="0.3"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</row>
    <row r="170" spans="6:21" s="186" customFormat="1" x14ac:dyDescent="0.3"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</row>
    <row r="171" spans="6:21" s="186" customFormat="1" x14ac:dyDescent="0.3"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</row>
    <row r="172" spans="6:21" s="186" customFormat="1" x14ac:dyDescent="0.3"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</row>
    <row r="173" spans="6:21" s="186" customFormat="1" x14ac:dyDescent="0.3"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</row>
    <row r="174" spans="6:21" s="186" customFormat="1" x14ac:dyDescent="0.3"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</row>
    <row r="175" spans="6:21" s="186" customFormat="1" x14ac:dyDescent="0.3"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</row>
    <row r="176" spans="6:21" s="186" customFormat="1" x14ac:dyDescent="0.3"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</row>
  </sheetData>
  <pageMargins left="0.7" right="0.7" top="0.75" bottom="0.75" header="0.3" footer="0.3"/>
  <pageSetup scale="1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O28"/>
  <sheetViews>
    <sheetView workbookViewId="0">
      <selection activeCell="I1" sqref="I1:M1048576"/>
    </sheetView>
  </sheetViews>
  <sheetFormatPr defaultRowHeight="14.4" x14ac:dyDescent="0.3"/>
  <cols>
    <col min="2" max="2" width="17.88671875" bestFit="1" customWidth="1"/>
    <col min="3" max="3" width="17.88671875" customWidth="1"/>
    <col min="4" max="4" width="10.109375" bestFit="1" customWidth="1"/>
    <col min="5" max="6" width="10.6640625" bestFit="1" customWidth="1"/>
    <col min="10" max="10" width="0" style="61" hidden="1" customWidth="1"/>
    <col min="11" max="11" width="14.5546875" style="61" hidden="1" customWidth="1"/>
    <col min="12" max="12" width="0" style="61" hidden="1" customWidth="1"/>
    <col min="13" max="13" width="18.33203125" bestFit="1" customWidth="1"/>
    <col min="14" max="14" width="23.109375" customWidth="1"/>
    <col min="15" max="15" width="22.5546875" bestFit="1" customWidth="1"/>
  </cols>
  <sheetData>
    <row r="1" spans="1:15" x14ac:dyDescent="0.3">
      <c r="A1" s="186"/>
      <c r="B1" s="186"/>
      <c r="C1" s="186"/>
      <c r="D1" s="186"/>
      <c r="E1" s="186"/>
      <c r="F1" s="186"/>
      <c r="G1" s="188"/>
      <c r="H1" s="188"/>
      <c r="I1" s="188"/>
      <c r="J1" s="188"/>
      <c r="K1" s="188"/>
      <c r="L1" s="200"/>
      <c r="M1" s="186"/>
      <c r="N1" s="186"/>
      <c r="O1" s="186"/>
    </row>
    <row r="2" spans="1:15" x14ac:dyDescent="0.3">
      <c r="A2" s="186"/>
      <c r="B2" s="186"/>
      <c r="C2" s="186"/>
      <c r="D2" s="186"/>
      <c r="E2" s="186"/>
      <c r="F2" s="186"/>
      <c r="G2" s="188"/>
      <c r="H2" s="188"/>
      <c r="I2" s="188"/>
      <c r="J2" s="188"/>
      <c r="K2" s="188"/>
      <c r="L2" s="200"/>
      <c r="M2" s="186"/>
      <c r="N2" s="186"/>
      <c r="O2" s="186"/>
    </row>
    <row r="3" spans="1:15" x14ac:dyDescent="0.3">
      <c r="A3" s="186"/>
      <c r="B3" s="186"/>
      <c r="C3" s="186"/>
      <c r="D3" s="186"/>
      <c r="E3" s="186"/>
      <c r="F3" s="186"/>
      <c r="G3" s="188"/>
      <c r="H3" s="188"/>
      <c r="I3" s="188"/>
      <c r="J3" s="188"/>
      <c r="K3" s="188"/>
      <c r="L3" s="200"/>
      <c r="M3" s="186"/>
      <c r="N3" s="186"/>
      <c r="O3" s="186"/>
    </row>
    <row r="4" spans="1:15" x14ac:dyDescent="0.3">
      <c r="A4" s="186"/>
      <c r="B4" s="186"/>
      <c r="C4" s="186"/>
      <c r="D4" s="186"/>
      <c r="E4" s="186"/>
      <c r="F4" s="186"/>
      <c r="G4" s="188"/>
      <c r="H4" s="188"/>
      <c r="I4" s="188"/>
      <c r="J4" s="188"/>
      <c r="K4" s="188"/>
      <c r="L4" s="200"/>
      <c r="M4" s="186"/>
      <c r="N4" s="186"/>
      <c r="O4" s="186"/>
    </row>
    <row r="5" spans="1:15" s="47" customFormat="1" ht="23.4" x14ac:dyDescent="0.45">
      <c r="A5" s="186"/>
      <c r="B5" s="50" t="s">
        <v>85</v>
      </c>
      <c r="C5" s="43" t="s">
        <v>86</v>
      </c>
      <c r="D5" s="43"/>
      <c r="E5" s="44"/>
      <c r="F5" s="44"/>
      <c r="G5" s="45"/>
      <c r="H5" s="45"/>
      <c r="I5" s="45"/>
      <c r="J5" s="177"/>
      <c r="K5" s="177"/>
      <c r="L5" s="177"/>
      <c r="M5" s="44"/>
      <c r="N5" s="44"/>
      <c r="O5" s="186"/>
    </row>
    <row r="6" spans="1:15" s="49" customFormat="1" ht="23.4" x14ac:dyDescent="0.45">
      <c r="A6" s="189"/>
      <c r="B6" s="50" t="s">
        <v>88</v>
      </c>
      <c r="C6" s="43" t="s">
        <v>68</v>
      </c>
      <c r="D6" s="43"/>
      <c r="E6" s="46"/>
      <c r="F6" s="46"/>
      <c r="G6" s="46"/>
      <c r="H6" s="46"/>
      <c r="I6" s="46"/>
      <c r="J6" s="178"/>
      <c r="K6" s="178"/>
      <c r="L6" s="178"/>
      <c r="M6" s="46"/>
      <c r="N6" s="46"/>
      <c r="O6" s="189"/>
    </row>
    <row r="7" spans="1:15" s="49" customFormat="1" x14ac:dyDescent="0.3">
      <c r="A7" s="189"/>
      <c r="B7" s="51" t="s">
        <v>81</v>
      </c>
      <c r="C7" s="52" t="s">
        <v>87</v>
      </c>
      <c r="D7" s="52"/>
      <c r="E7" s="46"/>
      <c r="F7" s="46"/>
      <c r="G7" s="46"/>
      <c r="H7" s="46"/>
      <c r="I7" s="46"/>
      <c r="J7" s="178"/>
      <c r="K7" s="178"/>
      <c r="L7" s="178"/>
      <c r="M7" s="46"/>
      <c r="N7" s="46"/>
      <c r="O7" s="189"/>
    </row>
    <row r="8" spans="1:15" s="49" customFormat="1" x14ac:dyDescent="0.3">
      <c r="A8" s="189"/>
      <c r="B8" s="51" t="s">
        <v>64</v>
      </c>
      <c r="C8" s="60">
        <v>40586</v>
      </c>
      <c r="D8" s="60"/>
      <c r="E8" s="46"/>
      <c r="F8" s="59"/>
      <c r="G8" s="46"/>
      <c r="H8" s="46"/>
      <c r="I8" s="46"/>
      <c r="J8" s="178"/>
      <c r="K8" s="178"/>
      <c r="L8" s="178"/>
      <c r="M8" s="46"/>
      <c r="N8" s="46"/>
      <c r="O8" s="189"/>
    </row>
    <row r="9" spans="1:15" s="49" customFormat="1" x14ac:dyDescent="0.3">
      <c r="A9" s="189"/>
      <c r="B9" s="51" t="s">
        <v>65</v>
      </c>
      <c r="C9" s="60">
        <v>40588.999988425923</v>
      </c>
      <c r="D9" s="60"/>
      <c r="E9" s="46"/>
      <c r="F9" s="59"/>
      <c r="G9" s="46"/>
      <c r="H9" s="57"/>
      <c r="I9" s="46"/>
      <c r="J9" s="178"/>
      <c r="K9" s="178"/>
      <c r="L9" s="178"/>
      <c r="M9" s="46"/>
      <c r="N9" s="58" t="s">
        <v>89</v>
      </c>
      <c r="O9" s="189"/>
    </row>
    <row r="10" spans="1:15" x14ac:dyDescent="0.3">
      <c r="A10" s="186"/>
      <c r="B10" s="191"/>
      <c r="C10" s="191"/>
      <c r="D10" s="191"/>
      <c r="E10" s="186"/>
      <c r="F10" s="191"/>
      <c r="G10" s="186"/>
      <c r="H10" s="186"/>
      <c r="I10" s="186"/>
      <c r="J10" s="200"/>
      <c r="K10" s="200"/>
      <c r="L10" s="200"/>
      <c r="M10" s="186"/>
      <c r="N10" s="186"/>
      <c r="O10" s="186"/>
    </row>
    <row r="11" spans="1:15" x14ac:dyDescent="0.3">
      <c r="A11" s="186"/>
      <c r="B11" s="191"/>
      <c r="C11" s="191"/>
      <c r="D11" s="191"/>
      <c r="E11" s="186"/>
      <c r="F11" s="191"/>
      <c r="G11" s="186"/>
      <c r="H11" s="186"/>
      <c r="I11" s="186"/>
      <c r="J11" s="200"/>
      <c r="K11" s="200"/>
      <c r="L11" s="200"/>
      <c r="M11" s="186"/>
      <c r="N11" s="186"/>
      <c r="O11" s="186"/>
    </row>
    <row r="12" spans="1:15" ht="15" thickBot="1" x14ac:dyDescent="0.35">
      <c r="A12" s="186"/>
      <c r="B12" s="191"/>
      <c r="C12" s="191"/>
      <c r="D12" s="191"/>
      <c r="E12" s="191"/>
      <c r="F12" s="191"/>
      <c r="G12" s="191"/>
      <c r="H12" s="191"/>
      <c r="I12" s="191"/>
      <c r="J12" s="201"/>
      <c r="K12" s="201"/>
      <c r="L12" s="201"/>
      <c r="M12" s="191"/>
      <c r="N12" s="305"/>
      <c r="O12" s="305"/>
    </row>
    <row r="13" spans="1:15" x14ac:dyDescent="0.3">
      <c r="A13" s="186"/>
      <c r="B13" s="64" t="s">
        <v>42</v>
      </c>
      <c r="C13" s="179" t="s">
        <v>106</v>
      </c>
      <c r="D13" s="179" t="s">
        <v>69</v>
      </c>
      <c r="E13" s="65" t="s">
        <v>46</v>
      </c>
      <c r="F13" s="65" t="s">
        <v>47</v>
      </c>
      <c r="G13" s="65" t="s">
        <v>48</v>
      </c>
      <c r="H13" s="65" t="s">
        <v>43</v>
      </c>
      <c r="I13" s="65" t="s">
        <v>44</v>
      </c>
      <c r="J13" s="54" t="s">
        <v>50</v>
      </c>
      <c r="K13" s="54" t="s">
        <v>49</v>
      </c>
      <c r="L13" s="54" t="s">
        <v>45</v>
      </c>
      <c r="M13" s="65" t="s">
        <v>58</v>
      </c>
      <c r="N13" s="146" t="s">
        <v>59</v>
      </c>
      <c r="O13" s="186"/>
    </row>
    <row r="14" spans="1:15" x14ac:dyDescent="0.3">
      <c r="A14" s="186"/>
      <c r="B14" s="36">
        <v>827387</v>
      </c>
      <c r="C14" s="180">
        <v>1434234</v>
      </c>
      <c r="D14" s="180" t="s">
        <v>70</v>
      </c>
      <c r="E14" s="15">
        <v>40461</v>
      </c>
      <c r="F14" s="16">
        <v>0.38194444444444442</v>
      </c>
      <c r="G14" s="66" t="s">
        <v>38</v>
      </c>
      <c r="H14" s="17" t="s">
        <v>57</v>
      </c>
      <c r="I14" s="17" t="s">
        <v>52</v>
      </c>
      <c r="J14" s="62">
        <v>25</v>
      </c>
      <c r="K14" s="62">
        <f t="shared" ref="K14:K19" si="0">(J14/30)*100</f>
        <v>83.333333333333343</v>
      </c>
      <c r="L14" s="69" t="s">
        <v>51</v>
      </c>
      <c r="M14" s="21" t="s">
        <v>60</v>
      </c>
      <c r="N14" s="261" t="s">
        <v>3</v>
      </c>
      <c r="O14" s="186"/>
    </row>
    <row r="15" spans="1:15" x14ac:dyDescent="0.3">
      <c r="A15" s="186"/>
      <c r="B15" s="36">
        <f>B14</f>
        <v>827387</v>
      </c>
      <c r="C15" s="180">
        <f>C14+1</f>
        <v>1434235</v>
      </c>
      <c r="D15" s="180" t="s">
        <v>71</v>
      </c>
      <c r="E15" s="15">
        <v>40461</v>
      </c>
      <c r="F15" s="16">
        <v>0.38541666666666669</v>
      </c>
      <c r="G15" s="66" t="s">
        <v>39</v>
      </c>
      <c r="H15" s="17" t="s">
        <v>53</v>
      </c>
      <c r="I15" s="17" t="s">
        <v>53</v>
      </c>
      <c r="J15" s="62">
        <v>30</v>
      </c>
      <c r="K15" s="62">
        <f t="shared" si="0"/>
        <v>100</v>
      </c>
      <c r="L15" s="69" t="s">
        <v>51</v>
      </c>
      <c r="M15" s="21" t="s">
        <v>61</v>
      </c>
      <c r="N15" s="261" t="s">
        <v>3</v>
      </c>
      <c r="O15" s="186"/>
    </row>
    <row r="16" spans="1:15" x14ac:dyDescent="0.3">
      <c r="A16" s="186"/>
      <c r="B16" s="36">
        <f>B15+1</f>
        <v>827388</v>
      </c>
      <c r="C16" s="180">
        <f>C15+1</f>
        <v>1434236</v>
      </c>
      <c r="D16" s="180" t="s">
        <v>70</v>
      </c>
      <c r="E16" s="15">
        <v>40461</v>
      </c>
      <c r="F16" s="16">
        <v>0.38611111111111113</v>
      </c>
      <c r="G16" s="66" t="s">
        <v>40</v>
      </c>
      <c r="H16" s="17" t="s">
        <v>55</v>
      </c>
      <c r="I16" s="17" t="s">
        <v>55</v>
      </c>
      <c r="J16" s="62">
        <v>10</v>
      </c>
      <c r="K16" s="62">
        <f t="shared" si="0"/>
        <v>33.333333333333329</v>
      </c>
      <c r="L16" s="69" t="s">
        <v>51</v>
      </c>
      <c r="M16" s="21" t="s">
        <v>62</v>
      </c>
      <c r="N16" s="261" t="s">
        <v>4</v>
      </c>
      <c r="O16" s="186"/>
    </row>
    <row r="17" spans="1:15" x14ac:dyDescent="0.3">
      <c r="A17" s="186"/>
      <c r="B17" s="36">
        <f>B16+1</f>
        <v>827389</v>
      </c>
      <c r="C17" s="180">
        <f>C16+1</f>
        <v>1434237</v>
      </c>
      <c r="D17" s="180" t="s">
        <v>72</v>
      </c>
      <c r="E17" s="15">
        <v>40461</v>
      </c>
      <c r="F17" s="16">
        <v>0.42708333333333331</v>
      </c>
      <c r="G17" s="66" t="s">
        <v>41</v>
      </c>
      <c r="H17" s="17" t="s">
        <v>55</v>
      </c>
      <c r="I17" s="17" t="s">
        <v>54</v>
      </c>
      <c r="J17" s="62">
        <v>6</v>
      </c>
      <c r="K17" s="62">
        <f t="shared" si="0"/>
        <v>20</v>
      </c>
      <c r="L17" s="69" t="s">
        <v>51</v>
      </c>
      <c r="M17" s="21" t="s">
        <v>61</v>
      </c>
      <c r="N17" s="261" t="s">
        <v>5</v>
      </c>
      <c r="O17" s="186"/>
    </row>
    <row r="18" spans="1:15" x14ac:dyDescent="0.3">
      <c r="A18" s="186"/>
      <c r="B18" s="36">
        <f>B17+1</f>
        <v>827390</v>
      </c>
      <c r="C18" s="180">
        <f>C17+1</f>
        <v>1434238</v>
      </c>
      <c r="D18" s="180" t="s">
        <v>73</v>
      </c>
      <c r="E18" s="15">
        <v>40461</v>
      </c>
      <c r="F18" s="16">
        <v>0.63541666666666663</v>
      </c>
      <c r="G18" s="66" t="s">
        <v>38</v>
      </c>
      <c r="H18" s="17" t="s">
        <v>53</v>
      </c>
      <c r="I18" s="17" t="s">
        <v>53</v>
      </c>
      <c r="J18" s="62">
        <v>30</v>
      </c>
      <c r="K18" s="62">
        <f t="shared" si="0"/>
        <v>100</v>
      </c>
      <c r="L18" s="69" t="s">
        <v>51</v>
      </c>
      <c r="M18" s="21" t="s">
        <v>60</v>
      </c>
      <c r="N18" s="261" t="s">
        <v>6</v>
      </c>
      <c r="O18" s="186"/>
    </row>
    <row r="19" spans="1:15" ht="15" thickBot="1" x14ac:dyDescent="0.35">
      <c r="A19" s="186"/>
      <c r="B19" s="37">
        <f>B18+1</f>
        <v>827391</v>
      </c>
      <c r="C19" s="181">
        <f>C18+1</f>
        <v>1434239</v>
      </c>
      <c r="D19" s="181" t="s">
        <v>74</v>
      </c>
      <c r="E19" s="18">
        <v>40461</v>
      </c>
      <c r="F19" s="19">
        <v>0.88541666666666663</v>
      </c>
      <c r="G19" s="67" t="s">
        <v>39</v>
      </c>
      <c r="H19" s="20" t="s">
        <v>56</v>
      </c>
      <c r="I19" s="20" t="s">
        <v>56</v>
      </c>
      <c r="J19" s="63">
        <v>23</v>
      </c>
      <c r="K19" s="63">
        <f t="shared" si="0"/>
        <v>76.666666666666671</v>
      </c>
      <c r="L19" s="70" t="s">
        <v>51</v>
      </c>
      <c r="M19" s="22" t="s">
        <v>63</v>
      </c>
      <c r="N19" s="262" t="s">
        <v>7</v>
      </c>
      <c r="O19" s="186"/>
    </row>
    <row r="20" spans="1:15" ht="15" thickBot="1" x14ac:dyDescent="0.35">
      <c r="A20" s="186"/>
      <c r="B20" s="186"/>
      <c r="C20" s="186"/>
      <c r="D20" s="186"/>
      <c r="E20" s="186"/>
      <c r="F20" s="306" t="s">
        <v>124</v>
      </c>
      <c r="G20" s="307"/>
      <c r="H20" s="202" t="s">
        <v>79</v>
      </c>
      <c r="I20" s="268" t="s">
        <v>80</v>
      </c>
      <c r="J20" s="267"/>
      <c r="K20" s="204">
        <f>AVERAGE(K14:K19)</f>
        <v>68.8888888888889</v>
      </c>
      <c r="L20" s="205"/>
      <c r="M20" s="206"/>
      <c r="N20" s="207"/>
      <c r="O20" s="186"/>
    </row>
    <row r="21" spans="1:15" x14ac:dyDescent="0.3">
      <c r="A21" s="186"/>
      <c r="B21" s="186"/>
      <c r="C21" s="186"/>
      <c r="D21" s="186"/>
      <c r="E21" s="186"/>
      <c r="F21" s="186"/>
      <c r="G21" s="186"/>
      <c r="H21" s="186"/>
      <c r="I21" s="186"/>
      <c r="J21" s="200"/>
      <c r="K21" s="200"/>
      <c r="L21" s="200"/>
      <c r="M21" s="186"/>
      <c r="N21" s="186"/>
      <c r="O21" s="186"/>
    </row>
    <row r="22" spans="1:15" x14ac:dyDescent="0.3">
      <c r="A22" s="186"/>
      <c r="B22" s="186"/>
      <c r="C22" s="186"/>
      <c r="D22" s="186"/>
      <c r="E22" s="186"/>
      <c r="F22" s="186"/>
      <c r="G22" s="186"/>
      <c r="H22" s="186"/>
      <c r="I22" s="186"/>
      <c r="J22" s="200"/>
      <c r="K22" s="200"/>
      <c r="L22" s="200"/>
      <c r="M22" s="186"/>
      <c r="N22" s="186"/>
      <c r="O22" s="186"/>
    </row>
    <row r="23" spans="1:15" x14ac:dyDescent="0.3">
      <c r="A23" s="186"/>
      <c r="B23" s="186"/>
      <c r="C23" s="186"/>
      <c r="D23" s="186"/>
      <c r="E23" s="186"/>
      <c r="F23" s="186"/>
      <c r="G23" s="186"/>
      <c r="H23" s="186"/>
      <c r="I23" s="186"/>
      <c r="J23" s="200"/>
      <c r="K23" s="200"/>
      <c r="L23" s="200"/>
      <c r="M23" s="186"/>
      <c r="N23" s="186"/>
      <c r="O23" s="186"/>
    </row>
    <row r="24" spans="1:15" x14ac:dyDescent="0.3">
      <c r="A24" s="186"/>
      <c r="B24" s="186"/>
      <c r="C24" s="186"/>
      <c r="D24" s="186"/>
      <c r="E24" s="186"/>
      <c r="F24" s="186"/>
      <c r="G24" s="186"/>
      <c r="H24" s="186"/>
      <c r="I24" s="186"/>
      <c r="J24" s="200"/>
      <c r="K24" s="200"/>
      <c r="L24" s="200"/>
      <c r="M24" s="186"/>
      <c r="N24" s="186"/>
      <c r="O24" s="186"/>
    </row>
    <row r="25" spans="1:15" x14ac:dyDescent="0.3">
      <c r="A25" s="186"/>
      <c r="B25" s="186"/>
      <c r="C25" s="186"/>
      <c r="D25" s="186"/>
      <c r="E25" s="186"/>
      <c r="F25" s="186"/>
      <c r="G25" s="195" t="s">
        <v>92</v>
      </c>
      <c r="H25" s="186"/>
      <c r="J25" s="200"/>
      <c r="K25" s="200"/>
      <c r="L25" s="200"/>
      <c r="M25" s="186"/>
      <c r="N25" s="186"/>
      <c r="O25" s="186"/>
    </row>
    <row r="26" spans="1:15" x14ac:dyDescent="0.3">
      <c r="A26" s="186"/>
      <c r="B26" s="186"/>
      <c r="C26" s="186"/>
      <c r="D26" s="186"/>
      <c r="E26" s="186"/>
      <c r="F26" s="186"/>
      <c r="G26" s="195" t="s">
        <v>91</v>
      </c>
      <c r="H26" s="186"/>
      <c r="J26" s="200"/>
      <c r="K26" s="200"/>
      <c r="L26" s="200"/>
      <c r="M26" s="186"/>
      <c r="N26" s="186"/>
      <c r="O26" s="186"/>
    </row>
    <row r="27" spans="1:15" x14ac:dyDescent="0.3">
      <c r="A27" s="186"/>
      <c r="B27" s="186"/>
      <c r="C27" s="186"/>
      <c r="D27" s="186"/>
      <c r="E27" s="186"/>
      <c r="F27" s="186"/>
      <c r="G27" s="186"/>
      <c r="H27" s="186"/>
      <c r="I27" s="186"/>
      <c r="J27" s="200"/>
      <c r="K27" s="200"/>
      <c r="L27" s="200"/>
      <c r="M27" s="186"/>
      <c r="N27" s="186"/>
      <c r="O27" s="186"/>
    </row>
    <row r="28" spans="1:15" x14ac:dyDescent="0.3">
      <c r="A28" s="186"/>
      <c r="O28" s="186"/>
    </row>
  </sheetData>
  <mergeCells count="2">
    <mergeCell ref="N12:O12"/>
    <mergeCell ref="F20:G20"/>
  </mergeCells>
  <pageMargins left="0.7" right="0.7" top="0.75" bottom="0.75" header="0.3" footer="0.3"/>
  <pageSetup scale="8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P28"/>
  <sheetViews>
    <sheetView workbookViewId="0">
      <selection activeCell="N22" sqref="N22"/>
    </sheetView>
  </sheetViews>
  <sheetFormatPr defaultRowHeight="14.4" x14ac:dyDescent="0.3"/>
  <cols>
    <col min="2" max="2" width="17.88671875" bestFit="1" customWidth="1"/>
    <col min="3" max="5" width="17.88671875" customWidth="1"/>
    <col min="6" max="7" width="10.6640625" bestFit="1" customWidth="1"/>
    <col min="10" max="10" width="9.109375" style="251"/>
    <col min="11" max="12" width="14.5546875" style="61" hidden="1" customWidth="1"/>
    <col min="13" max="13" width="0" style="61" hidden="1" customWidth="1"/>
    <col min="14" max="14" width="18.33203125" bestFit="1" customWidth="1"/>
    <col min="15" max="15" width="23.109375" customWidth="1"/>
    <col min="16" max="16" width="22.5546875" bestFit="1" customWidth="1"/>
  </cols>
  <sheetData>
    <row r="1" spans="1:16" s="186" customFormat="1" x14ac:dyDescent="0.3">
      <c r="H1" s="188"/>
      <c r="I1" s="188"/>
      <c r="J1" s="188"/>
      <c r="K1" s="188"/>
      <c r="L1" s="188"/>
      <c r="M1" s="200"/>
    </row>
    <row r="2" spans="1:16" s="186" customFormat="1" x14ac:dyDescent="0.3">
      <c r="H2" s="188"/>
      <c r="I2" s="188"/>
      <c r="J2" s="188"/>
      <c r="K2" s="188"/>
      <c r="L2" s="188"/>
      <c r="M2" s="200"/>
    </row>
    <row r="3" spans="1:16" s="186" customFormat="1" x14ac:dyDescent="0.3">
      <c r="H3" s="188"/>
      <c r="I3" s="188"/>
      <c r="J3" s="188"/>
      <c r="K3" s="188"/>
      <c r="L3" s="188"/>
      <c r="M3" s="200"/>
    </row>
    <row r="4" spans="1:16" s="186" customFormat="1" x14ac:dyDescent="0.3">
      <c r="H4" s="188"/>
      <c r="I4" s="188"/>
      <c r="J4" s="188"/>
      <c r="K4" s="188"/>
      <c r="L4" s="188"/>
      <c r="M4" s="200"/>
    </row>
    <row r="5" spans="1:16" s="47" customFormat="1" ht="23.4" x14ac:dyDescent="0.45">
      <c r="A5" s="186"/>
      <c r="B5" s="50" t="s">
        <v>85</v>
      </c>
      <c r="C5" s="43" t="s">
        <v>86</v>
      </c>
      <c r="D5" s="43"/>
      <c r="E5" s="43"/>
      <c r="F5" s="44"/>
      <c r="G5" s="44"/>
      <c r="H5" s="45"/>
      <c r="I5" s="45"/>
      <c r="J5" s="45"/>
      <c r="K5" s="177"/>
      <c r="L5" s="177"/>
      <c r="M5" s="177"/>
      <c r="N5" s="44"/>
      <c r="O5" s="44"/>
    </row>
    <row r="6" spans="1:16" s="49" customFormat="1" ht="23.4" x14ac:dyDescent="0.45">
      <c r="A6" s="189"/>
      <c r="B6" s="50" t="s">
        <v>88</v>
      </c>
      <c r="C6" s="43" t="s">
        <v>68</v>
      </c>
      <c r="D6" s="43"/>
      <c r="E6" s="43"/>
      <c r="F6" s="46"/>
      <c r="G6" s="46"/>
      <c r="H6" s="46"/>
      <c r="I6" s="46"/>
      <c r="J6" s="46"/>
      <c r="K6" s="178"/>
      <c r="L6" s="178"/>
      <c r="M6" s="178"/>
      <c r="N6" s="46"/>
      <c r="O6" s="46"/>
      <c r="P6" s="189"/>
    </row>
    <row r="7" spans="1:16" s="49" customFormat="1" x14ac:dyDescent="0.3">
      <c r="A7" s="189"/>
      <c r="B7" s="51" t="s">
        <v>64</v>
      </c>
      <c r="C7" s="60">
        <v>40586</v>
      </c>
      <c r="D7" s="60"/>
      <c r="E7" s="60"/>
      <c r="F7" s="46"/>
      <c r="G7" s="59"/>
      <c r="H7" s="46"/>
      <c r="I7" s="46"/>
      <c r="J7" s="46"/>
      <c r="K7" s="178"/>
      <c r="L7" s="178"/>
      <c r="M7" s="178"/>
      <c r="N7" s="46"/>
      <c r="O7" s="46"/>
      <c r="P7" s="189"/>
    </row>
    <row r="8" spans="1:16" s="49" customFormat="1" x14ac:dyDescent="0.3">
      <c r="A8" s="189"/>
      <c r="B8" s="51" t="s">
        <v>65</v>
      </c>
      <c r="C8" s="60">
        <v>40588.999988425923</v>
      </c>
      <c r="D8" s="60"/>
      <c r="E8" s="60"/>
      <c r="F8" s="46"/>
      <c r="G8" s="59"/>
      <c r="H8" s="46"/>
      <c r="I8" s="57"/>
      <c r="J8" s="57"/>
      <c r="K8" s="178"/>
      <c r="L8" s="178"/>
      <c r="M8" s="178"/>
      <c r="N8" s="46"/>
      <c r="O8" s="58" t="s">
        <v>89</v>
      </c>
    </row>
    <row r="9" spans="1:16" x14ac:dyDescent="0.3">
      <c r="A9" s="186"/>
      <c r="B9" s="191"/>
      <c r="C9" s="191"/>
      <c r="D9" s="191"/>
      <c r="E9" s="191"/>
      <c r="F9" s="186"/>
      <c r="G9" s="191"/>
      <c r="H9" s="186"/>
      <c r="I9" s="186"/>
      <c r="J9" s="186"/>
      <c r="K9" s="200"/>
      <c r="L9" s="200"/>
      <c r="M9" s="200"/>
      <c r="N9" s="186"/>
      <c r="O9" s="186"/>
      <c r="P9" s="186"/>
    </row>
    <row r="10" spans="1:16" x14ac:dyDescent="0.3">
      <c r="A10" s="186"/>
      <c r="B10" s="191"/>
      <c r="C10" s="191"/>
      <c r="D10" s="191"/>
      <c r="E10" s="191"/>
      <c r="F10" s="186"/>
      <c r="G10" s="191"/>
      <c r="H10" s="186"/>
      <c r="I10" s="186"/>
      <c r="J10" s="186"/>
      <c r="K10" s="200"/>
      <c r="L10" s="200"/>
      <c r="M10" s="200"/>
      <c r="N10" s="186"/>
      <c r="O10" s="186"/>
      <c r="P10" s="186"/>
    </row>
    <row r="11" spans="1:16" ht="15" thickBot="1" x14ac:dyDescent="0.35">
      <c r="A11" s="186"/>
      <c r="B11" s="191"/>
      <c r="C11" s="191"/>
      <c r="D11" s="191"/>
      <c r="E11" s="191"/>
      <c r="F11" s="191"/>
      <c r="G11" s="191"/>
      <c r="H11" s="191"/>
      <c r="I11" s="191"/>
      <c r="J11" s="191"/>
      <c r="K11" s="201"/>
      <c r="L11" s="201"/>
      <c r="M11" s="201"/>
      <c r="N11" s="191"/>
      <c r="O11" s="305"/>
      <c r="P11" s="305"/>
    </row>
    <row r="12" spans="1:16" x14ac:dyDescent="0.3">
      <c r="A12" s="186"/>
      <c r="B12" s="64" t="s">
        <v>42</v>
      </c>
      <c r="C12" s="179" t="s">
        <v>106</v>
      </c>
      <c r="D12" s="179" t="s">
        <v>126</v>
      </c>
      <c r="E12" s="179" t="s">
        <v>69</v>
      </c>
      <c r="F12" s="65" t="s">
        <v>46</v>
      </c>
      <c r="G12" s="65" t="s">
        <v>47</v>
      </c>
      <c r="H12" s="65" t="s">
        <v>48</v>
      </c>
      <c r="I12" s="65" t="s">
        <v>43</v>
      </c>
      <c r="J12" s="65" t="s">
        <v>44</v>
      </c>
      <c r="K12" s="54" t="s">
        <v>50</v>
      </c>
      <c r="L12" s="54" t="s">
        <v>49</v>
      </c>
      <c r="M12" s="54" t="s">
        <v>45</v>
      </c>
      <c r="N12" s="65" t="s">
        <v>58</v>
      </c>
      <c r="O12" s="146" t="s">
        <v>59</v>
      </c>
    </row>
    <row r="13" spans="1:16" x14ac:dyDescent="0.3">
      <c r="A13" s="186"/>
      <c r="B13" s="36">
        <v>827387</v>
      </c>
      <c r="C13" s="180">
        <v>1434234</v>
      </c>
      <c r="D13" s="180" t="s">
        <v>87</v>
      </c>
      <c r="E13" s="180" t="s">
        <v>70</v>
      </c>
      <c r="F13" s="15">
        <v>40461</v>
      </c>
      <c r="G13" s="16">
        <v>0.38194444444444442</v>
      </c>
      <c r="H13" s="66" t="s">
        <v>38</v>
      </c>
      <c r="I13" s="17" t="s">
        <v>57</v>
      </c>
      <c r="J13" s="17" t="s">
        <v>52</v>
      </c>
      <c r="K13" s="62">
        <v>25</v>
      </c>
      <c r="L13" s="62">
        <f t="shared" ref="L13:L18" si="0">(K13/30)*100</f>
        <v>83.333333333333343</v>
      </c>
      <c r="M13" s="69" t="s">
        <v>51</v>
      </c>
      <c r="N13" s="21" t="s">
        <v>60</v>
      </c>
      <c r="O13" s="261" t="s">
        <v>3</v>
      </c>
      <c r="P13" s="186"/>
    </row>
    <row r="14" spans="1:16" x14ac:dyDescent="0.3">
      <c r="A14" s="186"/>
      <c r="B14" s="36">
        <f>B13</f>
        <v>827387</v>
      </c>
      <c r="C14" s="180">
        <f>C13+1</f>
        <v>1434235</v>
      </c>
      <c r="D14" s="180" t="s">
        <v>87</v>
      </c>
      <c r="E14" s="180" t="s">
        <v>71</v>
      </c>
      <c r="F14" s="15">
        <v>40461</v>
      </c>
      <c r="G14" s="16">
        <v>0.38541666666666669</v>
      </c>
      <c r="H14" s="66" t="s">
        <v>39</v>
      </c>
      <c r="I14" s="17" t="s">
        <v>53</v>
      </c>
      <c r="J14" s="17" t="s">
        <v>53</v>
      </c>
      <c r="K14" s="62">
        <v>30</v>
      </c>
      <c r="L14" s="62">
        <f t="shared" si="0"/>
        <v>100</v>
      </c>
      <c r="M14" s="69" t="s">
        <v>51</v>
      </c>
      <c r="N14" s="21" t="s">
        <v>61</v>
      </c>
      <c r="O14" s="261" t="s">
        <v>3</v>
      </c>
      <c r="P14" s="186"/>
    </row>
    <row r="15" spans="1:16" x14ac:dyDescent="0.3">
      <c r="A15" s="186"/>
      <c r="B15" s="36">
        <f>B14+1</f>
        <v>827388</v>
      </c>
      <c r="C15" s="180">
        <f>C14+1</f>
        <v>1434236</v>
      </c>
      <c r="D15" s="180" t="s">
        <v>87</v>
      </c>
      <c r="E15" s="180" t="s">
        <v>70</v>
      </c>
      <c r="F15" s="15">
        <v>40461</v>
      </c>
      <c r="G15" s="16">
        <v>0.38611111111111113</v>
      </c>
      <c r="H15" s="66" t="s">
        <v>40</v>
      </c>
      <c r="I15" s="17" t="s">
        <v>55</v>
      </c>
      <c r="J15" s="17" t="s">
        <v>55</v>
      </c>
      <c r="K15" s="62">
        <v>10</v>
      </c>
      <c r="L15" s="62">
        <f t="shared" si="0"/>
        <v>33.333333333333329</v>
      </c>
      <c r="M15" s="69" t="s">
        <v>51</v>
      </c>
      <c r="N15" s="21" t="s">
        <v>62</v>
      </c>
      <c r="O15" s="261" t="s">
        <v>4</v>
      </c>
      <c r="P15" s="186"/>
    </row>
    <row r="16" spans="1:16" x14ac:dyDescent="0.3">
      <c r="A16" s="186"/>
      <c r="B16" s="36">
        <f>B15+1</f>
        <v>827389</v>
      </c>
      <c r="C16" s="180">
        <f>C15+1</f>
        <v>1434237</v>
      </c>
      <c r="D16" s="180" t="s">
        <v>87</v>
      </c>
      <c r="E16" s="180" t="s">
        <v>72</v>
      </c>
      <c r="F16" s="15">
        <v>40461</v>
      </c>
      <c r="G16" s="16">
        <v>0.42708333333333331</v>
      </c>
      <c r="H16" s="66" t="s">
        <v>41</v>
      </c>
      <c r="I16" s="17" t="s">
        <v>55</v>
      </c>
      <c r="J16" s="17" t="s">
        <v>54</v>
      </c>
      <c r="K16" s="62">
        <v>6</v>
      </c>
      <c r="L16" s="62">
        <f t="shared" si="0"/>
        <v>20</v>
      </c>
      <c r="M16" s="69" t="s">
        <v>51</v>
      </c>
      <c r="N16" s="21" t="s">
        <v>61</v>
      </c>
      <c r="O16" s="261" t="s">
        <v>5</v>
      </c>
      <c r="P16" s="186"/>
    </row>
    <row r="17" spans="1:16" x14ac:dyDescent="0.3">
      <c r="A17" s="186"/>
      <c r="B17" s="36">
        <f>B16+1</f>
        <v>827390</v>
      </c>
      <c r="C17" s="180">
        <f>C16+1</f>
        <v>1434238</v>
      </c>
      <c r="D17" s="180" t="s">
        <v>127</v>
      </c>
      <c r="E17" s="180" t="s">
        <v>73</v>
      </c>
      <c r="F17" s="15">
        <v>40461</v>
      </c>
      <c r="G17" s="16">
        <v>0.63541666666666663</v>
      </c>
      <c r="H17" s="66" t="s">
        <v>38</v>
      </c>
      <c r="I17" s="17" t="s">
        <v>53</v>
      </c>
      <c r="J17" s="17" t="s">
        <v>53</v>
      </c>
      <c r="K17" s="62">
        <v>30</v>
      </c>
      <c r="L17" s="62">
        <f t="shared" si="0"/>
        <v>100</v>
      </c>
      <c r="M17" s="69" t="s">
        <v>51</v>
      </c>
      <c r="N17" s="21" t="s">
        <v>60</v>
      </c>
      <c r="O17" s="261" t="s">
        <v>6</v>
      </c>
      <c r="P17" s="186"/>
    </row>
    <row r="18" spans="1:16" ht="15" thickBot="1" x14ac:dyDescent="0.35">
      <c r="A18" s="186"/>
      <c r="B18" s="37">
        <f>B17+1</f>
        <v>827391</v>
      </c>
      <c r="C18" s="181">
        <f>C17+1</f>
        <v>1434239</v>
      </c>
      <c r="D18" s="181" t="s">
        <v>127</v>
      </c>
      <c r="E18" s="181" t="s">
        <v>74</v>
      </c>
      <c r="F18" s="18">
        <v>40461</v>
      </c>
      <c r="G18" s="19">
        <v>0.88541666666666663</v>
      </c>
      <c r="H18" s="67" t="s">
        <v>39</v>
      </c>
      <c r="I18" s="20" t="s">
        <v>56</v>
      </c>
      <c r="J18" s="20" t="s">
        <v>56</v>
      </c>
      <c r="K18" s="63">
        <v>23</v>
      </c>
      <c r="L18" s="63">
        <f t="shared" si="0"/>
        <v>76.666666666666671</v>
      </c>
      <c r="M18" s="70" t="s">
        <v>51</v>
      </c>
      <c r="N18" s="22" t="s">
        <v>63</v>
      </c>
      <c r="O18" s="262" t="s">
        <v>7</v>
      </c>
      <c r="P18" s="186"/>
    </row>
    <row r="19" spans="1:16" ht="15" thickBot="1" x14ac:dyDescent="0.35">
      <c r="A19" s="186"/>
      <c r="B19" s="186"/>
      <c r="C19" s="186"/>
      <c r="D19" s="186"/>
      <c r="E19" s="186"/>
      <c r="F19" s="186"/>
      <c r="G19" s="306" t="s">
        <v>124</v>
      </c>
      <c r="H19" s="307"/>
      <c r="I19" s="202" t="s">
        <v>79</v>
      </c>
      <c r="J19" s="268" t="s">
        <v>80</v>
      </c>
      <c r="K19" s="203"/>
      <c r="L19" s="204">
        <f>AVERAGE(L13:L18)</f>
        <v>68.8888888888889</v>
      </c>
      <c r="M19" s="205"/>
      <c r="N19" s="206"/>
      <c r="O19" s="207"/>
      <c r="P19" s="186"/>
    </row>
    <row r="20" spans="1:16" x14ac:dyDescent="0.3">
      <c r="A20" s="186"/>
      <c r="B20" s="186"/>
      <c r="C20" s="186"/>
      <c r="D20" s="186"/>
      <c r="E20" s="186"/>
      <c r="F20" s="186"/>
      <c r="G20" s="186"/>
      <c r="H20" s="186"/>
      <c r="I20" s="186"/>
      <c r="J20" s="186"/>
      <c r="K20" s="200"/>
      <c r="L20" s="200"/>
      <c r="M20" s="200"/>
      <c r="N20" s="186"/>
      <c r="O20" s="186"/>
      <c r="P20" s="186"/>
    </row>
    <row r="21" spans="1:16" x14ac:dyDescent="0.3">
      <c r="A21" s="186"/>
      <c r="B21" s="186"/>
      <c r="C21" s="186"/>
      <c r="D21" s="186"/>
      <c r="E21" s="186"/>
      <c r="F21" s="186"/>
      <c r="G21" s="186"/>
      <c r="H21" s="186"/>
      <c r="I21" s="186"/>
      <c r="J21" s="186"/>
      <c r="K21" s="200"/>
      <c r="L21" s="200"/>
      <c r="M21" s="200"/>
      <c r="N21" s="186"/>
      <c r="O21" s="186"/>
      <c r="P21" s="186"/>
    </row>
    <row r="22" spans="1:16" x14ac:dyDescent="0.3">
      <c r="A22" s="186"/>
      <c r="B22" s="186"/>
      <c r="C22" s="186"/>
      <c r="D22" s="186"/>
      <c r="E22" s="186"/>
      <c r="F22" s="186"/>
      <c r="G22" s="186"/>
      <c r="H22" s="186"/>
      <c r="I22" s="186"/>
      <c r="J22" s="186"/>
      <c r="K22" s="200"/>
      <c r="L22" s="200"/>
      <c r="M22" s="200"/>
      <c r="N22" s="186"/>
      <c r="O22" s="186"/>
      <c r="P22" s="186"/>
    </row>
    <row r="23" spans="1:16" x14ac:dyDescent="0.3">
      <c r="A23" s="186"/>
      <c r="B23" s="186"/>
      <c r="C23" s="186"/>
      <c r="D23" s="186"/>
      <c r="E23" s="186"/>
      <c r="F23" s="186"/>
      <c r="G23" s="186"/>
      <c r="H23" s="186"/>
      <c r="I23" s="186"/>
      <c r="J23" s="186"/>
      <c r="K23" s="200"/>
      <c r="L23" s="200"/>
      <c r="M23" s="200"/>
      <c r="N23" s="186"/>
      <c r="O23" s="186"/>
      <c r="P23" s="186"/>
    </row>
    <row r="24" spans="1:16" x14ac:dyDescent="0.3">
      <c r="A24" s="186"/>
      <c r="B24" s="186"/>
      <c r="C24" s="186"/>
      <c r="D24" s="186"/>
      <c r="E24" s="186"/>
      <c r="F24" s="195" t="s">
        <v>92</v>
      </c>
      <c r="H24" s="186"/>
      <c r="I24" s="186"/>
      <c r="J24" s="186"/>
      <c r="K24" s="200"/>
      <c r="L24" s="200"/>
      <c r="M24" s="200"/>
      <c r="N24" s="186"/>
      <c r="O24" s="186"/>
      <c r="P24" s="186"/>
    </row>
    <row r="25" spans="1:16" x14ac:dyDescent="0.3">
      <c r="A25" s="186"/>
      <c r="B25" s="186"/>
      <c r="C25" s="186"/>
      <c r="D25" s="186"/>
      <c r="E25" s="186"/>
      <c r="F25" s="195" t="s">
        <v>91</v>
      </c>
      <c r="H25" s="186"/>
      <c r="I25" s="186"/>
      <c r="J25" s="186"/>
      <c r="K25" s="200"/>
      <c r="L25" s="200"/>
      <c r="M25" s="200"/>
      <c r="N25" s="186"/>
      <c r="O25" s="186"/>
      <c r="P25" s="186"/>
    </row>
    <row r="26" spans="1:16" x14ac:dyDescent="0.3">
      <c r="A26" s="186"/>
      <c r="B26" s="186"/>
      <c r="C26" s="186"/>
      <c r="D26" s="186"/>
      <c r="E26" s="186"/>
      <c r="F26" s="186"/>
      <c r="G26" s="186"/>
      <c r="H26" s="186"/>
      <c r="I26" s="186"/>
      <c r="J26" s="186"/>
      <c r="K26" s="200"/>
      <c r="L26" s="200"/>
      <c r="M26" s="200"/>
      <c r="N26" s="186"/>
      <c r="O26" s="186"/>
      <c r="P26" s="186"/>
    </row>
    <row r="27" spans="1:16" x14ac:dyDescent="0.3">
      <c r="A27" s="186"/>
      <c r="B27" s="186"/>
      <c r="C27" s="186"/>
      <c r="D27" s="186"/>
      <c r="E27" s="186"/>
      <c r="F27" s="186"/>
      <c r="G27" s="186"/>
      <c r="H27" s="186"/>
      <c r="I27" s="186"/>
      <c r="J27" s="186"/>
      <c r="K27" s="200"/>
      <c r="L27" s="200"/>
      <c r="M27" s="200"/>
      <c r="N27" s="186"/>
      <c r="O27" s="186"/>
      <c r="P27" s="186"/>
    </row>
    <row r="28" spans="1:16" x14ac:dyDescent="0.3">
      <c r="A28" s="186"/>
      <c r="B28" s="186"/>
      <c r="C28" s="186"/>
      <c r="D28" s="186"/>
      <c r="E28" s="186"/>
      <c r="F28" s="186"/>
      <c r="G28" s="186"/>
      <c r="H28" s="186"/>
      <c r="I28" s="186"/>
      <c r="J28" s="186"/>
      <c r="K28" s="200"/>
      <c r="L28" s="200"/>
      <c r="M28" s="200"/>
      <c r="N28" s="186"/>
      <c r="O28" s="186"/>
      <c r="P28" s="186"/>
    </row>
  </sheetData>
  <mergeCells count="2">
    <mergeCell ref="O11:P11"/>
    <mergeCell ref="G19:H19"/>
  </mergeCells>
  <pageMargins left="0.7" right="0.7" top="0.75" bottom="0.75" header="0.3" footer="0.3"/>
  <pageSetup scale="8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AO52"/>
  <sheetViews>
    <sheetView zoomScale="90" zoomScaleNormal="90" workbookViewId="0"/>
  </sheetViews>
  <sheetFormatPr defaultRowHeight="14.4" x14ac:dyDescent="0.3"/>
  <cols>
    <col min="1" max="1" width="9.109375" style="186"/>
    <col min="2" max="2" width="17.88671875" bestFit="1" customWidth="1"/>
    <col min="3" max="3" width="18.88671875" customWidth="1"/>
    <col min="4" max="4" width="9.88671875" bestFit="1" customWidth="1"/>
    <col min="5" max="5" width="24.88671875" bestFit="1" customWidth="1"/>
    <col min="6" max="6" width="16.5546875" customWidth="1"/>
    <col min="7" max="7" width="12.77734375" bestFit="1" customWidth="1"/>
    <col min="8" max="8" width="23.88671875" bestFit="1" customWidth="1"/>
    <col min="9" max="9" width="22.77734375" customWidth="1"/>
    <col min="10" max="10" width="27.21875" bestFit="1" customWidth="1"/>
    <col min="11" max="11" width="22.109375" style="31" customWidth="1"/>
    <col min="12" max="12" width="11.44140625" hidden="1" customWidth="1"/>
    <col min="13" max="13" width="13.5546875" hidden="1" customWidth="1"/>
    <col min="14" max="14" width="20" hidden="1" customWidth="1"/>
    <col min="15" max="15" width="19.44140625" hidden="1" customWidth="1"/>
    <col min="16" max="16" width="6.109375" hidden="1" customWidth="1"/>
    <col min="17" max="17" width="5.44140625" hidden="1" customWidth="1"/>
    <col min="18" max="18" width="4.88671875" hidden="1" customWidth="1"/>
    <col min="19" max="19" width="16.44140625" hidden="1" customWidth="1"/>
    <col min="20" max="20" width="22.44140625" hidden="1" customWidth="1"/>
    <col min="21" max="21" width="6.109375" hidden="1" customWidth="1"/>
    <col min="22" max="22" width="5.44140625" hidden="1" customWidth="1"/>
    <col min="23" max="23" width="4.88671875" hidden="1" customWidth="1"/>
    <col min="24" max="24" width="23.109375" hidden="1" customWidth="1"/>
    <col min="25" max="26" width="29" hidden="1" customWidth="1"/>
    <col min="27" max="29" width="9.109375" hidden="1" customWidth="1"/>
    <col min="30" max="31" width="9.109375" style="186"/>
  </cols>
  <sheetData>
    <row r="1" spans="1:31" s="186" customFormat="1" x14ac:dyDescent="0.3">
      <c r="F1" s="188"/>
      <c r="G1" s="188"/>
      <c r="H1" s="188"/>
      <c r="I1" s="188"/>
      <c r="J1" s="188"/>
      <c r="K1" s="188"/>
    </row>
    <row r="2" spans="1:31" s="186" customFormat="1" x14ac:dyDescent="0.3">
      <c r="F2" s="188"/>
      <c r="G2" s="188"/>
      <c r="H2" s="188"/>
      <c r="I2" s="188"/>
      <c r="J2" s="188"/>
      <c r="K2" s="188"/>
    </row>
    <row r="3" spans="1:31" s="186" customFormat="1" x14ac:dyDescent="0.3">
      <c r="F3" s="188"/>
      <c r="G3" s="188"/>
      <c r="H3" s="188"/>
      <c r="I3" s="188"/>
      <c r="J3" s="188"/>
      <c r="K3" s="188"/>
    </row>
    <row r="4" spans="1:31" s="186" customFormat="1" x14ac:dyDescent="0.3">
      <c r="F4" s="188"/>
      <c r="G4" s="188"/>
      <c r="H4" s="188"/>
      <c r="I4" s="188"/>
      <c r="J4" s="188"/>
      <c r="K4" s="188"/>
    </row>
    <row r="5" spans="1:31" s="47" customFormat="1" ht="23.4" x14ac:dyDescent="0.45">
      <c r="A5" s="186"/>
      <c r="B5" s="50" t="s">
        <v>85</v>
      </c>
      <c r="C5" s="43" t="s">
        <v>86</v>
      </c>
      <c r="D5" s="44"/>
      <c r="E5" s="44"/>
      <c r="F5" s="45"/>
      <c r="G5" s="45"/>
      <c r="H5" s="45"/>
      <c r="I5" s="45"/>
      <c r="J5" s="44"/>
      <c r="K5" s="44"/>
      <c r="L5" s="44"/>
      <c r="M5" s="44"/>
      <c r="N5" s="44"/>
      <c r="AD5" s="186"/>
      <c r="AE5" s="186"/>
    </row>
    <row r="6" spans="1:31" s="49" customFormat="1" ht="23.4" x14ac:dyDescent="0.45">
      <c r="A6" s="189"/>
      <c r="B6" s="50" t="s">
        <v>88</v>
      </c>
      <c r="C6" s="43" t="s">
        <v>93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AD6" s="189"/>
      <c r="AE6" s="189"/>
    </row>
    <row r="7" spans="1:31" s="49" customFormat="1" x14ac:dyDescent="0.3">
      <c r="A7" s="189"/>
      <c r="B7" s="51" t="s">
        <v>81</v>
      </c>
      <c r="C7" s="52" t="s">
        <v>87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AD7" s="189"/>
      <c r="AE7" s="189"/>
    </row>
    <row r="8" spans="1:31" s="49" customFormat="1" x14ac:dyDescent="0.3">
      <c r="A8" s="189"/>
      <c r="B8" s="51" t="s">
        <v>64</v>
      </c>
      <c r="C8" s="284">
        <v>40586</v>
      </c>
      <c r="D8" s="46"/>
      <c r="E8" s="59"/>
      <c r="F8" s="46"/>
      <c r="G8" s="46"/>
      <c r="H8" s="46"/>
      <c r="I8" s="46"/>
      <c r="J8" s="46"/>
      <c r="K8" s="46"/>
      <c r="L8" s="46"/>
      <c r="M8" s="46"/>
      <c r="N8" s="46"/>
      <c r="AD8" s="189"/>
      <c r="AE8" s="189"/>
    </row>
    <row r="9" spans="1:31" s="49" customFormat="1" x14ac:dyDescent="0.3">
      <c r="A9" s="189"/>
      <c r="B9" s="51" t="s">
        <v>65</v>
      </c>
      <c r="C9" s="284">
        <v>40588.999988425923</v>
      </c>
      <c r="D9" s="46"/>
      <c r="E9" s="59"/>
      <c r="F9" s="46"/>
      <c r="G9" s="57"/>
      <c r="H9" s="46"/>
      <c r="I9" s="46"/>
      <c r="J9" s="46"/>
      <c r="K9" s="58" t="s">
        <v>89</v>
      </c>
      <c r="L9" s="46"/>
      <c r="M9" s="46"/>
      <c r="N9" s="58" t="s">
        <v>89</v>
      </c>
      <c r="AD9" s="189"/>
      <c r="AE9" s="189"/>
    </row>
    <row r="10" spans="1:31" s="186" customFormat="1" ht="15" thickBot="1" x14ac:dyDescent="0.35">
      <c r="D10" s="193"/>
      <c r="K10" s="187"/>
    </row>
    <row r="11" spans="1:31" ht="15" thickBot="1" x14ac:dyDescent="0.35">
      <c r="B11" s="172" t="s">
        <v>94</v>
      </c>
      <c r="C11" s="173" t="s">
        <v>126</v>
      </c>
      <c r="D11" s="173" t="s">
        <v>95</v>
      </c>
      <c r="E11" s="173" t="s">
        <v>96</v>
      </c>
      <c r="F11" s="173" t="s">
        <v>97</v>
      </c>
      <c r="G11" s="174" t="s">
        <v>98</v>
      </c>
      <c r="H11" s="175" t="s">
        <v>99</v>
      </c>
      <c r="I11" s="175" t="s">
        <v>107</v>
      </c>
      <c r="J11" s="173" t="s">
        <v>83</v>
      </c>
      <c r="K11" s="176" t="s">
        <v>100</v>
      </c>
      <c r="L11" s="32" t="s">
        <v>16</v>
      </c>
      <c r="M11" s="7" t="s">
        <v>1</v>
      </c>
      <c r="N11" s="7" t="s">
        <v>10</v>
      </c>
      <c r="O11" s="7" t="s">
        <v>8</v>
      </c>
      <c r="P11" s="7" t="s">
        <v>9</v>
      </c>
      <c r="Q11" s="7" t="s">
        <v>12</v>
      </c>
      <c r="R11" s="7" t="s">
        <v>13</v>
      </c>
      <c r="S11" s="7" t="s">
        <v>14</v>
      </c>
      <c r="T11" s="7" t="s">
        <v>11</v>
      </c>
      <c r="U11" s="7" t="s">
        <v>15</v>
      </c>
      <c r="V11" s="7" t="s">
        <v>12</v>
      </c>
      <c r="W11" s="7" t="s">
        <v>13</v>
      </c>
      <c r="X11" s="7" t="s">
        <v>14</v>
      </c>
      <c r="Y11" s="8" t="s">
        <v>2</v>
      </c>
      <c r="Z11" t="s">
        <v>17</v>
      </c>
      <c r="AA11" t="s">
        <v>12</v>
      </c>
      <c r="AB11" t="s">
        <v>13</v>
      </c>
      <c r="AC11" t="s">
        <v>14</v>
      </c>
    </row>
    <row r="12" spans="1:31" x14ac:dyDescent="0.3">
      <c r="B12" s="147" t="s">
        <v>104</v>
      </c>
      <c r="C12" s="148" t="s">
        <v>87</v>
      </c>
      <c r="D12" s="148">
        <f>1.5*F12</f>
        <v>1197063</v>
      </c>
      <c r="E12" s="148">
        <f ca="1">SUM(J12:J13)</f>
        <v>1596084</v>
      </c>
      <c r="F12" s="148">
        <f>SUM(K12:K13)</f>
        <v>798042</v>
      </c>
      <c r="G12" s="149" t="s">
        <v>18</v>
      </c>
      <c r="H12" s="150" t="s">
        <v>36</v>
      </c>
      <c r="I12" s="150" t="s">
        <v>122</v>
      </c>
      <c r="J12" s="151">
        <f t="shared" ref="J12:J21" ca="1" si="0">K12*RANDBETWEEN(1.3,2.5)</f>
        <v>1394910</v>
      </c>
      <c r="K12" s="152">
        <v>697455</v>
      </c>
      <c r="L12" s="153">
        <f t="shared" ref="L12:L21" si="1">K12/M12</f>
        <v>11.517330779265816</v>
      </c>
      <c r="M12" s="2">
        <v>60557</v>
      </c>
      <c r="N12" s="5" t="str">
        <f t="shared" ref="N12:N22" si="2">CONCATENATE(INT(Q12),":",INT(R12),":", INT(S12))</f>
        <v>5230:54:45</v>
      </c>
      <c r="O12" s="6">
        <f>0.45*K12</f>
        <v>313854.75</v>
      </c>
      <c r="P12" s="6">
        <f t="shared" ref="P12:P21" si="3">O12*60</f>
        <v>18831285</v>
      </c>
      <c r="Q12" s="6">
        <f t="shared" ref="Q12:Q22" si="4">INT(P12/3600)</f>
        <v>5230</v>
      </c>
      <c r="R12" s="6">
        <f t="shared" ref="R12:R22" si="5">INT(MOD(P12,3600)/60)</f>
        <v>54</v>
      </c>
      <c r="S12" s="6">
        <f t="shared" ref="S12:S22" si="6" xml:space="preserve"> MOD(MOD(P12, 3600),60)</f>
        <v>45</v>
      </c>
      <c r="T12" s="5" t="str">
        <f t="shared" ref="T12:T22" si="7">CONCATENATE(INT(V12),":",INT(W12),":", INT(X12))</f>
        <v>0:0:27</v>
      </c>
      <c r="U12" s="6">
        <f t="shared" ref="U12:U22" si="8">P12/K12</f>
        <v>27</v>
      </c>
      <c r="V12" s="6">
        <f t="shared" ref="V12:V22" si="9">INT(U12/3600)</f>
        <v>0</v>
      </c>
      <c r="W12" s="6">
        <f t="shared" ref="W12:W22" si="10">INT(MOD(U12,3600)/60)</f>
        <v>0</v>
      </c>
      <c r="X12" s="6">
        <f t="shared" ref="X12:X22" si="11" xml:space="preserve"> MOD(MOD(U12, 3600),60)</f>
        <v>27</v>
      </c>
      <c r="Y12" s="9" t="str">
        <f t="shared" ref="Y12:Y21" si="12">CONCATENATE(INT(AA12),":",INT(AB12),":", INT(AC12))</f>
        <v>0:5:10</v>
      </c>
      <c r="Z12" s="1">
        <f t="shared" ref="Z12:Z22" si="13">P12/M12</f>
        <v>310.96793104017701</v>
      </c>
      <c r="AA12" s="1">
        <f t="shared" ref="AA12:AA22" si="14">INT(Z12/3600)</f>
        <v>0</v>
      </c>
      <c r="AB12" s="1">
        <f t="shared" ref="AB12:AB22" si="15">INT(MOD(Z12,3600)/60)</f>
        <v>5</v>
      </c>
      <c r="AC12" s="1">
        <f t="shared" ref="AC12:AC22" si="16" xml:space="preserve"> MOD(MOD(Z12, 3600),60)</f>
        <v>10.967931040177007</v>
      </c>
    </row>
    <row r="13" spans="1:31" ht="15" thickBot="1" x14ac:dyDescent="0.35">
      <c r="B13" s="157"/>
      <c r="C13" s="74"/>
      <c r="D13" s="74"/>
      <c r="E13" s="74"/>
      <c r="F13" s="74"/>
      <c r="G13" s="33" t="s">
        <v>19</v>
      </c>
      <c r="H13" s="158" t="s">
        <v>37</v>
      </c>
      <c r="I13" s="158" t="s">
        <v>123</v>
      </c>
      <c r="J13" s="159">
        <f t="shared" ca="1" si="0"/>
        <v>201174</v>
      </c>
      <c r="K13" s="160">
        <v>100587</v>
      </c>
      <c r="L13" s="165">
        <f t="shared" si="1"/>
        <v>3.9374853205981366</v>
      </c>
      <c r="M13" s="10">
        <v>25546</v>
      </c>
      <c r="N13" s="11" t="str">
        <f t="shared" si="2"/>
        <v>586:45:27</v>
      </c>
      <c r="O13" s="12">
        <f>0.35*K13</f>
        <v>35205.449999999997</v>
      </c>
      <c r="P13" s="12">
        <f t="shared" si="3"/>
        <v>2112327</v>
      </c>
      <c r="Q13" s="12">
        <f t="shared" si="4"/>
        <v>586</v>
      </c>
      <c r="R13" s="12">
        <f t="shared" si="5"/>
        <v>45</v>
      </c>
      <c r="S13" s="12">
        <f t="shared" si="6"/>
        <v>27</v>
      </c>
      <c r="T13" s="11" t="str">
        <f t="shared" si="7"/>
        <v>0:0:21</v>
      </c>
      <c r="U13" s="12">
        <f t="shared" si="8"/>
        <v>21</v>
      </c>
      <c r="V13" s="12">
        <f t="shared" si="9"/>
        <v>0</v>
      </c>
      <c r="W13" s="12">
        <f t="shared" si="10"/>
        <v>0</v>
      </c>
      <c r="X13" s="12">
        <f t="shared" si="11"/>
        <v>21</v>
      </c>
      <c r="Y13" s="13" t="str">
        <f t="shared" si="12"/>
        <v>0:1:22</v>
      </c>
      <c r="Z13" s="1">
        <f t="shared" si="13"/>
        <v>82.687191732560876</v>
      </c>
      <c r="AA13" s="1">
        <f t="shared" si="14"/>
        <v>0</v>
      </c>
      <c r="AB13" s="1">
        <f t="shared" si="15"/>
        <v>1</v>
      </c>
      <c r="AC13" s="1">
        <f t="shared" si="16"/>
        <v>22.687191732560876</v>
      </c>
    </row>
    <row r="14" spans="1:31" x14ac:dyDescent="0.3">
      <c r="B14" s="147" t="s">
        <v>102</v>
      </c>
      <c r="C14" s="148" t="s">
        <v>87</v>
      </c>
      <c r="D14" s="148">
        <f>1.5*F14</f>
        <v>5025621</v>
      </c>
      <c r="E14" s="148">
        <f ca="1">SUM(J14:J17)</f>
        <v>6700828</v>
      </c>
      <c r="F14" s="148">
        <f>SUM(K14:K17)</f>
        <v>3350414</v>
      </c>
      <c r="G14" s="149" t="s">
        <v>20</v>
      </c>
      <c r="H14" s="150" t="s">
        <v>31</v>
      </c>
      <c r="I14" s="150" t="s">
        <v>111</v>
      </c>
      <c r="J14" s="151">
        <f t="shared" ca="1" si="0"/>
        <v>907688</v>
      </c>
      <c r="K14" s="152">
        <v>453844</v>
      </c>
      <c r="L14" s="153">
        <f t="shared" si="1"/>
        <v>2.1702355562781532</v>
      </c>
      <c r="M14" s="2">
        <v>209122</v>
      </c>
      <c r="N14" s="5" t="str">
        <f t="shared" si="2"/>
        <v>983:19:43</v>
      </c>
      <c r="O14" s="6">
        <f>0.13*K14</f>
        <v>58999.72</v>
      </c>
      <c r="P14" s="6">
        <f t="shared" si="3"/>
        <v>3539983.2</v>
      </c>
      <c r="Q14" s="6">
        <f t="shared" si="4"/>
        <v>983</v>
      </c>
      <c r="R14" s="6">
        <f t="shared" si="5"/>
        <v>19</v>
      </c>
      <c r="S14" s="6">
        <f t="shared" si="6"/>
        <v>43.200000000186265</v>
      </c>
      <c r="T14" s="5" t="str">
        <f t="shared" si="7"/>
        <v>0:0:7</v>
      </c>
      <c r="U14" s="6">
        <f t="shared" si="8"/>
        <v>7.8000000000000007</v>
      </c>
      <c r="V14" s="6">
        <f t="shared" si="9"/>
        <v>0</v>
      </c>
      <c r="W14" s="6">
        <f t="shared" si="10"/>
        <v>0</v>
      </c>
      <c r="X14" s="6">
        <f t="shared" si="11"/>
        <v>7.8000000000000007</v>
      </c>
      <c r="Y14" s="9" t="str">
        <f t="shared" si="12"/>
        <v>0:0:16</v>
      </c>
      <c r="Z14" s="1">
        <f t="shared" si="13"/>
        <v>16.927837338969599</v>
      </c>
      <c r="AA14" s="1">
        <f t="shared" si="14"/>
        <v>0</v>
      </c>
      <c r="AB14" s="1">
        <f t="shared" si="15"/>
        <v>0</v>
      </c>
      <c r="AC14" s="1">
        <f t="shared" si="16"/>
        <v>16.927837338969599</v>
      </c>
    </row>
    <row r="15" spans="1:31" x14ac:dyDescent="0.3">
      <c r="B15" s="80"/>
      <c r="C15" s="73"/>
      <c r="D15" s="73"/>
      <c r="E15" s="73"/>
      <c r="F15" s="73"/>
      <c r="G15" s="33" t="s">
        <v>21</v>
      </c>
      <c r="H15" s="154" t="s">
        <v>32</v>
      </c>
      <c r="I15" s="154" t="s">
        <v>118</v>
      </c>
      <c r="J15" s="155">
        <f t="shared" ca="1" si="0"/>
        <v>3794916</v>
      </c>
      <c r="K15" s="156">
        <v>1897458</v>
      </c>
      <c r="L15" s="153">
        <f t="shared" si="1"/>
        <v>6.271655456213125</v>
      </c>
      <c r="M15" s="2">
        <v>302545</v>
      </c>
      <c r="N15" s="5" t="str">
        <f t="shared" si="2"/>
        <v>12333:28:37</v>
      </c>
      <c r="O15" s="6">
        <f>0.39*K15</f>
        <v>740008.62</v>
      </c>
      <c r="P15" s="6">
        <f t="shared" si="3"/>
        <v>44400517.200000003</v>
      </c>
      <c r="Q15" s="6">
        <f t="shared" si="4"/>
        <v>12333</v>
      </c>
      <c r="R15" s="6">
        <f t="shared" si="5"/>
        <v>28</v>
      </c>
      <c r="S15" s="6">
        <f t="shared" si="6"/>
        <v>37.200000002980232</v>
      </c>
      <c r="T15" s="5" t="str">
        <f t="shared" si="7"/>
        <v>0:0:23</v>
      </c>
      <c r="U15" s="6">
        <f t="shared" si="8"/>
        <v>23.400000000000002</v>
      </c>
      <c r="V15" s="6">
        <f t="shared" si="9"/>
        <v>0</v>
      </c>
      <c r="W15" s="6">
        <f t="shared" si="10"/>
        <v>0</v>
      </c>
      <c r="X15" s="6">
        <f t="shared" si="11"/>
        <v>23.400000000000002</v>
      </c>
      <c r="Y15" s="9" t="str">
        <f t="shared" si="12"/>
        <v>0:2:26</v>
      </c>
      <c r="Z15" s="1">
        <f t="shared" si="13"/>
        <v>146.75673767538714</v>
      </c>
      <c r="AA15" s="1">
        <f t="shared" si="14"/>
        <v>0</v>
      </c>
      <c r="AB15" s="1">
        <f t="shared" si="15"/>
        <v>2</v>
      </c>
      <c r="AC15" s="1">
        <f t="shared" si="16"/>
        <v>26.756737675387143</v>
      </c>
    </row>
    <row r="16" spans="1:31" x14ac:dyDescent="0.3">
      <c r="B16" s="80"/>
      <c r="C16" s="73"/>
      <c r="D16" s="73"/>
      <c r="E16" s="73"/>
      <c r="F16" s="73"/>
      <c r="G16" s="33" t="s">
        <v>22</v>
      </c>
      <c r="H16" s="154" t="s">
        <v>33</v>
      </c>
      <c r="I16" s="154" t="s">
        <v>119</v>
      </c>
      <c r="J16" s="155">
        <f t="shared" ca="1" si="0"/>
        <v>1000574</v>
      </c>
      <c r="K16" s="156">
        <v>500287</v>
      </c>
      <c r="L16" s="153">
        <f t="shared" si="1"/>
        <v>2.5014349999999999</v>
      </c>
      <c r="M16" s="2">
        <v>200000</v>
      </c>
      <c r="N16" s="5" t="str">
        <f t="shared" si="2"/>
        <v>3502:0:32</v>
      </c>
      <c r="O16" s="6">
        <f>0.42*K16</f>
        <v>210120.53999999998</v>
      </c>
      <c r="P16" s="6">
        <f t="shared" si="3"/>
        <v>12607232.399999999</v>
      </c>
      <c r="Q16" s="6">
        <f t="shared" si="4"/>
        <v>3502</v>
      </c>
      <c r="R16" s="6">
        <f t="shared" si="5"/>
        <v>0</v>
      </c>
      <c r="S16" s="6">
        <f t="shared" si="6"/>
        <v>32.399999998509884</v>
      </c>
      <c r="T16" s="5" t="str">
        <f t="shared" si="7"/>
        <v>0:0:25</v>
      </c>
      <c r="U16" s="6">
        <f t="shared" si="8"/>
        <v>25.199999999999996</v>
      </c>
      <c r="V16" s="6">
        <f t="shared" si="9"/>
        <v>0</v>
      </c>
      <c r="W16" s="6">
        <f t="shared" si="10"/>
        <v>0</v>
      </c>
      <c r="X16" s="6">
        <f t="shared" si="11"/>
        <v>25.199999999999996</v>
      </c>
      <c r="Y16" s="9" t="str">
        <f t="shared" si="12"/>
        <v>0:1:3</v>
      </c>
      <c r="Z16" s="1">
        <f t="shared" si="13"/>
        <v>63.03616199999999</v>
      </c>
      <c r="AA16" s="1">
        <f t="shared" si="14"/>
        <v>0</v>
      </c>
      <c r="AB16" s="1">
        <f t="shared" si="15"/>
        <v>1</v>
      </c>
      <c r="AC16" s="1">
        <f t="shared" si="16"/>
        <v>3.0361619999999903</v>
      </c>
    </row>
    <row r="17" spans="1:41" ht="15" thickBot="1" x14ac:dyDescent="0.35">
      <c r="B17" s="157"/>
      <c r="C17" s="74"/>
      <c r="D17" s="74"/>
      <c r="E17" s="74"/>
      <c r="F17" s="74"/>
      <c r="G17" s="35" t="s">
        <v>23</v>
      </c>
      <c r="H17" s="158" t="s">
        <v>34</v>
      </c>
      <c r="I17" s="158" t="s">
        <v>120</v>
      </c>
      <c r="J17" s="159">
        <f t="shared" ca="1" si="0"/>
        <v>997650</v>
      </c>
      <c r="K17" s="160">
        <v>498825</v>
      </c>
      <c r="L17" s="153">
        <f t="shared" si="1"/>
        <v>2.9891776577958615</v>
      </c>
      <c r="M17" s="2">
        <v>166877</v>
      </c>
      <c r="N17" s="5" t="str">
        <f t="shared" si="2"/>
        <v>3741:11:15</v>
      </c>
      <c r="O17" s="6">
        <f>0.45*K17</f>
        <v>224471.25</v>
      </c>
      <c r="P17" s="6">
        <f t="shared" si="3"/>
        <v>13468275</v>
      </c>
      <c r="Q17" s="6">
        <f t="shared" si="4"/>
        <v>3741</v>
      </c>
      <c r="R17" s="6">
        <f t="shared" si="5"/>
        <v>11</v>
      </c>
      <c r="S17" s="6">
        <f t="shared" si="6"/>
        <v>15</v>
      </c>
      <c r="T17" s="5" t="str">
        <f t="shared" si="7"/>
        <v>0:0:27</v>
      </c>
      <c r="U17" s="6">
        <f t="shared" si="8"/>
        <v>27</v>
      </c>
      <c r="V17" s="6">
        <f t="shared" si="9"/>
        <v>0</v>
      </c>
      <c r="W17" s="6">
        <f t="shared" si="10"/>
        <v>0</v>
      </c>
      <c r="X17" s="6">
        <f t="shared" si="11"/>
        <v>27</v>
      </c>
      <c r="Y17" s="9" t="str">
        <f t="shared" si="12"/>
        <v>0:1:20</v>
      </c>
      <c r="Z17" s="1">
        <f t="shared" si="13"/>
        <v>80.707796760488264</v>
      </c>
      <c r="AA17" s="1">
        <f t="shared" si="14"/>
        <v>0</v>
      </c>
      <c r="AB17" s="1">
        <f t="shared" si="15"/>
        <v>1</v>
      </c>
      <c r="AC17" s="1">
        <f t="shared" si="16"/>
        <v>20.707796760488264</v>
      </c>
    </row>
    <row r="18" spans="1:41" ht="15" thickBot="1" x14ac:dyDescent="0.35">
      <c r="B18" s="29" t="s">
        <v>103</v>
      </c>
      <c r="C18" s="39" t="s">
        <v>127</v>
      </c>
      <c r="D18" s="39">
        <f>1.5*F18</f>
        <v>3079801.5</v>
      </c>
      <c r="E18" s="39">
        <f ca="1">SUM(J18)</f>
        <v>4106402</v>
      </c>
      <c r="F18" s="39">
        <f>SUM(K18)</f>
        <v>2053201</v>
      </c>
      <c r="G18" s="161" t="s">
        <v>24</v>
      </c>
      <c r="H18" s="162" t="s">
        <v>35</v>
      </c>
      <c r="I18" s="162" t="s">
        <v>121</v>
      </c>
      <c r="J18" s="163">
        <f t="shared" ca="1" si="0"/>
        <v>4106402</v>
      </c>
      <c r="K18" s="164">
        <v>2053201</v>
      </c>
      <c r="L18" s="153">
        <f t="shared" si="1"/>
        <v>2.1415618415837452</v>
      </c>
      <c r="M18" s="2">
        <v>958740</v>
      </c>
      <c r="N18" s="5" t="str">
        <f t="shared" si="2"/>
        <v>17110:0:30</v>
      </c>
      <c r="O18" s="6">
        <f>0.5*K18</f>
        <v>1026600.5</v>
      </c>
      <c r="P18" s="6">
        <f t="shared" si="3"/>
        <v>61596030</v>
      </c>
      <c r="Q18" s="6">
        <f t="shared" si="4"/>
        <v>17110</v>
      </c>
      <c r="R18" s="6">
        <f t="shared" si="5"/>
        <v>0</v>
      </c>
      <c r="S18" s="6">
        <f t="shared" si="6"/>
        <v>30</v>
      </c>
      <c r="T18" s="5" t="str">
        <f t="shared" si="7"/>
        <v>0:0:30</v>
      </c>
      <c r="U18" s="6">
        <f t="shared" si="8"/>
        <v>30</v>
      </c>
      <c r="V18" s="6">
        <f t="shared" si="9"/>
        <v>0</v>
      </c>
      <c r="W18" s="6">
        <f t="shared" si="10"/>
        <v>0</v>
      </c>
      <c r="X18" s="6">
        <f t="shared" si="11"/>
        <v>30</v>
      </c>
      <c r="Y18" s="9" t="str">
        <f t="shared" si="12"/>
        <v>0:1:4</v>
      </c>
      <c r="Z18" s="1">
        <f t="shared" si="13"/>
        <v>64.246855247512357</v>
      </c>
      <c r="AA18" s="1">
        <f t="shared" si="14"/>
        <v>0</v>
      </c>
      <c r="AB18" s="1">
        <f t="shared" si="15"/>
        <v>1</v>
      </c>
      <c r="AC18" s="1">
        <f t="shared" si="16"/>
        <v>4.2468552475123573</v>
      </c>
    </row>
    <row r="19" spans="1:41" x14ac:dyDescent="0.3">
      <c r="B19" s="147" t="s">
        <v>101</v>
      </c>
      <c r="C19" s="148" t="s">
        <v>127</v>
      </c>
      <c r="D19" s="148">
        <f>1.5*F19</f>
        <v>8087229</v>
      </c>
      <c r="E19" s="148">
        <f ca="1">SUM(J19:J21)</f>
        <v>10782972</v>
      </c>
      <c r="F19" s="148">
        <f>SUM(K19:K21)</f>
        <v>5391486</v>
      </c>
      <c r="G19" s="149" t="s">
        <v>25</v>
      </c>
      <c r="H19" s="150" t="s">
        <v>28</v>
      </c>
      <c r="I19" s="150" t="s">
        <v>108</v>
      </c>
      <c r="J19" s="151">
        <f t="shared" ca="1" si="0"/>
        <v>7654774</v>
      </c>
      <c r="K19" s="152">
        <v>3827387</v>
      </c>
      <c r="L19" s="153">
        <f t="shared" si="1"/>
        <v>11.859114823788955</v>
      </c>
      <c r="M19" s="2">
        <v>322738</v>
      </c>
      <c r="N19" s="5" t="str">
        <f t="shared" si="2"/>
        <v>29343:18:1</v>
      </c>
      <c r="O19" s="6">
        <f>0.46*K19</f>
        <v>1760598.02</v>
      </c>
      <c r="P19" s="6">
        <f t="shared" si="3"/>
        <v>105635881.2</v>
      </c>
      <c r="Q19" s="6">
        <f t="shared" si="4"/>
        <v>29343</v>
      </c>
      <c r="R19" s="6">
        <f t="shared" si="5"/>
        <v>18</v>
      </c>
      <c r="S19" s="6">
        <f t="shared" si="6"/>
        <v>1.2000000029802322</v>
      </c>
      <c r="T19" s="5" t="str">
        <f t="shared" si="7"/>
        <v>0:0:27</v>
      </c>
      <c r="U19" s="6">
        <f t="shared" si="8"/>
        <v>27.6</v>
      </c>
      <c r="V19" s="6">
        <f t="shared" si="9"/>
        <v>0</v>
      </c>
      <c r="W19" s="6">
        <f t="shared" si="10"/>
        <v>0</v>
      </c>
      <c r="X19" s="6">
        <f t="shared" si="11"/>
        <v>27.6</v>
      </c>
      <c r="Y19" s="9" t="str">
        <f t="shared" si="12"/>
        <v>0:5:27</v>
      </c>
      <c r="Z19" s="1">
        <f t="shared" si="13"/>
        <v>327.3115691365752</v>
      </c>
      <c r="AA19" s="1">
        <f t="shared" si="14"/>
        <v>0</v>
      </c>
      <c r="AB19" s="1">
        <f t="shared" si="15"/>
        <v>5</v>
      </c>
      <c r="AC19" s="1">
        <f t="shared" si="16"/>
        <v>27.311569136575201</v>
      </c>
    </row>
    <row r="20" spans="1:41" x14ac:dyDescent="0.3">
      <c r="B20" s="80"/>
      <c r="C20" s="73"/>
      <c r="D20" s="73"/>
      <c r="E20" s="73"/>
      <c r="F20" s="73"/>
      <c r="G20" s="33" t="s">
        <v>125</v>
      </c>
      <c r="H20" s="154" t="s">
        <v>29</v>
      </c>
      <c r="I20" s="154" t="s">
        <v>109</v>
      </c>
      <c r="J20" s="155">
        <f t="shared" ca="1" si="0"/>
        <v>1654532</v>
      </c>
      <c r="K20" s="156">
        <v>827266</v>
      </c>
      <c r="L20" s="153">
        <f t="shared" si="1"/>
        <v>11.814035187935565</v>
      </c>
      <c r="M20" s="2">
        <v>70024</v>
      </c>
      <c r="N20" s="5" t="str">
        <f t="shared" si="2"/>
        <v>3446:56:30</v>
      </c>
      <c r="O20" s="6">
        <f>0.25*K20</f>
        <v>206816.5</v>
      </c>
      <c r="P20" s="6">
        <f t="shared" si="3"/>
        <v>12408990</v>
      </c>
      <c r="Q20" s="6">
        <f t="shared" si="4"/>
        <v>3446</v>
      </c>
      <c r="R20" s="6">
        <f t="shared" si="5"/>
        <v>56</v>
      </c>
      <c r="S20" s="6">
        <f t="shared" si="6"/>
        <v>30</v>
      </c>
      <c r="T20" s="5" t="str">
        <f t="shared" si="7"/>
        <v>0:0:15</v>
      </c>
      <c r="U20" s="6">
        <f t="shared" si="8"/>
        <v>15</v>
      </c>
      <c r="V20" s="6">
        <f t="shared" si="9"/>
        <v>0</v>
      </c>
      <c r="W20" s="6">
        <f t="shared" si="10"/>
        <v>0</v>
      </c>
      <c r="X20" s="6">
        <f t="shared" si="11"/>
        <v>15</v>
      </c>
      <c r="Y20" s="9" t="str">
        <f t="shared" si="12"/>
        <v>0:2:57</v>
      </c>
      <c r="Z20" s="1">
        <f t="shared" si="13"/>
        <v>177.21052781903347</v>
      </c>
      <c r="AA20" s="1">
        <f t="shared" si="14"/>
        <v>0</v>
      </c>
      <c r="AB20" s="1">
        <f t="shared" si="15"/>
        <v>2</v>
      </c>
      <c r="AC20" s="1">
        <f t="shared" si="16"/>
        <v>57.210527819033473</v>
      </c>
    </row>
    <row r="21" spans="1:41" ht="15" thickBot="1" x14ac:dyDescent="0.35">
      <c r="B21" s="157"/>
      <c r="C21" s="74"/>
      <c r="D21" s="74"/>
      <c r="E21" s="74"/>
      <c r="F21" s="74"/>
      <c r="G21" s="35" t="s">
        <v>27</v>
      </c>
      <c r="H21" s="158" t="s">
        <v>30</v>
      </c>
      <c r="I21" s="158" t="s">
        <v>110</v>
      </c>
      <c r="J21" s="159">
        <f t="shared" ca="1" si="0"/>
        <v>1473666</v>
      </c>
      <c r="K21" s="160">
        <v>736833</v>
      </c>
      <c r="L21" s="153">
        <f t="shared" si="1"/>
        <v>10.522878523892491</v>
      </c>
      <c r="M21" s="2">
        <v>70022</v>
      </c>
      <c r="N21" s="5" t="str">
        <f t="shared" si="2"/>
        <v>2456:6:36</v>
      </c>
      <c r="O21" s="6">
        <f>0.2*K21</f>
        <v>147366.6</v>
      </c>
      <c r="P21" s="6">
        <f t="shared" si="3"/>
        <v>8841996</v>
      </c>
      <c r="Q21" s="6">
        <f t="shared" si="4"/>
        <v>2456</v>
      </c>
      <c r="R21" s="6">
        <f t="shared" si="5"/>
        <v>6</v>
      </c>
      <c r="S21" s="6">
        <f t="shared" si="6"/>
        <v>36</v>
      </c>
      <c r="T21" s="5" t="str">
        <f t="shared" si="7"/>
        <v>0:0:12</v>
      </c>
      <c r="U21" s="6">
        <f t="shared" si="8"/>
        <v>12</v>
      </c>
      <c r="V21" s="6">
        <f t="shared" si="9"/>
        <v>0</v>
      </c>
      <c r="W21" s="6">
        <f t="shared" si="10"/>
        <v>0</v>
      </c>
      <c r="X21" s="6">
        <f t="shared" si="11"/>
        <v>12</v>
      </c>
      <c r="Y21" s="9" t="str">
        <f t="shared" si="12"/>
        <v>0:2:6</v>
      </c>
      <c r="Z21" s="1">
        <f t="shared" si="13"/>
        <v>126.27454228670989</v>
      </c>
      <c r="AA21" s="1">
        <f t="shared" si="14"/>
        <v>0</v>
      </c>
      <c r="AB21" s="1">
        <f t="shared" si="15"/>
        <v>2</v>
      </c>
      <c r="AC21" s="1">
        <f t="shared" si="16"/>
        <v>6.2745422867098881</v>
      </c>
    </row>
    <row r="22" spans="1:41" ht="15" thickBot="1" x14ac:dyDescent="0.35">
      <c r="A22" s="215"/>
      <c r="B22" s="216"/>
      <c r="C22" s="183" t="s">
        <v>67</v>
      </c>
      <c r="D22" s="108">
        <f>SUM(D19:D21)</f>
        <v>8087229</v>
      </c>
      <c r="E22" s="108">
        <f ca="1">SUM(E19:E21)</f>
        <v>10782972</v>
      </c>
      <c r="F22" s="108">
        <f>SUM(F19:F21)</f>
        <v>5391486</v>
      </c>
      <c r="G22" s="167"/>
      <c r="H22" s="168"/>
      <c r="I22" s="168"/>
      <c r="J22" s="169">
        <f ca="1">SUM(J19:J21)</f>
        <v>10782972</v>
      </c>
      <c r="K22" s="170">
        <f>SUM(K19:K21)</f>
        <v>5391486</v>
      </c>
      <c r="L22" s="171">
        <f>AVERAGE(L19:L21)</f>
        <v>11.398676178539004</v>
      </c>
      <c r="M22" s="26">
        <f>SUM(M19:M21)</f>
        <v>462784</v>
      </c>
      <c r="N22" s="27" t="str">
        <f t="shared" si="2"/>
        <v>35246:21:7</v>
      </c>
      <c r="O22" s="24">
        <f>SUM(O19:O21)</f>
        <v>2114781.12</v>
      </c>
      <c r="P22" s="24">
        <f>SUM(P19:P21)</f>
        <v>126886867.2</v>
      </c>
      <c r="Q22" s="25">
        <f t="shared" si="4"/>
        <v>35246</v>
      </c>
      <c r="R22" s="25">
        <f t="shared" si="5"/>
        <v>21</v>
      </c>
      <c r="S22" s="25">
        <f t="shared" si="6"/>
        <v>7.2000000029802322</v>
      </c>
      <c r="T22" s="27" t="str">
        <f t="shared" si="7"/>
        <v>0:0:23</v>
      </c>
      <c r="U22" s="25">
        <f t="shared" si="8"/>
        <v>23.534674336537275</v>
      </c>
      <c r="V22" s="25">
        <f t="shared" si="9"/>
        <v>0</v>
      </c>
      <c r="W22" s="25">
        <f t="shared" si="10"/>
        <v>0</v>
      </c>
      <c r="X22" s="25">
        <f t="shared" si="11"/>
        <v>23.534674336537275</v>
      </c>
      <c r="Y22" s="28" t="str">
        <f>CONCATENATE(INT(AA22),":",INT(AB22),":", INT(AC22))</f>
        <v>0:4:34</v>
      </c>
      <c r="Z22" s="1">
        <f t="shared" si="13"/>
        <v>274.1816207993362</v>
      </c>
      <c r="AA22" s="1">
        <f t="shared" si="14"/>
        <v>0</v>
      </c>
      <c r="AB22" s="1">
        <f t="shared" si="15"/>
        <v>4</v>
      </c>
      <c r="AC22" s="1">
        <f t="shared" si="16"/>
        <v>34.181620799336201</v>
      </c>
    </row>
    <row r="23" spans="1:41" s="186" customFormat="1" x14ac:dyDescent="0.3">
      <c r="K23" s="187"/>
    </row>
    <row r="24" spans="1:41" s="186" customFormat="1" x14ac:dyDescent="0.3">
      <c r="B24" s="194"/>
      <c r="C24" s="194"/>
      <c r="F24" s="42" t="s">
        <v>92</v>
      </c>
      <c r="K24" s="187"/>
    </row>
    <row r="25" spans="1:41" s="186" customFormat="1" x14ac:dyDescent="0.3">
      <c r="F25" s="195" t="s">
        <v>91</v>
      </c>
      <c r="K25" s="187"/>
    </row>
    <row r="26" spans="1:41" s="186" customFormat="1" x14ac:dyDescent="0.3">
      <c r="K26" s="187"/>
    </row>
    <row r="27" spans="1:41" s="47" customFormat="1" x14ac:dyDescent="0.3"/>
    <row r="28" spans="1:41" s="47" customFormat="1" x14ac:dyDescent="0.3">
      <c r="L28" s="285"/>
    </row>
    <row r="29" spans="1:41" s="47" customFormat="1" x14ac:dyDescent="0.3">
      <c r="L29" s="286"/>
      <c r="M29" s="286"/>
      <c r="N29" s="286"/>
      <c r="O29" s="287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86"/>
      <c r="AB29" s="286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86"/>
      <c r="AO29" s="286"/>
    </row>
    <row r="30" spans="1:41" s="47" customFormat="1" x14ac:dyDescent="0.3">
      <c r="L30" s="286"/>
      <c r="M30" s="286"/>
      <c r="N30" s="286"/>
      <c r="O30" s="287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86"/>
      <c r="AB30" s="286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86"/>
      <c r="AO30" s="286"/>
    </row>
    <row r="31" spans="1:41" s="47" customFormat="1" x14ac:dyDescent="0.3">
      <c r="L31" s="286"/>
      <c r="M31" s="286"/>
      <c r="N31" s="286"/>
      <c r="O31" s="287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86"/>
      <c r="AB31" s="286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86"/>
      <c r="AO31" s="286"/>
    </row>
    <row r="32" spans="1:41" s="47" customFormat="1" x14ac:dyDescent="0.3">
      <c r="L32" s="286"/>
      <c r="M32" s="286"/>
      <c r="N32" s="286"/>
      <c r="O32" s="287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6"/>
      <c r="AA32" s="286"/>
      <c r="AB32" s="286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6"/>
      <c r="AN32" s="286"/>
      <c r="AO32" s="286"/>
    </row>
    <row r="33" spans="1:41" s="47" customFormat="1" x14ac:dyDescent="0.3">
      <c r="L33" s="286"/>
      <c r="M33" s="286"/>
      <c r="N33" s="286"/>
      <c r="O33" s="287"/>
      <c r="P33" s="286"/>
      <c r="Q33" s="286"/>
      <c r="R33" s="286"/>
      <c r="S33" s="286"/>
      <c r="T33" s="286"/>
      <c r="U33" s="286"/>
      <c r="V33" s="286"/>
      <c r="W33" s="286"/>
      <c r="X33" s="286"/>
      <c r="Y33" s="286"/>
      <c r="Z33" s="286"/>
      <c r="AA33" s="286"/>
      <c r="AB33" s="286"/>
      <c r="AC33" s="286"/>
      <c r="AD33" s="286"/>
      <c r="AE33" s="286"/>
      <c r="AF33" s="286"/>
      <c r="AG33" s="286"/>
      <c r="AH33" s="286"/>
      <c r="AI33" s="286"/>
      <c r="AJ33" s="286"/>
      <c r="AK33" s="286"/>
      <c r="AL33" s="286"/>
      <c r="AM33" s="286"/>
      <c r="AN33" s="286"/>
      <c r="AO33" s="286"/>
    </row>
    <row r="34" spans="1:41" s="47" customFormat="1" x14ac:dyDescent="0.3">
      <c r="L34" s="286"/>
      <c r="M34" s="286"/>
      <c r="N34" s="286"/>
      <c r="O34" s="287"/>
      <c r="P34" s="286"/>
      <c r="Q34" s="286"/>
      <c r="R34" s="286"/>
      <c r="S34" s="286"/>
      <c r="T34" s="286"/>
      <c r="U34" s="286"/>
      <c r="V34" s="286"/>
      <c r="W34" s="286"/>
      <c r="X34" s="286"/>
      <c r="Y34" s="286"/>
      <c r="Z34" s="286"/>
      <c r="AA34" s="286"/>
      <c r="AB34" s="286"/>
      <c r="AC34" s="286"/>
      <c r="AD34" s="286"/>
      <c r="AE34" s="286"/>
      <c r="AF34" s="286"/>
      <c r="AG34" s="286"/>
      <c r="AH34" s="286"/>
      <c r="AI34" s="286"/>
      <c r="AJ34" s="286"/>
      <c r="AK34" s="286"/>
      <c r="AL34" s="286"/>
      <c r="AM34" s="286"/>
      <c r="AN34" s="286"/>
      <c r="AO34" s="286"/>
    </row>
    <row r="35" spans="1:41" s="47" customFormat="1" x14ac:dyDescent="0.3">
      <c r="L35" s="286"/>
      <c r="M35" s="286"/>
      <c r="N35" s="286"/>
      <c r="O35" s="287"/>
      <c r="P35" s="286"/>
      <c r="Q35" s="286"/>
      <c r="R35" s="286"/>
      <c r="S35" s="286"/>
      <c r="T35" s="286"/>
      <c r="U35" s="286"/>
      <c r="V35" s="286"/>
      <c r="W35" s="286"/>
      <c r="X35" s="286"/>
      <c r="Y35" s="286"/>
      <c r="Z35" s="286"/>
      <c r="AA35" s="286"/>
      <c r="AB35" s="286"/>
      <c r="AC35" s="286"/>
      <c r="AD35" s="286"/>
      <c r="AE35" s="286"/>
      <c r="AF35" s="286"/>
      <c r="AG35" s="286"/>
      <c r="AH35" s="286"/>
      <c r="AI35" s="286"/>
      <c r="AJ35" s="286"/>
      <c r="AK35" s="286"/>
      <c r="AL35" s="286"/>
      <c r="AM35" s="286"/>
      <c r="AN35" s="286"/>
      <c r="AO35" s="286"/>
    </row>
    <row r="36" spans="1:41" s="47" customFormat="1" x14ac:dyDescent="0.3">
      <c r="L36" s="286"/>
      <c r="M36" s="286"/>
      <c r="N36" s="286"/>
      <c r="O36" s="287"/>
      <c r="P36" s="286"/>
      <c r="Q36" s="286"/>
      <c r="R36" s="286"/>
      <c r="S36" s="286"/>
      <c r="T36" s="286"/>
      <c r="U36" s="286"/>
      <c r="V36" s="286"/>
      <c r="W36" s="286"/>
      <c r="X36" s="286"/>
      <c r="Y36" s="286"/>
      <c r="Z36" s="286"/>
      <c r="AA36" s="286"/>
      <c r="AB36" s="286"/>
      <c r="AC36" s="286"/>
      <c r="AD36" s="286"/>
      <c r="AE36" s="286"/>
      <c r="AF36" s="286"/>
      <c r="AG36" s="286"/>
      <c r="AH36" s="286"/>
      <c r="AI36" s="286"/>
      <c r="AJ36" s="286"/>
      <c r="AK36" s="286"/>
      <c r="AL36" s="286"/>
      <c r="AM36" s="286"/>
      <c r="AN36" s="286"/>
      <c r="AO36" s="286"/>
    </row>
    <row r="37" spans="1:41" s="47" customFormat="1" x14ac:dyDescent="0.3">
      <c r="A37" s="286"/>
      <c r="B37" s="286"/>
      <c r="C37" s="286"/>
      <c r="D37" s="286"/>
      <c r="E37" s="286"/>
      <c r="F37" s="286"/>
      <c r="G37" s="286"/>
      <c r="H37" s="286"/>
      <c r="I37" s="286"/>
      <c r="J37" s="286"/>
      <c r="K37" s="287"/>
      <c r="L37" s="286"/>
      <c r="M37" s="286"/>
      <c r="N37" s="286"/>
      <c r="O37" s="286"/>
      <c r="P37" s="286"/>
      <c r="Q37" s="286"/>
      <c r="R37" s="286"/>
      <c r="S37" s="286"/>
      <c r="T37" s="286"/>
      <c r="U37" s="286"/>
      <c r="V37" s="286"/>
      <c r="W37" s="286"/>
      <c r="X37" s="286"/>
      <c r="Y37" s="286"/>
      <c r="Z37" s="286"/>
      <c r="AA37" s="286"/>
      <c r="AB37" s="286"/>
      <c r="AC37" s="286"/>
      <c r="AD37" s="286"/>
      <c r="AE37" s="286"/>
      <c r="AF37" s="286"/>
      <c r="AG37" s="286"/>
      <c r="AH37" s="286"/>
      <c r="AI37" s="286"/>
      <c r="AJ37" s="286"/>
      <c r="AK37" s="286"/>
    </row>
    <row r="38" spans="1:41" s="47" customFormat="1" x14ac:dyDescent="0.3">
      <c r="K38" s="285"/>
    </row>
    <row r="39" spans="1:41" s="47" customFormat="1" x14ac:dyDescent="0.3">
      <c r="K39" s="285"/>
    </row>
    <row r="40" spans="1:41" s="47" customFormat="1" x14ac:dyDescent="0.3">
      <c r="K40" s="285"/>
    </row>
    <row r="41" spans="1:41" s="47" customFormat="1" x14ac:dyDescent="0.3">
      <c r="K41" s="285"/>
    </row>
    <row r="42" spans="1:41" s="47" customFormat="1" x14ac:dyDescent="0.3">
      <c r="K42" s="285"/>
    </row>
    <row r="43" spans="1:41" s="47" customFormat="1" x14ac:dyDescent="0.3">
      <c r="K43" s="285"/>
    </row>
    <row r="44" spans="1:41" s="47" customFormat="1" x14ac:dyDescent="0.3">
      <c r="K44" s="285"/>
    </row>
    <row r="45" spans="1:41" s="47" customFormat="1" x14ac:dyDescent="0.3">
      <c r="K45" s="285"/>
    </row>
    <row r="46" spans="1:41" s="47" customFormat="1" x14ac:dyDescent="0.3">
      <c r="K46" s="285"/>
    </row>
    <row r="47" spans="1:41" s="47" customFormat="1" x14ac:dyDescent="0.3">
      <c r="K47" s="285"/>
    </row>
    <row r="48" spans="1:41" s="47" customFormat="1" x14ac:dyDescent="0.3">
      <c r="K48" s="285"/>
    </row>
    <row r="49" spans="11:11" s="47" customFormat="1" x14ac:dyDescent="0.3">
      <c r="K49" s="285"/>
    </row>
    <row r="50" spans="11:11" s="47" customFormat="1" x14ac:dyDescent="0.3">
      <c r="K50" s="285"/>
    </row>
    <row r="51" spans="11:11" s="47" customFormat="1" x14ac:dyDescent="0.3">
      <c r="K51" s="285"/>
    </row>
    <row r="52" spans="11:11" s="47" customFormat="1" x14ac:dyDescent="0.3">
      <c r="K52" s="285"/>
    </row>
  </sheetData>
  <pageMargins left="0.7" right="0.7" top="0.75" bottom="0.75" header="0.3" footer="0.3"/>
  <pageSetup scale="5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Report Summary</vt:lpstr>
      <vt:lpstr>Report Calculations Summary</vt:lpstr>
      <vt:lpstr>Summary Report</vt:lpstr>
      <vt:lpstr>Ad Viewership Detail</vt:lpstr>
      <vt:lpstr>Ad Vwrship Summary (Mult Prog)</vt:lpstr>
      <vt:lpstr>Ad Viewership Summary (1 Prog)</vt:lpstr>
      <vt:lpstr>Ad Viewership Log</vt:lpstr>
      <vt:lpstr>Ad Viewrship Log (Mult Prog)</vt:lpstr>
      <vt:lpstr>Campaign Summary (Mult Prog)</vt:lpstr>
      <vt:lpstr>Campaign Summary</vt:lpstr>
      <vt:lpstr>Campaign PoP (Prog View)</vt:lpstr>
      <vt:lpstr>Campaign PoP (Advertiser View)</vt:lpstr>
    </vt:vector>
  </TitlesOfParts>
  <Company>Canoe Ventures,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Farb</dc:creator>
  <cp:lastModifiedBy>Ben Aycrigg</cp:lastModifiedBy>
  <cp:lastPrinted>2012-05-09T14:25:03Z</cp:lastPrinted>
  <dcterms:created xsi:type="dcterms:W3CDTF">2011-03-18T18:01:37Z</dcterms:created>
  <dcterms:modified xsi:type="dcterms:W3CDTF">2012-05-21T23:55:38Z</dcterms:modified>
</cp:coreProperties>
</file>