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myer056/GitHub/tempest-system-level-analysis/"/>
    </mc:Choice>
  </mc:AlternateContent>
  <xr:revisionPtr revIDLastSave="0" documentId="13_ncr:1_{B4C48BBF-8339-D140-94F5-048163C01015}" xr6:coauthVersionLast="47" xr6:coauthVersionMax="47" xr10:uidLastSave="{00000000-0000-0000-0000-000000000000}"/>
  <bookViews>
    <workbookView xWindow="0" yWindow="760" windowWidth="34560" windowHeight="19940" activeTab="5" xr2:uid="{88C78EEA-1365-A44C-9080-7B0F676A2065}"/>
  </bookViews>
  <sheets>
    <sheet name="dilutions_first_round" sheetId="5" r:id="rId1"/>
    <sheet name="dilutions_calculations_sheet" sheetId="1" r:id="rId2"/>
    <sheet name="print me lab dilution sheet" sheetId="2" r:id="rId3"/>
    <sheet name="additions" sheetId="6" r:id="rId4"/>
    <sheet name="EMSL list" sheetId="3" r:id="rId5"/>
    <sheet name="EMSL Key" sheetId="4" r:id="rId6"/>
  </sheets>
  <definedNames>
    <definedName name="_xlnm.Print_Area" localSheetId="2">'print me lab dilution sheet'!$A$57:$I$84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4" l="1"/>
  <c r="C13" i="4"/>
  <c r="D13" i="4"/>
  <c r="D12" i="4"/>
  <c r="C11" i="4"/>
  <c r="D11" i="4"/>
  <c r="C12" i="4"/>
  <c r="C2" i="4"/>
  <c r="B60" i="2"/>
  <c r="A60" i="2"/>
  <c r="B59" i="2"/>
  <c r="A59" i="2"/>
  <c r="B58" i="2"/>
  <c r="A58" i="2"/>
  <c r="O6" i="5"/>
  <c r="P6" i="5"/>
  <c r="O7" i="5"/>
  <c r="P7" i="5"/>
  <c r="S40" i="1"/>
  <c r="U40" i="1" s="1"/>
  <c r="U41" i="1"/>
  <c r="Q34" i="1"/>
  <c r="S34" i="1" s="1"/>
  <c r="Q31" i="1"/>
  <c r="S31" i="1" s="1"/>
  <c r="Q22" i="1"/>
  <c r="S22" i="1" s="1"/>
  <c r="Q19" i="1"/>
  <c r="S19" i="1" s="1"/>
  <c r="Q9" i="1"/>
  <c r="S9" i="1" s="1"/>
  <c r="Q6" i="1"/>
  <c r="S6" i="1" s="1"/>
  <c r="S3" i="1"/>
  <c r="T3" i="1"/>
  <c r="S4" i="1"/>
  <c r="T4" i="1"/>
  <c r="S5" i="1"/>
  <c r="T5" i="1"/>
  <c r="T6" i="1"/>
  <c r="S7" i="1"/>
  <c r="T7" i="1"/>
  <c r="S8" i="1"/>
  <c r="T8" i="1"/>
  <c r="T9" i="1"/>
  <c r="T10" i="1"/>
  <c r="S11" i="1"/>
  <c r="T11" i="1"/>
  <c r="S12" i="1"/>
  <c r="T12" i="1"/>
  <c r="S13" i="1"/>
  <c r="T13" i="1"/>
  <c r="S14" i="1"/>
  <c r="T14" i="1"/>
  <c r="S15" i="1"/>
  <c r="T15" i="1"/>
  <c r="S16" i="1"/>
  <c r="T16" i="1"/>
  <c r="S17" i="1"/>
  <c r="T17" i="1"/>
  <c r="S18" i="1"/>
  <c r="T18" i="1"/>
  <c r="T19" i="1"/>
  <c r="S20" i="1"/>
  <c r="T20" i="1"/>
  <c r="S21" i="1"/>
  <c r="T21" i="1"/>
  <c r="T22" i="1"/>
  <c r="S23" i="1"/>
  <c r="T23" i="1"/>
  <c r="S24" i="1"/>
  <c r="T24" i="1"/>
  <c r="S25" i="1"/>
  <c r="T25" i="1"/>
  <c r="S26" i="1"/>
  <c r="T26" i="1"/>
  <c r="S27" i="1"/>
  <c r="T27" i="1"/>
  <c r="S28" i="1"/>
  <c r="T28" i="1"/>
  <c r="S29" i="1"/>
  <c r="T29" i="1"/>
  <c r="S30" i="1"/>
  <c r="T30" i="1"/>
  <c r="T31" i="1"/>
  <c r="S32" i="1"/>
  <c r="T32" i="1"/>
  <c r="S33" i="1"/>
  <c r="T33" i="1"/>
  <c r="T34" i="1"/>
  <c r="S35" i="1"/>
  <c r="T35" i="1"/>
  <c r="S36" i="1"/>
  <c r="T36" i="1"/>
  <c r="S37" i="1"/>
  <c r="T37" i="1"/>
  <c r="S38" i="1"/>
  <c r="T38" i="1"/>
  <c r="S39" i="1"/>
  <c r="T39" i="1"/>
  <c r="T2" i="1"/>
  <c r="S2" i="1"/>
  <c r="A31" i="2"/>
  <c r="B31" i="2"/>
  <c r="I31" i="2"/>
  <c r="A32" i="2"/>
  <c r="B32" i="2"/>
  <c r="I32" i="2"/>
  <c r="A33" i="2"/>
  <c r="B33" i="2"/>
  <c r="I33" i="2"/>
  <c r="A34" i="2"/>
  <c r="B34" i="2"/>
  <c r="A35" i="2"/>
  <c r="B35" i="2"/>
  <c r="I35" i="2"/>
  <c r="A36" i="2"/>
  <c r="B36" i="2"/>
  <c r="I36" i="2"/>
  <c r="A37" i="2"/>
  <c r="B37" i="2"/>
  <c r="A38" i="2"/>
  <c r="B38" i="2"/>
  <c r="I38" i="2"/>
  <c r="A39" i="2"/>
  <c r="B39" i="2"/>
  <c r="I39" i="2"/>
  <c r="A40" i="2"/>
  <c r="B40" i="2"/>
  <c r="I40" i="2"/>
  <c r="A41" i="2"/>
  <c r="B41" i="2"/>
  <c r="I41" i="2"/>
  <c r="A42" i="2"/>
  <c r="B42" i="2"/>
  <c r="I42" i="2"/>
  <c r="A43" i="2"/>
  <c r="E43" i="2"/>
  <c r="D43" i="2"/>
  <c r="F43" i="2" s="1"/>
  <c r="I43" i="2"/>
  <c r="I30" i="2"/>
  <c r="B30" i="2"/>
  <c r="A30" i="2"/>
  <c r="A3" i="2"/>
  <c r="B3" i="2"/>
  <c r="I3" i="2"/>
  <c r="A4" i="2"/>
  <c r="B4" i="2"/>
  <c r="I4" i="2"/>
  <c r="A5" i="2"/>
  <c r="B5" i="2"/>
  <c r="I5" i="2"/>
  <c r="A6" i="2"/>
  <c r="B6" i="2"/>
  <c r="A7" i="2"/>
  <c r="B7" i="2"/>
  <c r="I7" i="2"/>
  <c r="A8" i="2"/>
  <c r="B8" i="2"/>
  <c r="I8" i="2"/>
  <c r="A9" i="2"/>
  <c r="B9" i="2"/>
  <c r="A10" i="2"/>
  <c r="B10" i="2"/>
  <c r="I10" i="2"/>
  <c r="A11" i="2"/>
  <c r="B11" i="2"/>
  <c r="I11" i="2"/>
  <c r="A12" i="2"/>
  <c r="B12" i="2"/>
  <c r="I12" i="2"/>
  <c r="A13" i="2"/>
  <c r="B13" i="2"/>
  <c r="I13" i="2"/>
  <c r="A14" i="2"/>
  <c r="B14" i="2"/>
  <c r="I14" i="2"/>
  <c r="A15" i="2"/>
  <c r="B15" i="2"/>
  <c r="I15" i="2"/>
  <c r="A16" i="2"/>
  <c r="B16" i="2"/>
  <c r="I16" i="2"/>
  <c r="A17" i="2"/>
  <c r="B17" i="2"/>
  <c r="I17" i="2"/>
  <c r="A18" i="2"/>
  <c r="B18" i="2"/>
  <c r="I18" i="2"/>
  <c r="A19" i="2"/>
  <c r="B19" i="2"/>
  <c r="A20" i="2"/>
  <c r="B20" i="2"/>
  <c r="I20" i="2"/>
  <c r="A21" i="2"/>
  <c r="B21" i="2"/>
  <c r="I21" i="2"/>
  <c r="A22" i="2"/>
  <c r="B22" i="2"/>
  <c r="A23" i="2"/>
  <c r="B23" i="2"/>
  <c r="I23" i="2"/>
  <c r="A24" i="2"/>
  <c r="B24" i="2"/>
  <c r="I24" i="2"/>
  <c r="A25" i="2"/>
  <c r="B25" i="2"/>
  <c r="I25" i="2"/>
  <c r="A26" i="2"/>
  <c r="B26" i="2"/>
  <c r="I26" i="2"/>
  <c r="E3" i="1"/>
  <c r="G3" i="1" s="1"/>
  <c r="H3" i="1"/>
  <c r="M3" i="1" s="1"/>
  <c r="N3" i="1" s="1"/>
  <c r="D3" i="2" s="1"/>
  <c r="F3" i="2" s="1"/>
  <c r="I3" i="1"/>
  <c r="E4" i="1"/>
  <c r="G4" i="1" s="1"/>
  <c r="H4" i="1"/>
  <c r="J4" i="1" s="1"/>
  <c r="I4" i="1"/>
  <c r="E5" i="1"/>
  <c r="G5" i="1" s="1"/>
  <c r="H5" i="1"/>
  <c r="J5" i="1" s="1"/>
  <c r="I5" i="1"/>
  <c r="E7" i="1"/>
  <c r="G7" i="1" s="1"/>
  <c r="H7" i="1"/>
  <c r="J7" i="1" s="1"/>
  <c r="I7" i="1"/>
  <c r="E8" i="1"/>
  <c r="G8" i="1" s="1"/>
  <c r="H8" i="1"/>
  <c r="J8" i="1" s="1"/>
  <c r="I8" i="1"/>
  <c r="M8" i="1"/>
  <c r="N8" i="1" s="1"/>
  <c r="P8" i="1" s="1"/>
  <c r="E10" i="1"/>
  <c r="G10" i="1" s="1"/>
  <c r="H10" i="1"/>
  <c r="J10" i="1" s="1"/>
  <c r="I10" i="1"/>
  <c r="E11" i="1"/>
  <c r="G11" i="1" s="1"/>
  <c r="H11" i="1"/>
  <c r="I11" i="1"/>
  <c r="E12" i="1"/>
  <c r="G12" i="1" s="1"/>
  <c r="H12" i="1"/>
  <c r="J12" i="1" s="1"/>
  <c r="I12" i="1"/>
  <c r="E13" i="1"/>
  <c r="G13" i="1" s="1"/>
  <c r="H13" i="1"/>
  <c r="J13" i="1" s="1"/>
  <c r="I13" i="1"/>
  <c r="E14" i="1"/>
  <c r="G14" i="1" s="1"/>
  <c r="H14" i="1"/>
  <c r="J14" i="1" s="1"/>
  <c r="I14" i="1"/>
  <c r="E15" i="1"/>
  <c r="G15" i="1" s="1"/>
  <c r="H15" i="1"/>
  <c r="J15" i="1" s="1"/>
  <c r="I15" i="1"/>
  <c r="E16" i="1"/>
  <c r="G16" i="1" s="1"/>
  <c r="H16" i="1"/>
  <c r="I16" i="1"/>
  <c r="E17" i="1"/>
  <c r="G17" i="1" s="1"/>
  <c r="H17" i="1"/>
  <c r="J17" i="1" s="1"/>
  <c r="I17" i="1"/>
  <c r="E18" i="1"/>
  <c r="G18" i="1" s="1"/>
  <c r="H18" i="1"/>
  <c r="J18" i="1" s="1"/>
  <c r="I18" i="1"/>
  <c r="E20" i="1"/>
  <c r="G20" i="1" s="1"/>
  <c r="H20" i="1"/>
  <c r="J20" i="1" s="1"/>
  <c r="I20" i="1"/>
  <c r="E21" i="1"/>
  <c r="G21" i="1" s="1"/>
  <c r="H21" i="1"/>
  <c r="I21" i="1"/>
  <c r="E23" i="1"/>
  <c r="G23" i="1" s="1"/>
  <c r="H23" i="1"/>
  <c r="I23" i="1"/>
  <c r="E24" i="1"/>
  <c r="G24" i="1" s="1"/>
  <c r="H24" i="1"/>
  <c r="J24" i="1" s="1"/>
  <c r="I24" i="1"/>
  <c r="E25" i="1"/>
  <c r="G25" i="1" s="1"/>
  <c r="H25" i="1"/>
  <c r="J25" i="1" s="1"/>
  <c r="I25" i="1"/>
  <c r="E26" i="1"/>
  <c r="G26" i="1" s="1"/>
  <c r="H26" i="1"/>
  <c r="I26" i="1"/>
  <c r="E27" i="1"/>
  <c r="G27" i="1" s="1"/>
  <c r="H27" i="1"/>
  <c r="J27" i="1" s="1"/>
  <c r="I27" i="1"/>
  <c r="E28" i="1"/>
  <c r="G28" i="1" s="1"/>
  <c r="H28" i="1"/>
  <c r="J28" i="1" s="1"/>
  <c r="I28" i="1"/>
  <c r="E29" i="1"/>
  <c r="G29" i="1"/>
  <c r="H29" i="1"/>
  <c r="I29" i="1"/>
  <c r="E30" i="1"/>
  <c r="G30" i="1" s="1"/>
  <c r="H30" i="1"/>
  <c r="J30" i="1" s="1"/>
  <c r="I30" i="1"/>
  <c r="E32" i="1"/>
  <c r="G32" i="1" s="1"/>
  <c r="H32" i="1"/>
  <c r="J32" i="1" s="1"/>
  <c r="I32" i="1"/>
  <c r="E33" i="1"/>
  <c r="G33" i="1" s="1"/>
  <c r="H33" i="1"/>
  <c r="J33" i="1" s="1"/>
  <c r="I33" i="1"/>
  <c r="E35" i="1"/>
  <c r="G35" i="1" s="1"/>
  <c r="H35" i="1"/>
  <c r="J35" i="1" s="1"/>
  <c r="I35" i="1"/>
  <c r="E36" i="1"/>
  <c r="G36" i="1"/>
  <c r="H36" i="1"/>
  <c r="J36" i="1" s="1"/>
  <c r="I36" i="1"/>
  <c r="E37" i="1"/>
  <c r="G37" i="1" s="1"/>
  <c r="H37" i="1"/>
  <c r="J37" i="1" s="1"/>
  <c r="I37" i="1"/>
  <c r="U37" i="1"/>
  <c r="E38" i="1"/>
  <c r="G38" i="1"/>
  <c r="H38" i="1"/>
  <c r="J38" i="1" s="1"/>
  <c r="I38" i="1"/>
  <c r="E39" i="1"/>
  <c r="G39" i="1" s="1"/>
  <c r="H39" i="1"/>
  <c r="I39" i="1"/>
  <c r="T17" i="5"/>
  <c r="S17" i="5"/>
  <c r="I17" i="5"/>
  <c r="H17" i="5"/>
  <c r="M17" i="5" s="1"/>
  <c r="N17" i="5" s="1"/>
  <c r="P17" i="5" s="1"/>
  <c r="E17" i="5"/>
  <c r="G17" i="5" s="1"/>
  <c r="T16" i="5"/>
  <c r="S16" i="5"/>
  <c r="I16" i="5"/>
  <c r="H16" i="5"/>
  <c r="M16" i="5" s="1"/>
  <c r="E16" i="5"/>
  <c r="G16" i="5" s="1"/>
  <c r="T15" i="5"/>
  <c r="S15" i="5"/>
  <c r="I15" i="5"/>
  <c r="H15" i="5"/>
  <c r="M15" i="5" s="1"/>
  <c r="E15" i="5"/>
  <c r="G15" i="5" s="1"/>
  <c r="T14" i="5"/>
  <c r="S14" i="5"/>
  <c r="I14" i="5"/>
  <c r="H14" i="5"/>
  <c r="E14" i="5"/>
  <c r="G14" i="5" s="1"/>
  <c r="T13" i="5"/>
  <c r="S13" i="5"/>
  <c r="I13" i="5"/>
  <c r="H13" i="5"/>
  <c r="M13" i="5" s="1"/>
  <c r="E13" i="5"/>
  <c r="G13" i="5" s="1"/>
  <c r="T12" i="5"/>
  <c r="S12" i="5"/>
  <c r="I12" i="5"/>
  <c r="H12" i="5"/>
  <c r="J12" i="5" s="1"/>
  <c r="E12" i="5"/>
  <c r="G12" i="5" s="1"/>
  <c r="T11" i="5"/>
  <c r="S11" i="5"/>
  <c r="I11" i="5"/>
  <c r="H11" i="5"/>
  <c r="J11" i="5" s="1"/>
  <c r="E11" i="5"/>
  <c r="G11" i="5" s="1"/>
  <c r="R10" i="5"/>
  <c r="T10" i="5" s="1"/>
  <c r="S10" i="5"/>
  <c r="I10" i="5"/>
  <c r="H10" i="5"/>
  <c r="J10" i="5" s="1"/>
  <c r="E10" i="5"/>
  <c r="G10" i="5" s="1"/>
  <c r="T9" i="5"/>
  <c r="S9" i="5"/>
  <c r="I9" i="5"/>
  <c r="H9" i="5"/>
  <c r="M9" i="5" s="1"/>
  <c r="E9" i="5"/>
  <c r="G9" i="5" s="1"/>
  <c r="T8" i="5"/>
  <c r="S8" i="5"/>
  <c r="I8" i="5"/>
  <c r="H8" i="5"/>
  <c r="M8" i="5" s="1"/>
  <c r="O8" i="5" s="1"/>
  <c r="E8" i="5"/>
  <c r="G8" i="5" s="1"/>
  <c r="T7" i="5"/>
  <c r="S7" i="5"/>
  <c r="I7" i="5"/>
  <c r="H7" i="5"/>
  <c r="M7" i="5" s="1"/>
  <c r="N7" i="5" s="1"/>
  <c r="E7" i="5"/>
  <c r="G7" i="5" s="1"/>
  <c r="T6" i="5"/>
  <c r="S6" i="5"/>
  <c r="I6" i="5"/>
  <c r="H6" i="5"/>
  <c r="E6" i="5"/>
  <c r="G6" i="5" s="1"/>
  <c r="T5" i="5"/>
  <c r="S5" i="5"/>
  <c r="I5" i="5"/>
  <c r="H5" i="5"/>
  <c r="M5" i="5" s="1"/>
  <c r="E5" i="5"/>
  <c r="G5" i="5" s="1"/>
  <c r="T4" i="5"/>
  <c r="S4" i="5"/>
  <c r="I4" i="5"/>
  <c r="H4" i="5"/>
  <c r="M4" i="5" s="1"/>
  <c r="E4" i="5"/>
  <c r="G4" i="5" s="1"/>
  <c r="R3" i="5"/>
  <c r="T3" i="5" s="1"/>
  <c r="S3" i="5"/>
  <c r="I3" i="5"/>
  <c r="H3" i="5"/>
  <c r="M3" i="5" s="1"/>
  <c r="E3" i="5"/>
  <c r="G3" i="5" s="1"/>
  <c r="T2" i="5"/>
  <c r="S2" i="5"/>
  <c r="I2" i="5"/>
  <c r="H2" i="5"/>
  <c r="M2" i="5" s="1"/>
  <c r="O2" i="5" s="1"/>
  <c r="E2" i="5"/>
  <c r="G2" i="5" s="1"/>
  <c r="I2" i="2"/>
  <c r="B2" i="2"/>
  <c r="A2" i="2"/>
  <c r="C19" i="1"/>
  <c r="D19" i="1"/>
  <c r="C6" i="1"/>
  <c r="D6" i="1"/>
  <c r="C9" i="1"/>
  <c r="D9" i="1"/>
  <c r="C34" i="1"/>
  <c r="D34" i="1"/>
  <c r="C31" i="1"/>
  <c r="D31" i="1"/>
  <c r="D22" i="1"/>
  <c r="C22" i="1"/>
  <c r="I2" i="1"/>
  <c r="H2" i="1"/>
  <c r="J2" i="1" s="1"/>
  <c r="E2" i="1"/>
  <c r="G2" i="1" s="1"/>
  <c r="B34" i="1"/>
  <c r="B31" i="1"/>
  <c r="B22" i="1"/>
  <c r="B19" i="1"/>
  <c r="B6" i="1"/>
  <c r="B9" i="1"/>
  <c r="O3" i="1" l="1"/>
  <c r="U36" i="1"/>
  <c r="E22" i="1"/>
  <c r="G22" i="1" s="1"/>
  <c r="U34" i="1"/>
  <c r="E19" i="1"/>
  <c r="G19" i="1" s="1"/>
  <c r="P3" i="1"/>
  <c r="M36" i="1"/>
  <c r="N36" i="1" s="1"/>
  <c r="D39" i="2" s="1"/>
  <c r="F39" i="2" s="1"/>
  <c r="U31" i="1"/>
  <c r="M38" i="1"/>
  <c r="C41" i="2" s="1"/>
  <c r="E41" i="2" s="1"/>
  <c r="H19" i="1"/>
  <c r="J19" i="1" s="1"/>
  <c r="M25" i="1"/>
  <c r="N25" i="1" s="1"/>
  <c r="P25" i="1" s="1"/>
  <c r="J3" i="1"/>
  <c r="E34" i="1"/>
  <c r="G34" i="1" s="1"/>
  <c r="H9" i="1"/>
  <c r="J9" i="1" s="1"/>
  <c r="M33" i="1"/>
  <c r="C36" i="2" s="1"/>
  <c r="E36" i="2" s="1"/>
  <c r="U8" i="1"/>
  <c r="I9" i="1"/>
  <c r="I31" i="1"/>
  <c r="C3" i="2"/>
  <c r="E3" i="2" s="1"/>
  <c r="U33" i="1"/>
  <c r="I34" i="1"/>
  <c r="E6" i="1"/>
  <c r="G6" i="1" s="1"/>
  <c r="H6" i="1"/>
  <c r="J6" i="1" s="1"/>
  <c r="E31" i="1"/>
  <c r="G31" i="1" s="1"/>
  <c r="U22" i="1"/>
  <c r="E9" i="1"/>
  <c r="G9" i="1" s="1"/>
  <c r="U27" i="1"/>
  <c r="M18" i="1"/>
  <c r="M37" i="1"/>
  <c r="M20" i="1"/>
  <c r="U6" i="1"/>
  <c r="I22" i="1"/>
  <c r="U13" i="1"/>
  <c r="D8" i="2"/>
  <c r="F8" i="2" s="1"/>
  <c r="U9" i="1"/>
  <c r="H22" i="1"/>
  <c r="J22" i="1" s="1"/>
  <c r="M15" i="1"/>
  <c r="M13" i="1"/>
  <c r="I6" i="1"/>
  <c r="C8" i="2"/>
  <c r="E8" i="2" s="1"/>
  <c r="O8" i="1"/>
  <c r="U24" i="1"/>
  <c r="U5" i="1"/>
  <c r="H31" i="1"/>
  <c r="U30" i="1"/>
  <c r="U19" i="1"/>
  <c r="H34" i="1"/>
  <c r="J34" i="1" s="1"/>
  <c r="I19" i="1"/>
  <c r="O33" i="1"/>
  <c r="M32" i="1"/>
  <c r="M5" i="1"/>
  <c r="M27" i="1"/>
  <c r="U23" i="1"/>
  <c r="U18" i="1"/>
  <c r="U15" i="1"/>
  <c r="M23" i="1"/>
  <c r="U26" i="1"/>
  <c r="U4" i="1"/>
  <c r="U16" i="1"/>
  <c r="U39" i="1"/>
  <c r="U11" i="1"/>
  <c r="U21" i="1"/>
  <c r="U29" i="1"/>
  <c r="J23" i="1"/>
  <c r="M10" i="1"/>
  <c r="M28" i="1"/>
  <c r="U38" i="1"/>
  <c r="U32" i="1"/>
  <c r="U20" i="1"/>
  <c r="U28" i="1"/>
  <c r="U25" i="1"/>
  <c r="U7" i="1"/>
  <c r="U3" i="1"/>
  <c r="U12" i="1"/>
  <c r="U17" i="1"/>
  <c r="U35" i="1"/>
  <c r="U14" i="1"/>
  <c r="M24" i="1"/>
  <c r="M14" i="1"/>
  <c r="M4" i="1"/>
  <c r="M39" i="1"/>
  <c r="M29" i="1"/>
  <c r="M26" i="1"/>
  <c r="M21" i="1"/>
  <c r="M16" i="1"/>
  <c r="M11" i="1"/>
  <c r="M6" i="1"/>
  <c r="J39" i="1"/>
  <c r="J29" i="1"/>
  <c r="J26" i="1"/>
  <c r="J21" i="1"/>
  <c r="J16" i="1"/>
  <c r="J11" i="1"/>
  <c r="M35" i="1"/>
  <c r="C60" i="2" s="1"/>
  <c r="E60" i="2" s="1"/>
  <c r="M30" i="1"/>
  <c r="M22" i="1"/>
  <c r="M17" i="1"/>
  <c r="M12" i="1"/>
  <c r="M7" i="1"/>
  <c r="U14" i="5"/>
  <c r="M11" i="5"/>
  <c r="N11" i="5" s="1"/>
  <c r="P11" i="5" s="1"/>
  <c r="U4" i="5"/>
  <c r="J17" i="5"/>
  <c r="J5" i="5"/>
  <c r="J7" i="5"/>
  <c r="U11" i="5"/>
  <c r="M12" i="5"/>
  <c r="N12" i="5" s="1"/>
  <c r="P12" i="5" s="1"/>
  <c r="U7" i="5"/>
  <c r="U6" i="5"/>
  <c r="O3" i="5"/>
  <c r="N3" i="5"/>
  <c r="P3" i="5" s="1"/>
  <c r="N15" i="5"/>
  <c r="P15" i="5" s="1"/>
  <c r="O15" i="5"/>
  <c r="U2" i="5"/>
  <c r="U13" i="5"/>
  <c r="U3" i="5"/>
  <c r="U9" i="5"/>
  <c r="U5" i="5"/>
  <c r="U12" i="5"/>
  <c r="U16" i="5"/>
  <c r="N8" i="5"/>
  <c r="P8" i="5" s="1"/>
  <c r="J2" i="5"/>
  <c r="J15" i="5"/>
  <c r="O17" i="5"/>
  <c r="U8" i="5"/>
  <c r="J3" i="5"/>
  <c r="M10" i="5"/>
  <c r="O10" i="5" s="1"/>
  <c r="U17" i="5"/>
  <c r="U10" i="5"/>
  <c r="M6" i="5"/>
  <c r="J6" i="5"/>
  <c r="U15" i="5"/>
  <c r="O16" i="5"/>
  <c r="N16" i="5"/>
  <c r="P16" i="5" s="1"/>
  <c r="N5" i="5"/>
  <c r="P5" i="5" s="1"/>
  <c r="O5" i="5"/>
  <c r="O4" i="5"/>
  <c r="N4" i="5"/>
  <c r="P4" i="5" s="1"/>
  <c r="O9" i="5"/>
  <c r="N9" i="5"/>
  <c r="P9" i="5" s="1"/>
  <c r="J4" i="5"/>
  <c r="O13" i="5"/>
  <c r="N13" i="5"/>
  <c r="P13" i="5" s="1"/>
  <c r="M14" i="5"/>
  <c r="J14" i="5"/>
  <c r="N2" i="5"/>
  <c r="P2" i="5" s="1"/>
  <c r="J8" i="5"/>
  <c r="J9" i="5"/>
  <c r="J13" i="5"/>
  <c r="J16" i="5"/>
  <c r="M2" i="1"/>
  <c r="O2" i="1" s="1"/>
  <c r="U2" i="1"/>
  <c r="C23" i="2" l="1"/>
  <c r="E23" i="2" s="1"/>
  <c r="C59" i="2"/>
  <c r="E59" i="2" s="1"/>
  <c r="O10" i="1"/>
  <c r="C58" i="2"/>
  <c r="E58" i="2" s="1"/>
  <c r="M9" i="1"/>
  <c r="D25" i="2"/>
  <c r="F25" i="2" s="1"/>
  <c r="O38" i="1"/>
  <c r="N38" i="1"/>
  <c r="M19" i="1"/>
  <c r="C19" i="2" s="1"/>
  <c r="E19" i="2" s="1"/>
  <c r="P36" i="1"/>
  <c r="C25" i="2"/>
  <c r="E25" i="2" s="1"/>
  <c r="O25" i="1"/>
  <c r="C39" i="2"/>
  <c r="E39" i="2" s="1"/>
  <c r="O36" i="1"/>
  <c r="M34" i="1"/>
  <c r="C37" i="2" s="1"/>
  <c r="E37" i="2" s="1"/>
  <c r="N33" i="1"/>
  <c r="D36" i="2" s="1"/>
  <c r="F36" i="2" s="1"/>
  <c r="O7" i="1"/>
  <c r="C7" i="2"/>
  <c r="E7" i="2" s="1"/>
  <c r="O12" i="1"/>
  <c r="C12" i="2"/>
  <c r="E12" i="2" s="1"/>
  <c r="C42" i="2"/>
  <c r="E42" i="2" s="1"/>
  <c r="O39" i="1"/>
  <c r="O17" i="1"/>
  <c r="C17" i="2"/>
  <c r="E17" i="2" s="1"/>
  <c r="C4" i="2"/>
  <c r="E4" i="2" s="1"/>
  <c r="O4" i="1"/>
  <c r="C20" i="2"/>
  <c r="E20" i="2" s="1"/>
  <c r="O20" i="1"/>
  <c r="N20" i="1"/>
  <c r="C33" i="2"/>
  <c r="E33" i="2" s="1"/>
  <c r="O30" i="1"/>
  <c r="C6" i="2"/>
  <c r="E6" i="2" s="1"/>
  <c r="O6" i="1"/>
  <c r="O14" i="1"/>
  <c r="C14" i="2"/>
  <c r="E14" i="2" s="1"/>
  <c r="N27" i="1"/>
  <c r="O27" i="1"/>
  <c r="C30" i="2"/>
  <c r="E30" i="2" s="1"/>
  <c r="N13" i="1"/>
  <c r="C13" i="2"/>
  <c r="E13" i="2" s="1"/>
  <c r="O13" i="1"/>
  <c r="O22" i="1"/>
  <c r="C22" i="2"/>
  <c r="E22" i="2" s="1"/>
  <c r="C9" i="2"/>
  <c r="E9" i="2" s="1"/>
  <c r="O9" i="1"/>
  <c r="O11" i="1"/>
  <c r="C11" i="2"/>
  <c r="E11" i="2" s="1"/>
  <c r="O19" i="1"/>
  <c r="O5" i="1"/>
  <c r="N5" i="1"/>
  <c r="C5" i="2"/>
  <c r="E5" i="2" s="1"/>
  <c r="J31" i="1"/>
  <c r="M31" i="1"/>
  <c r="C15" i="2"/>
  <c r="E15" i="2" s="1"/>
  <c r="N15" i="1"/>
  <c r="O15" i="1"/>
  <c r="N37" i="1"/>
  <c r="O37" i="1"/>
  <c r="C40" i="2"/>
  <c r="E40" i="2" s="1"/>
  <c r="C24" i="2"/>
  <c r="E24" i="2" s="1"/>
  <c r="O24" i="1"/>
  <c r="N32" i="1"/>
  <c r="O32" i="1"/>
  <c r="C35" i="2"/>
  <c r="E35" i="2" s="1"/>
  <c r="C18" i="2"/>
  <c r="E18" i="2" s="1"/>
  <c r="O18" i="1"/>
  <c r="N28" i="1"/>
  <c r="O28" i="1"/>
  <c r="C31" i="2"/>
  <c r="E31" i="2" s="1"/>
  <c r="C32" i="2"/>
  <c r="E32" i="2" s="1"/>
  <c r="O29" i="1"/>
  <c r="O34" i="1"/>
  <c r="O16" i="1"/>
  <c r="C16" i="2"/>
  <c r="E16" i="2" s="1"/>
  <c r="O21" i="1"/>
  <c r="C21" i="2"/>
  <c r="E21" i="2" s="1"/>
  <c r="N18" i="1"/>
  <c r="C26" i="2"/>
  <c r="E26" i="2" s="1"/>
  <c r="O26" i="1"/>
  <c r="C38" i="2"/>
  <c r="E38" i="2" s="1"/>
  <c r="O35" i="1"/>
  <c r="N23" i="1"/>
  <c r="D59" i="2" s="1"/>
  <c r="F59" i="2" s="1"/>
  <c r="O23" i="1"/>
  <c r="C10" i="2"/>
  <c r="E10" i="2" s="1"/>
  <c r="N10" i="1"/>
  <c r="N35" i="1"/>
  <c r="N12" i="1"/>
  <c r="N6" i="1"/>
  <c r="N29" i="1"/>
  <c r="N26" i="1"/>
  <c r="N17" i="1"/>
  <c r="N24" i="1"/>
  <c r="N22" i="1"/>
  <c r="N11" i="1"/>
  <c r="N34" i="1"/>
  <c r="N9" i="1"/>
  <c r="N7" i="1"/>
  <c r="N14" i="1"/>
  <c r="N16" i="1"/>
  <c r="N39" i="1"/>
  <c r="N4" i="1"/>
  <c r="N30" i="1"/>
  <c r="N21" i="1"/>
  <c r="O11" i="5"/>
  <c r="O12" i="5"/>
  <c r="N10" i="5"/>
  <c r="P10" i="5" s="1"/>
  <c r="N6" i="5"/>
  <c r="O14" i="5"/>
  <c r="N14" i="5"/>
  <c r="P14" i="5" s="1"/>
  <c r="N2" i="1"/>
  <c r="P2" i="1" s="1"/>
  <c r="C2" i="2"/>
  <c r="P35" i="1" l="1"/>
  <c r="D60" i="2"/>
  <c r="F60" i="2" s="1"/>
  <c r="P33" i="1"/>
  <c r="N19" i="1"/>
  <c r="P10" i="1"/>
  <c r="D58" i="2"/>
  <c r="F58" i="2" s="1"/>
  <c r="P38" i="1"/>
  <c r="D41" i="2"/>
  <c r="F41" i="2" s="1"/>
  <c r="N31" i="1"/>
  <c r="C34" i="2"/>
  <c r="E34" i="2" s="1"/>
  <c r="O31" i="1"/>
  <c r="P27" i="1"/>
  <c r="D30" i="2"/>
  <c r="F30" i="2" s="1"/>
  <c r="P21" i="1"/>
  <c r="D21" i="2"/>
  <c r="F21" i="2" s="1"/>
  <c r="P19" i="1"/>
  <c r="D19" i="2"/>
  <c r="F19" i="2" s="1"/>
  <c r="D33" i="2"/>
  <c r="F33" i="2" s="1"/>
  <c r="P30" i="1"/>
  <c r="D24" i="2"/>
  <c r="F24" i="2" s="1"/>
  <c r="P24" i="1"/>
  <c r="D4" i="2"/>
  <c r="F4" i="2" s="1"/>
  <c r="P4" i="1"/>
  <c r="P17" i="1"/>
  <c r="D17" i="2"/>
  <c r="F17" i="2" s="1"/>
  <c r="D42" i="2"/>
  <c r="F42" i="2" s="1"/>
  <c r="P39" i="1"/>
  <c r="D26" i="2"/>
  <c r="F26" i="2" s="1"/>
  <c r="P26" i="1"/>
  <c r="P32" i="1"/>
  <c r="D35" i="2"/>
  <c r="F35" i="2" s="1"/>
  <c r="D16" i="2"/>
  <c r="F16" i="2" s="1"/>
  <c r="P16" i="1"/>
  <c r="P14" i="1"/>
  <c r="D14" i="2"/>
  <c r="F14" i="2" s="1"/>
  <c r="P5" i="1"/>
  <c r="D5" i="2"/>
  <c r="F5" i="2" s="1"/>
  <c r="D15" i="2"/>
  <c r="F15" i="2" s="1"/>
  <c r="P15" i="1"/>
  <c r="P6" i="1"/>
  <c r="D6" i="2"/>
  <c r="F6" i="2" s="1"/>
  <c r="D7" i="2"/>
  <c r="F7" i="2" s="1"/>
  <c r="P7" i="1"/>
  <c r="D9" i="2"/>
  <c r="F9" i="2" s="1"/>
  <c r="P9" i="1"/>
  <c r="P12" i="1"/>
  <c r="D12" i="2"/>
  <c r="F12" i="2" s="1"/>
  <c r="D18" i="2"/>
  <c r="F18" i="2" s="1"/>
  <c r="P18" i="1"/>
  <c r="P22" i="1"/>
  <c r="D22" i="2"/>
  <c r="F22" i="2" s="1"/>
  <c r="P28" i="1"/>
  <c r="D31" i="2"/>
  <c r="F31" i="2" s="1"/>
  <c r="P37" i="1"/>
  <c r="D40" i="2"/>
  <c r="F40" i="2" s="1"/>
  <c r="D32" i="2"/>
  <c r="F32" i="2" s="1"/>
  <c r="P29" i="1"/>
  <c r="P34" i="1"/>
  <c r="D37" i="2"/>
  <c r="F37" i="2" s="1"/>
  <c r="D11" i="2"/>
  <c r="F11" i="2" s="1"/>
  <c r="P11" i="1"/>
  <c r="D13" i="2"/>
  <c r="F13" i="2" s="1"/>
  <c r="P13" i="1"/>
  <c r="D20" i="2"/>
  <c r="F20" i="2" s="1"/>
  <c r="P20" i="1"/>
  <c r="P23" i="1"/>
  <c r="D23" i="2"/>
  <c r="F23" i="2" s="1"/>
  <c r="D38" i="2"/>
  <c r="F38" i="2" s="1"/>
  <c r="D10" i="2"/>
  <c r="F10" i="2" s="1"/>
  <c r="D2" i="2"/>
  <c r="D34" i="2" l="1"/>
  <c r="F34" i="2" s="1"/>
  <c r="P31" i="1"/>
  <c r="E2" i="2" l="1"/>
  <c r="F2" i="2" l="1"/>
  <c r="S10" i="1" l="1"/>
  <c r="U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tc={33545A29-03A6-6E41-98E8-E15F79271EA4}</author>
    <author>tc={7F437DFE-7ED8-4B40-8B77-C35EF8069306}</author>
    <author>tc={AC424A05-85D5-0341-A4A1-E90A32676C56}</author>
    <author>tc={9998ED2A-B317-CD4F-9B49-F5352AE4C5DE}</author>
    <author>tc={1C33B8EE-3D8C-B34C-8E65-1202623EA3BA}</author>
    <author>tc={0EA85ED2-D9A0-0F4E-800D-A2CFB13F816F}</author>
    <author>tc={AE785849-6CB9-8842-A8D6-E5D136E43133}</author>
    <author>tc={3B5C1CE9-6511-644C-92A9-17CCCFD864B9}</author>
    <author>tc={0A35A9EB-EC61-FE44-B5B6-E13FFE7AE04B}</author>
    <author>tc={64AEDB38-E8C5-2D45-A665-11D5BC8FFA5A}</author>
    <author>tc={81FC02AD-5323-064F-812A-DC2FFB26146F}</author>
    <author>tc={2C1EB49A-EDE3-B04C-BACE-D6C553F31B9C}</author>
    <author>tc={F201821C-4E07-5F4F-9937-07219BAF82AF}</author>
    <author>tc={15EEEEBC-E2D2-0046-9758-4ED60D8D4F2E}</author>
    <author>tc={59B3062A-A2A3-CF47-AC77-B806E5D07116}</author>
    <author>tc={80CE728E-82D3-8F4C-AC55-CD6119B4B87F}</author>
  </authors>
  <commentList>
    <comment ref="B1" authorId="0" shapeId="0" xr:uid="{33545A29-03A6-6E41-98E8-E15F79271EA4}">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7F437DFE-7ED8-4B40-8B77-C35EF8069306}">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AC424A05-85D5-0341-A4A1-E90A32676C56}">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9998ED2A-B317-CD4F-9B49-F5352AE4C5DE}">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1C33B8EE-3D8C-B34C-8E65-1202623EA3BA}">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K1" authorId="5" shapeId="0" xr:uid="{0EA85ED2-D9A0-0F4E-800D-A2CFB13F816F}">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L1" authorId="6" shapeId="0" xr:uid="{AE785849-6CB9-8842-A8D6-E5D136E43133}">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M1" authorId="7" shapeId="0" xr:uid="{3B5C1CE9-6511-644C-92A9-17CCCFD864B9}">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N1" authorId="8" shapeId="0" xr:uid="{0A35A9EB-EC61-FE44-B5B6-E13FFE7AE04B}">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O1" authorId="9" shapeId="0" xr:uid="{64AEDB38-E8C5-2D45-A665-11D5BC8FFA5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P1" authorId="10" shapeId="0" xr:uid="{81FC02AD-5323-064F-812A-DC2FFB26146F}">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Q1" authorId="11" shapeId="0" xr:uid="{2C1EB49A-EDE3-B04C-BACE-D6C553F31B9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R1" authorId="12" shapeId="0" xr:uid="{F201821C-4E07-5F4F-9937-07219BAF82AF}">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S1" authorId="13" shapeId="0" xr:uid="{15EEEEBC-E2D2-0046-9758-4ED60D8D4F2E}">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T1" authorId="14" shapeId="0" xr:uid="{59B3062A-A2A3-CF47-AC77-B806E5D07116}">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U1" authorId="15" shapeId="0" xr:uid="{80CE728E-82D3-8F4C-AC55-CD6119B4B87F}">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B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C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D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E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H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K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L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M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N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O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P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Q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R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S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T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U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tc={5496BF16-19CC-8644-856B-102F30C8A3C1}</author>
    <author>tc={052D6139-B99B-2347-9968-34F6F087EF3A}</author>
    <author>tc={7106AADD-BCEA-604B-9306-F6B43352D7D4}</author>
    <author>tc={DD83627E-53F7-9F4D-AB2B-52CBD718D804}</author>
    <author>tc={485BB4F8-C3BB-A443-927F-54BDB3DFE101}</author>
    <author>tc={7A40CFE6-97D9-CC4D-BD17-D70A421BE1CF}</author>
    <author>tc={AF4CD431-46D2-F140-AD25-66F145F7156E}</author>
    <author>tc={7D1B3831-D83E-BC40-B76D-2F6113FFA4D9}</author>
    <author>tc={7C7532A9-D00A-B14C-B45F-0AD67C6B92B1}</author>
    <author>tc={710A8095-C50E-BD43-BCBE-16021D90F484}</author>
    <author>tc={01F10E3C-A60B-C84D-8A2B-062BF771435D}</author>
    <author>tc={FAAD0434-0044-7B4A-A864-29856FE3F9A2}</author>
    <author>tc={872896F2-538F-D64E-9D8D-08AD0EE9D6FA}</author>
    <author>tc={6F5B3FB8-0A48-6E45-813C-9E166FF68E92}</author>
    <author>tc={CF516738-FDD8-4249-9412-98E29C106483}</author>
    <author>tc={3E0EC678-C350-9944-86C8-14B2B6A9C308}</author>
    <author>tc={3EA4EE7B-DC08-BB42-9E70-ABE00CE49AD4}</author>
    <author>tc={444F0EC4-3D92-914A-9022-8F1FF16D7408}</author>
    <author>tc={A832FBF0-3C96-314E-922B-CB556DFBD921}</author>
    <author>tc={0771EFEF-40D3-5140-98C5-6B165EAAA5F1}</author>
    <author>tc={5BAFCE2F-B855-6848-BE7B-BD6D09E758C1}</author>
    <author>tc={B9229F7C-4B70-744C-B952-1021476CE7FC}</author>
    <author>tc={651CC042-CA71-1949-A615-B73A08CB0356}</author>
    <author>tc={4E1319AB-B039-8E49-9E79-B1D3AAEB1892}</author>
  </authors>
  <commentList>
    <comment ref="A1" authorId="0"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1" authorId="2" shapeId="0" xr:uid="{67BD1930-4AC1-F548-A43B-D1EDF2B1C2CE}">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1" authorId="3"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1" authorId="4"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1" authorId="5"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1" authorId="6"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1" authorId="7"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8" shapeId="0" xr:uid="{5496BF16-19CC-8644-856B-102F30C8A3C1}">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9" shapeId="0" xr:uid="{052D6139-B99B-2347-9968-34F6F087EF3A}">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29" authorId="10" shapeId="0" xr:uid="{7106AADD-BCEA-604B-9306-F6B43352D7D4}">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29" authorId="11" shapeId="0" xr:uid="{DD83627E-53F7-9F4D-AB2B-52CBD718D804}">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29" authorId="12" shapeId="0" xr:uid="{485BB4F8-C3BB-A443-927F-54BDB3DFE101}">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29" authorId="13" shapeId="0" xr:uid="{7A40CFE6-97D9-CC4D-BD17-D70A421BE1CF}">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29" authorId="14" shapeId="0" xr:uid="{AF4CD431-46D2-F140-AD25-66F145F7156E}">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29" authorId="15" shapeId="0" xr:uid="{7D1B3831-D83E-BC40-B76D-2F6113FFA4D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6" shapeId="0" xr:uid="{7C7532A9-D00A-B14C-B45F-0AD67C6B92B1}">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7" shapeId="0" xr:uid="{710A8095-C50E-BD43-BCBE-16021D90F484}">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57" authorId="18" shapeId="0" xr:uid="{01F10E3C-A60B-C84D-8A2B-062BF771435D}">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57" authorId="19" shapeId="0" xr:uid="{FAAD0434-0044-7B4A-A864-29856FE3F9A2}">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57" authorId="20" shapeId="0" xr:uid="{872896F2-538F-D64E-9D8D-08AD0EE9D6FA}">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57" authorId="21" shapeId="0" xr:uid="{6F5B3FB8-0A48-6E45-813C-9E166FF68E92}">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57" authorId="22" shapeId="0" xr:uid="{CF516738-FDD8-4249-9412-98E29C106483}">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57" authorId="23" shapeId="0" xr:uid="{3E0EC678-C350-9944-86C8-14B2B6A9C308}">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4" shapeId="0" xr:uid="{3EA4EE7B-DC08-BB42-9E70-ABE00CE49AD4}">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5" shapeId="0" xr:uid="{444F0EC4-3D92-914A-9022-8F1FF16D740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C85" authorId="26" shapeId="0" xr:uid="{A832FBF0-3C96-314E-922B-CB556DFBD921}">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D85" authorId="27" shapeId="0" xr:uid="{0771EFEF-40D3-5140-98C5-6B165EAAA5F1}">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E85" authorId="28" shapeId="0" xr:uid="{5BAFCE2F-B855-6848-BE7B-BD6D09E758C1}">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F85" authorId="29" shapeId="0" xr:uid="{B9229F7C-4B70-744C-B952-1021476CE7FC}">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G85" authorId="30" shapeId="0" xr:uid="{651CC042-CA71-1949-A615-B73A08CB035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H85" authorId="31" shapeId="0" xr:uid="{4E1319AB-B039-8E49-9E79-B1D3AAEB1892}">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<sst xmlns="http://schemas.openxmlformats.org/spreadsheetml/2006/main" count="416" uniqueCount="175">
  <si>
    <t>Sample_ID</t>
  </si>
  <si>
    <t>DOC (mg/L)</t>
  </si>
  <si>
    <t>Actual Vol SPE'd (mL)</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</si>
  <si>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</si>
  <si>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</si>
  <si>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</si>
  <si>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</si>
  <si>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</si>
  <si>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</si>
  <si>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</si>
  <si>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</si>
  <si>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</si>
  <si>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</si>
  <si>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</si>
  <si>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</si>
  <si>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</si>
  <si>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</si>
  <si>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</si>
  <si>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</si>
  <si>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</si>
  <si>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</si>
  <si>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</si>
  <si>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kg/m3</t>
  </si>
  <si>
    <t>Density Water @ 25˚C</t>
  </si>
  <si>
    <t>TMP_FW_SOURCE_HR0</t>
  </si>
  <si>
    <t>TMP_FW_SOURCE_HR5</t>
  </si>
  <si>
    <t>TMP_FW_POOL_T3</t>
  </si>
  <si>
    <t>TMP_FW_SOURCE_HR3</t>
  </si>
  <si>
    <t>TMP_SW_SOURCE_HR0</t>
  </si>
  <si>
    <t>TMP_SW_SOURCE_HR2</t>
  </si>
  <si>
    <t>TMP_SW_POOL_T3</t>
  </si>
  <si>
    <t>TMP_FW_POOL_T4</t>
  </si>
  <si>
    <t>TMP_C_POOL_T4</t>
  </si>
  <si>
    <t>TMP_SW_POOL_T4</t>
  </si>
  <si>
    <t>TMP_C_POOL_20220912_20220915</t>
  </si>
  <si>
    <t>TMP_FW_POOL_20220912_20220915</t>
  </si>
  <si>
    <t>TMP_SW_POOL_20220912_20220915</t>
  </si>
  <si>
    <t>TMP_C_POOL_20221128_20221201</t>
  </si>
  <si>
    <t>TMP_FW_POOL_20221128_20221201</t>
  </si>
  <si>
    <t>TMP_SW_POOL_20221128_20221201</t>
  </si>
  <si>
    <t>TMP_C_POOL_20230202</t>
  </si>
  <si>
    <t>TMP_FW_POOL_20230202</t>
  </si>
  <si>
    <t>TMP_SW_POOL_20230202</t>
  </si>
  <si>
    <t>TMP_C_POOL_20230417</t>
  </si>
  <si>
    <t>TMP_FW_POOL_20230417</t>
  </si>
  <si>
    <t>TMP_SW_POOL_20230417</t>
  </si>
  <si>
    <t>TMP_C_POOL_20230515</t>
  </si>
  <si>
    <t>TMP_FW_POOL_20230515</t>
  </si>
  <si>
    <t>TMP_SW_POOL_20230515</t>
  </si>
  <si>
    <t>TMP_SW_POOL_T2</t>
  </si>
  <si>
    <t>TMP_FW_POOL_T2</t>
  </si>
  <si>
    <t xml:space="preserve"> --</t>
  </si>
  <si>
    <t>Sample Name</t>
  </si>
  <si>
    <t>Eluted?</t>
  </si>
  <si>
    <t xml:space="preserve">Diluted? </t>
  </si>
  <si>
    <t>Y</t>
  </si>
  <si>
    <t>TMP_FW_Source_HR5</t>
  </si>
  <si>
    <t>TMP_SW_SOURCE_HR5</t>
  </si>
  <si>
    <t>N</t>
  </si>
  <si>
    <t>TMP_C_POOL_20220523</t>
  </si>
  <si>
    <t>TMP_C_POOL_20220613</t>
  </si>
  <si>
    <t>TMP_C_POOL_20220615</t>
  </si>
  <si>
    <t>TMP_C_POOL_20220718</t>
  </si>
  <si>
    <t>TMP_C_POOL_20220721</t>
  </si>
  <si>
    <t>TMP_C_POOL_20220808</t>
  </si>
  <si>
    <t>TMP_C_POOL_20221019-20221024</t>
  </si>
  <si>
    <t>TMP_C_POOL_T0</t>
  </si>
  <si>
    <t>NA</t>
  </si>
  <si>
    <t>TMP_C_POOL_T2</t>
  </si>
  <si>
    <t>TMP_C_POOL_T3</t>
  </si>
  <si>
    <t>TMP_FW_POOL_20220523</t>
  </si>
  <si>
    <t>??</t>
  </si>
  <si>
    <t>TMP_FW_POOL_20220613</t>
  </si>
  <si>
    <t>TMP_FW_POOL_20220615</t>
  </si>
  <si>
    <t>TMP_FW_POOL_20220718</t>
  </si>
  <si>
    <t>TMP_FW_POOL_20220721</t>
  </si>
  <si>
    <t>TMP_FW_POOL_20220808</t>
  </si>
  <si>
    <t>TMP_FW_POOL_20221019-20221024</t>
  </si>
  <si>
    <t>TMP_FW_POOL_T0</t>
  </si>
  <si>
    <t>TMP_FW_POOL_T1</t>
  </si>
  <si>
    <t>TMP_SW_POOL_20220523</t>
  </si>
  <si>
    <t>TMP_SW_POOL_20220613</t>
  </si>
  <si>
    <t>TMP_SW_POOL_20220615</t>
  </si>
  <si>
    <t>TMP_SW_POOL_20220718</t>
  </si>
  <si>
    <t>TMP_SW_POOL_20220721</t>
  </si>
  <si>
    <t>TMP_SW_POOL_20220808</t>
  </si>
  <si>
    <t>TMP_SW_POOL_20221019</t>
  </si>
  <si>
    <t>TMP_SW_POOL_T1</t>
  </si>
  <si>
    <t>Column1</t>
  </si>
  <si>
    <t>TMP_C_POOL_20221019_20221024</t>
  </si>
  <si>
    <t>TMP_FW_POOL_20221019_20221024</t>
  </si>
  <si>
    <t>TMP_C_POOL_20220613_20220615</t>
  </si>
  <si>
    <t>TMP_C_POOL_20220718_20220721</t>
  </si>
  <si>
    <t>TMP_FW_POOL_20220613_20220615</t>
  </si>
  <si>
    <t>TMP_FW_POOL_20220718_20220721</t>
  </si>
  <si>
    <t>TMP_SW_POOL_20220613_20220615</t>
  </si>
  <si>
    <t>TMP_SW_POOL_20220718_20220721</t>
  </si>
  <si>
    <t>TMP_FW_POOL_PreW(T0)</t>
  </si>
  <si>
    <t>elution volume not recorded</t>
  </si>
  <si>
    <t>using estimated sample weight; missing post-spe bottle weight (and therefore actual mass SPE'd)</t>
  </si>
  <si>
    <t>VOLUME IS FOR EACH INTO THE TOTAL</t>
  </si>
  <si>
    <t>TMP_SPE_BLANK_1</t>
  </si>
  <si>
    <t>TMP_MeoH_blk2</t>
  </si>
  <si>
    <t>TMP_FW_SOURCE_HR2</t>
  </si>
  <si>
    <t>Already added</t>
  </si>
  <si>
    <t xml:space="preserve"> ---</t>
  </si>
  <si>
    <t>Vial File Position</t>
  </si>
  <si>
    <t>A1</t>
  </si>
  <si>
    <t>A2</t>
  </si>
  <si>
    <t>A3</t>
  </si>
  <si>
    <t>A4</t>
  </si>
  <si>
    <t>A5</t>
  </si>
  <si>
    <t>A6</t>
  </si>
  <si>
    <t>A7</t>
  </si>
  <si>
    <t>A8</t>
  </si>
  <si>
    <t>A9</t>
  </si>
  <si>
    <t>A10</t>
  </si>
  <si>
    <t>A11</t>
  </si>
  <si>
    <t>A12</t>
  </si>
  <si>
    <t>B1</t>
  </si>
  <si>
    <t>B2</t>
  </si>
  <si>
    <t>B3</t>
  </si>
  <si>
    <t>B4</t>
  </si>
  <si>
    <t>B5</t>
  </si>
  <si>
    <t>B6</t>
  </si>
  <si>
    <t>B7</t>
  </si>
  <si>
    <t>B8</t>
  </si>
  <si>
    <t>B9</t>
  </si>
  <si>
    <t>B10</t>
  </si>
  <si>
    <t>TMP_Methanol_Blk1</t>
  </si>
  <si>
    <t>B11</t>
  </si>
  <si>
    <t>C1</t>
  </si>
  <si>
    <t>C2</t>
  </si>
  <si>
    <t>C3</t>
  </si>
  <si>
    <t>C4</t>
  </si>
  <si>
    <t>TMP_C_POOL_20220612_20220615</t>
  </si>
  <si>
    <t>C5</t>
  </si>
  <si>
    <t>C6</t>
  </si>
  <si>
    <t>C7</t>
  </si>
  <si>
    <t>C9</t>
  </si>
  <si>
    <t>C10</t>
  </si>
  <si>
    <t>D1</t>
  </si>
  <si>
    <t>D2</t>
  </si>
  <si>
    <t>D3</t>
  </si>
  <si>
    <t>D4</t>
  </si>
  <si>
    <t>D5</t>
  </si>
  <si>
    <t>D6</t>
  </si>
  <si>
    <t>D7</t>
  </si>
  <si>
    <t>D8</t>
  </si>
  <si>
    <t>D9</t>
  </si>
  <si>
    <t>D10</t>
  </si>
  <si>
    <t>E1</t>
  </si>
  <si>
    <t>E2</t>
  </si>
  <si>
    <t>E3</t>
  </si>
  <si>
    <t>E4</t>
  </si>
  <si>
    <t>E5</t>
  </si>
  <si>
    <t>E7</t>
  </si>
  <si>
    <t>E6</t>
  </si>
  <si>
    <t>E8</t>
  </si>
  <si>
    <t>E9</t>
  </si>
  <si>
    <t>E10</t>
  </si>
  <si>
    <t>F1</t>
  </si>
  <si>
    <t>F2</t>
  </si>
  <si>
    <t>F3</t>
  </si>
  <si>
    <t>F4</t>
  </si>
  <si>
    <t>F5</t>
  </si>
  <si>
    <t>F6</t>
  </si>
  <si>
    <t>F7</t>
  </si>
  <si>
    <t>F8</t>
  </si>
  <si>
    <t>F9</t>
  </si>
  <si>
    <t>TMP_Methanol_Blk2</t>
  </si>
  <si>
    <t>C8</t>
  </si>
  <si>
    <t>F10</t>
  </si>
  <si>
    <t>TMP_SPE_blank1</t>
  </si>
  <si>
    <t xml:space="preserve">Concentration in Vial mg C/L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</si>
</sst>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00"/>
    <numFmt numFmtId="167" formatCode="0.00000"/>
  </numFmts>
  <fonts count="24"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12"/>
      <color rgb="FF9C0006"/>
      <name val="Calibri"/>
      <family val="2"/>
      <scheme val="minor"/>
    </font>
    <font>
      <sz val="12"/>
      <color rgb="FFFF0000"/>
      <name val="Calibri"/>
      <family val="2"/>
      <scheme val="minor"/>
    </font>
    <font>
      <sz val="10"/>
      <color rgb="FFFF0000"/>
      <name val="Arial"/>
      <family val="2"/>
    </font>
    <font>
      <sz val="9"/>
      <color theme="1"/>
      <name val="Arial"/>
      <family val="2"/>
    </font>
    <font>
      <sz val="12"/>
      <color rgb="FF000000"/>
      <name val="Calibri"/>
      <family val="2"/>
      <scheme val="minor"/>
    </font>
    <font>
      <sz val="12"/>
      <color rgb="FF9C5700"/>
      <name val="Calibri"/>
      <family val="2"/>
      <scheme val="minor"/>
    </font>
    <font>
      <sz val="8"/>
      <name val="Calibri"/>
      <family val="2"/>
      <scheme val="minor"/>
    </font>
    <font>
      <sz val="12"/>
      <color theme="1"/>
      <name val="Calibri"/>
      <family val="2"/>
    </font>
    <font>
      <sz val="12"/>
      <name val="Calibri"/>
      <family val="2"/>
      <scheme val="minor"/>
    </font>
    <font>
      <sz val="10"/>
      <name val="Arial"/>
      <family val="2"/>
    </font>
    <font>
      <b/>
      <sz val="12"/>
      <color rgb="FF000000"/>
      <name val="Calibri"/>
      <family val="2"/>
      <scheme val="minor"/>
    </font>
    <font>
      <b/>
      <sz val="10"/>
      <color rgb="FF000000"/>
      <name val="Arial"/>
      <family val="2"/>
    </font>
    <font>
      <b/>
      <sz val="10"/>
      <color rgb="FF000000"/>
      <name val="Calibri"/>
      <family val="2"/>
      <scheme val="minor"/>
    </font>
    <font>
      <b/>
      <sz val="12"/>
      <name val="Calibri"/>
      <family val="2"/>
      <scheme val="minor"/>
    </font>
  </fonts>
  <fills count="6">
    <fill>
      <patternFill patternType="none"/>
    </fill>
    <fill>
      <patternFill patternType="gray125"/>
    </fill>
    <fill>
      <patternFill patternType="solid">
        <fgColor rgb="FFFFC7CE"/>
      </patternFill>
    </fill>
    <fill>
      <patternFill patternType="solid">
        <fgColor rgb="FFFFEB9C"/>
      </patternFill>
    </fill>
    <fill>
      <patternFill patternType="solid">
        <fgColor theme="5" tint="0.79998168889431442"/>
        <bgColor indexed="64"/>
      </patternFill>
    </fill>
    <fill>
      <patternFill patternType="solid">
        <fgColor theme="5"/>
        <bgColor indexed="64"/>
      </patternFill>
    </fill>
  </fills>
  <borders count="10">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rgb="FF808080"/>
      </left>
      <right style="thin">
        <color rgb="FF808080"/>
      </right>
      <top/>
      <bottom style="thin">
        <color rgb="FF808080"/>
      </bottom>
      <diagonal/>
    </border>
    <border>
      <left style="thin">
        <color rgb="FF808080"/>
      </left>
      <right style="thin">
        <color rgb="FF808080"/>
      </right>
      <top style="thin">
        <color rgb="FF808080"/>
      </top>
      <bottom style="medium">
        <color rgb="FF808080"/>
      </bottom>
      <diagonal/>
    </border>
    <border>
      <left/>
      <right style="thin">
        <color rgb="FF808080"/>
      </right>
      <top style="thin">
        <color rgb="FF808080"/>
      </top>
      <bottom style="medium">
        <color rgb="FF808080"/>
      </bottom>
      <diagonal/>
    </border>
    <border>
      <left/>
      <right style="thin">
        <color rgb="FF808080"/>
      </right>
      <top/>
      <bottom style="thin">
        <color rgb="FF808080"/>
      </bottom>
      <diagonal/>
    </border>
  </borders>
  <cellStyleXfs count="3">
    <xf numFmtId="0" fontId="0" fillId="0" borderId="0"/>
    <xf numFmtId="0" fontId="10" fillId="2" borderId="0" applyNumberFormat="0" applyBorder="0" applyAlignment="0" applyProtection="0"/>
    <xf numFmtId="0" fontId="15" fillId="3" borderId="0" applyNumberFormat="0" applyBorder="0" applyAlignment="0" applyProtection="0"/>
  </cellStyleXfs>
  <cellXfs count="79">
    <xf numFmtId="0" fontId="0" fillId="0" borderId="0" xfId="0"/>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164" fontId="0" fillId="0" borderId="4" xfId="0" applyNumberFormat="1" applyBorder="1" applyAlignment="1">
      <alignment horizontal="center"/>
    </xf>
    <xf numFmtId="0" fontId="7" fillId="0" borderId="4" xfId="0" applyFont="1" applyBorder="1"/>
    <xf numFmtId="0" fontId="0" fillId="0" borderId="4" xfId="0"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0" fontId="11" fillId="0" borderId="0" xfId="0" applyFont="1"/>
    <xf numFmtId="166" fontId="3" fillId="0" borderId="1" xfId="0" applyNumberFormat="1" applyFont="1" applyBorder="1" applyAlignment="1">
      <alignment vertical="center" wrapText="1"/>
    </xf>
    <xf numFmtId="166" fontId="6" fillId="0" borderId="0" xfId="0" applyNumberFormat="1" applyFont="1"/>
    <xf numFmtId="166" fontId="0" fillId="0" borderId="0" xfId="0" applyNumberFormat="1"/>
    <xf numFmtId="166" fontId="12" fillId="0" borderId="0" xfId="0" applyNumberFormat="1" applyFont="1"/>
    <xf numFmtId="166" fontId="1" fillId="0" borderId="1" xfId="0" applyNumberFormat="1" applyFont="1" applyBorder="1" applyAlignment="1">
      <alignment horizontal="center" vertical="center" wrapText="1"/>
    </xf>
    <xf numFmtId="166" fontId="11" fillId="2" borderId="0" xfId="1" applyNumberFormat="1" applyFont="1"/>
    <xf numFmtId="166" fontId="13" fillId="0" borderId="0" xfId="0" applyNumberFormat="1" applyFont="1"/>
    <xf numFmtId="0" fontId="1" fillId="0" borderId="0" xfId="0" applyFont="1"/>
    <xf numFmtId="0" fontId="14" fillId="0" borderId="0" xfId="0" applyFont="1"/>
    <xf numFmtId="0" fontId="0" fillId="4" borderId="0" xfId="0" applyFill="1"/>
    <xf numFmtId="2" fontId="0" fillId="0" borderId="0" xfId="0" applyNumberFormat="1"/>
    <xf numFmtId="2" fontId="3" fillId="0" borderId="1" xfId="0" applyNumberFormat="1" applyFont="1" applyBorder="1" applyAlignment="1">
      <alignment horizontal="center" vertical="center"/>
    </xf>
    <xf numFmtId="2" fontId="11" fillId="0" borderId="0" xfId="0" applyNumberFormat="1" applyFont="1"/>
    <xf numFmtId="2" fontId="4" fillId="0" borderId="0" xfId="0" applyNumberFormat="1" applyFont="1" applyAlignment="1">
      <alignment wrapText="1"/>
    </xf>
    <xf numFmtId="0" fontId="17" fillId="0" borderId="0" xfId="0" applyFont="1"/>
    <xf numFmtId="166" fontId="17" fillId="0" borderId="0" xfId="0" applyNumberFormat="1" applyFont="1"/>
    <xf numFmtId="167" fontId="6" fillId="0" borderId="0" xfId="0" applyNumberFormat="1" applyFont="1"/>
    <xf numFmtId="0" fontId="18" fillId="0" borderId="0" xfId="0" applyFont="1"/>
    <xf numFmtId="2" fontId="18" fillId="0" borderId="0" xfId="0" applyNumberFormat="1" applyFont="1"/>
    <xf numFmtId="166" fontId="15" fillId="3" borderId="0" xfId="2" applyNumberFormat="1"/>
    <xf numFmtId="2" fontId="15" fillId="3" borderId="0" xfId="2" applyNumberFormat="1"/>
    <xf numFmtId="0" fontId="20" fillId="0" borderId="1" xfId="0" applyFont="1" applyBorder="1" applyAlignment="1">
      <alignment vertical="center"/>
    </xf>
    <xf numFmtId="0" fontId="21" fillId="0" borderId="1" xfId="0" applyFont="1" applyBorder="1" applyAlignment="1">
      <alignment horizontal="center" vertical="center"/>
    </xf>
    <xf numFmtId="0" fontId="0" fillId="0" borderId="0" xfId="0" applyAlignment="1">
      <alignment horizontal="left"/>
    </xf>
    <xf numFmtId="0" fontId="2" fillId="0" borderId="0" xfId="0" applyFont="1" applyAlignment="1">
      <alignment horizontal="left" vertical="center"/>
    </xf>
    <xf numFmtId="0" fontId="14" fillId="0" borderId="6" xfId="0" applyFont="1" applyBorder="1"/>
    <xf numFmtId="0" fontId="18" fillId="5" borderId="0" xfId="0" applyFont="1" applyFill="1"/>
    <xf numFmtId="2" fontId="18" fillId="5" borderId="0" xfId="0" applyNumberFormat="1" applyFont="1" applyFill="1"/>
    <xf numFmtId="166" fontId="19" fillId="5" borderId="0" xfId="0" applyNumberFormat="1" applyFont="1" applyFill="1"/>
    <xf numFmtId="166" fontId="18" fillId="5" borderId="0" xfId="1" applyNumberFormat="1" applyFont="1" applyFill="1"/>
    <xf numFmtId="2" fontId="0" fillId="5" borderId="0" xfId="0" applyNumberFormat="1" applyFill="1" applyAlignment="1">
      <alignment horizontal="center"/>
    </xf>
    <xf numFmtId="166" fontId="0" fillId="5" borderId="0" xfId="0" applyNumberFormat="1" applyFill="1"/>
    <xf numFmtId="0" fontId="0" fillId="5" borderId="0" xfId="0" applyFill="1" applyAlignment="1">
      <alignment horizontal="center" vertical="center"/>
    </xf>
    <xf numFmtId="0" fontId="0" fillId="5" borderId="0" xfId="0" applyFill="1" applyAlignment="1">
      <alignment horizontal="center"/>
    </xf>
    <xf numFmtId="1" fontId="0" fillId="5" borderId="0" xfId="0" applyNumberFormat="1" applyFill="1" applyAlignment="1">
      <alignment horizontal="center"/>
    </xf>
    <xf numFmtId="164" fontId="0" fillId="5" borderId="0" xfId="0" applyNumberFormat="1" applyFill="1" applyAlignment="1">
      <alignment horizontal="center"/>
    </xf>
    <xf numFmtId="0" fontId="0" fillId="5" borderId="0" xfId="0" applyFill="1"/>
    <xf numFmtId="165" fontId="0" fillId="5" borderId="0" xfId="0" applyNumberFormat="1" applyFill="1"/>
    <xf numFmtId="0" fontId="22" fillId="0" borderId="7" xfId="0" applyFont="1" applyBorder="1" applyAlignment="1">
      <alignment horizontal="center" vertical="center"/>
    </xf>
    <xf numFmtId="0" fontId="22" fillId="0" borderId="8" xfId="0" applyFont="1" applyBorder="1" applyAlignment="1">
      <alignment horizontal="center" vertical="center" wrapText="1"/>
    </xf>
    <xf numFmtId="2" fontId="22" fillId="0" borderId="8" xfId="0" applyNumberFormat="1" applyFont="1" applyBorder="1" applyAlignment="1">
      <alignment horizontal="center" vertical="center" wrapText="1"/>
    </xf>
    <xf numFmtId="0" fontId="2" fillId="0" borderId="6" xfId="0" applyFont="1" applyBorder="1"/>
    <xf numFmtId="0" fontId="14" fillId="0" borderId="9" xfId="0" applyFont="1" applyBorder="1" applyAlignment="1">
      <alignment horizontal="center"/>
    </xf>
    <xf numFmtId="1" fontId="14" fillId="0" borderId="9" xfId="0" applyNumberFormat="1" applyFont="1" applyBorder="1" applyAlignment="1">
      <alignment horizontal="center"/>
    </xf>
    <xf numFmtId="166" fontId="14" fillId="0" borderId="9" xfId="0" applyNumberFormat="1" applyFont="1" applyBorder="1" applyAlignment="1">
      <alignment horizontal="center"/>
    </xf>
    <xf numFmtId="164" fontId="14" fillId="0" borderId="9" xfId="0" applyNumberFormat="1" applyFont="1" applyBorder="1" applyAlignment="1">
      <alignment horizontal="center"/>
    </xf>
    <xf numFmtId="0" fontId="7" fillId="0" borderId="9" xfId="0" applyFont="1" applyBorder="1"/>
    <xf numFmtId="0" fontId="14" fillId="0" borderId="9" xfId="0" applyFont="1" applyBorder="1"/>
    <xf numFmtId="0" fontId="14" fillId="5" borderId="0" xfId="0" applyFont="1" applyFill="1"/>
    <xf numFmtId="2" fontId="23" fillId="0" borderId="1" xfId="0" applyNumberFormat="1" applyFont="1" applyBorder="1" applyAlignment="1">
      <alignment wrapText="1"/>
    </xf>
    <xf numFmtId="2" fontId="0" fillId="0" borderId="0" xfId="0" applyNumberFormat="1" applyAlignment="1">
      <alignment horizontal="left"/>
    </xf>
  </cellXfs>
  <cellStyles count="3">
    <cellStyle name="Bad" xfId="1" builtinId="27"/>
    <cellStyle name="Neutral" xfId="2" builtinId="28"/>
    <cellStyle name="Normal" xfId="0" builtinId="0"/>
  </cellStyles>
  <dxfs count="1">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216FAB-D90B-8744-8882-FD9732CA29C5}" name="Table1" displayName="Table1" ref="A1:D54" totalsRowShown="0" headerRowDxfId="0">
  <autoFilter ref="A1:D54" xr:uid="{C8216FAB-D90B-8744-8882-FD9732CA29C5}"/>
  <sortState xmlns:xlrd2="http://schemas.microsoft.com/office/spreadsheetml/2017/richdata2" ref="A2:D54">
    <sortCondition ref="A2:A54"/>
  </sortState>
  <tableColumns count="4">
    <tableColumn id="1" xr3:uid="{8F980853-177C-F64B-BC54-5451D31B8B21}" name="Sample Name"/>
    <tableColumn id="2" xr3:uid="{E74E60B7-FCFF-574C-A3F7-F9E0AD7892D7}" name="Eluted?"/>
    <tableColumn id="3" xr3:uid="{C064DEFC-6CD0-814C-B774-4B6A0946056E}" name="Diluted? "/>
    <tableColumn id="4" xr3:uid="{85D898CD-0C07-A544-8D76-71C87FF39664}" name="Column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10-14T18:39:32.67" personId="{C9156CD5-0306-403E-86D7-3E19D63E8616}" id="{33545A29-03A6-6E41-98E8-E15F79271EA4}">
    <text>Original DOC in sample that was loaded onto the SPE cartridge</text>
  </threadedComment>
  <threadedComment ref="C1" dT="2022-10-14T18:39:13.74" personId="{C9156CD5-0306-403E-86D7-3E19D63E8616}" id="{7F437DFE-7ED8-4B40-8B77-C35EF8069306}">
    <text>Determined by weight</text>
  </threadedComment>
  <threadedComment ref="C1" dT="2022-10-14T19:18:36.78" personId="{42B7E531-F973-4941-A3F1-2E0A918A88E7}" id="{89D0F11B-90EC-1249-848D-85E708C20FDB}" parentId="{7F437DFE-7ED8-4B40-8B77-C35EF8069306}">
    <text>Value from column F in SPE digitized metadata template</text>
  </threadedComment>
  <threadedComment ref="D1" dT="2022-02-03T17:44:06.05" personId="{42B7E531-F973-4941-A3F1-2E0A918A88E7}" id="{AC424A05-85D5-0341-A4A1-E90A32676C56}">
    <text>values from “Actual Final Eluate Vol (mL)”</text>
  </threadedComment>
  <threadedComment ref="E1" dT="2022-10-14T18:40:05.32" personId="{C9156CD5-0306-403E-86D7-3E19D63E8616}" id="{9998ED2A-B317-CD4F-9B49-F5352AE4C5DE}">
    <text>How much carbon that was loaded onto the SPE cartridge</text>
  </threadedComment>
  <threadedComment ref="H1" dT="2022-10-14T18:43:02.53" personId="{C9156CD5-0306-403E-86D7-3E19D63E8616}" id="{1C33B8EE-3D8C-B34C-8E65-1202623EA3BA}">
    <text>If not measured directly (i.e. DOC in the SPE extract, modify these columns for what you think your extraction efficiency is). 60% is a reasonable assumption. 100% is less reasonable (i.e. it will never happen) but useful sometimes to know.</text>
  </threadedComment>
  <threadedComment ref="K1" dT="2022-10-14T18:45:38.19" personId="{C9156CD5-0306-403E-86D7-3E19D63E8616}" id="{0EA85ED2-D9A0-0F4E-800D-A2CFB13F816F}">
    <text>These will change depending on conversations with EMSL scientists or applications (e.g. if subsetting for LCMS not FTICRMS)</text>
  </threadedComment>
  <threadedComment ref="L1" dT="2022-10-14T18:47:16.64" personId="{C9156CD5-0306-403E-86D7-3E19D63E8616}" id="{AE785849-6CB9-8842-A8D6-E5D136E43133}">
    <text xml:space="preserve">These should all be methanol, so density is the same. However if you are measuring by weight, not volume, you should account for methanol density here. </text>
  </threadedComment>
  <threadedComment ref="L1" dT="2022-10-14T20:02:43.57" personId="{42B7E531-F973-4941-A3F1-2E0A918A88E7}" id="{F0658EBA-1711-A244-B416-D4871DD72B22}" parentId="{AE785849-6CB9-8842-A8D6-E5D136E43133}">
    <text>Total volume of methanol that will be in the FTICRMS sample. This volume is equal to the sum of columns K and L.</text>
  </threadedComment>
  <threadedComment ref="M1" dT="2022-10-14T20:03:18.82" personId="{42B7E531-F973-4941-A3F1-2E0A918A88E7}" id="{3B5C1CE9-6511-644C-92A9-17CCCFD864B9}">
    <text xml:space="preserve">Volume of MeOH from the equate (SPE extract) needed for the FTICRMS sample </text>
  </threadedComment>
  <threadedComment ref="N1" dT="2022-10-14T20:03:51.53" personId="{42B7E531-F973-4941-A3F1-2E0A918A88E7}" id="{0A35A9EB-EC61-FE44-B5B6-E13FFE7AE04B}">
    <text>Volume of ultra pure methanol needed to be added to the volume of equate to finish dilution of FTICRMS sample</text>
  </threadedComment>
  <threadedComment ref="O1" dT="2022-10-14T20:05:18.64" personId="{42B7E531-F973-4941-A3F1-2E0A918A88E7}" id="{64AEDB38-E8C5-2D45-A665-11D5BC8FFA5A}">
    <text xml:space="preserve">Target mass of MeOH from SPE extract (eluate) volume in column K </text>
  </threadedComment>
  <threadedComment ref="P1" dT="2022-10-14T20:05:43.78" personId="{42B7E531-F973-4941-A3F1-2E0A918A88E7}" id="{81FC02AD-5323-064F-812A-DC2FFB26146F}">
    <text>Target mass of MeOH to finish sample dilution from volume in column L</text>
  </threadedComment>
  <threadedComment ref="Q1" dT="2022-10-14T20:06:31.52" personId="{42B7E531-F973-4941-A3F1-2E0A918A88E7}" id="{2C1EB49A-EDE3-B04C-BACE-D6C553F31B9C}">
    <text>Actual mass/weight of SPE eluate added to the sample. Calling from mass recorded in lab in the lab_dilution_template.</text>
  </threadedComment>
  <threadedComment ref="R1" dT="2022-10-14T20:06:54.15" personId="{42B7E531-F973-4941-A3F1-2E0A918A88E7}" id="{F201821C-4E07-5F4F-9937-07219BAF82AF}">
    <text>Actual mass/weight of MeOH added to dilute the eluate. Calling from mass recorded in lab in the lab_dilution_template.</text>
  </threadedComment>
  <threadedComment ref="S1" dT="2022-10-14T20:07:44.10" personId="{42B7E531-F973-4941-A3F1-2E0A918A88E7}" id="{15EEEEBC-E2D2-0046-9758-4ED60D8D4F2E}">
    <text xml:space="preserve">Calculating the actual vol of SPE extract used in the FTICRMS dilution. </text>
  </threadedComment>
  <threadedComment ref="T1" dT="2022-10-14T20:08:09.53" personId="{42B7E531-F973-4941-A3F1-2E0A918A88E7}" id="{59B3062A-A2A3-CF47-AC77-B806E5D07116}">
    <text xml:space="preserve">Calculating the actual vol of MeOH used to dilute the SPE extract for the FTICRMS dilution. </text>
  </threadedComment>
  <threadedComment ref="U1" dT="2022-10-14T20:08:47.20" personId="{42B7E531-F973-4941-A3F1-2E0A918A88E7}" id="{80CE728E-82D3-8F4C-AC55-CD6119B4B87F}">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B1" dT="2022-10-14T18:39:32.67" personId="{C9156CD5-0306-403E-86D7-3E19D63E8616}" id="{68620E2D-7D45-41C0-A72B-F4AB141BC9A7}">
    <text>Original DOC in sample that was loaded onto the SPE cartridge</text>
  </threadedComment>
  <threadedComment ref="C1" dT="2022-10-14T18:39:13.74" personId="{C9156CD5-0306-403E-86D7-3E19D63E8616}" id="{1281D533-A163-4CAC-AEE5-4FD4EEBD72CD}">
    <text>Determined by weight</text>
  </threadedComment>
  <threadedComment ref="C1" dT="2022-10-14T19:18:36.78" personId="{42B7E531-F973-4941-A3F1-2E0A918A88E7}" id="{51BB6575-52E2-2542-A692-0B304AD5D4C3}" parentId="{1281D533-A163-4CAC-AEE5-4FD4EEBD72CD}">
    <text>Value from column F in SPE digitized metadata template</text>
  </threadedComment>
  <threadedComment ref="D1" dT="2022-02-03T17:44:06.05" personId="{42B7E531-F973-4941-A3F1-2E0A918A88E7}" id="{0BF596BD-C0C0-DA49-98B0-DDE934CE8657}">
    <text>values from “Actual Final Eluate Vol (mL)”</text>
  </threadedComment>
  <threadedComment ref="E1" dT="2022-10-14T18:40:05.32" personId="{C9156CD5-0306-403E-86D7-3E19D63E8616}" id="{8B9B0108-EC62-4E01-8D2B-C5FA90F5326A}">
    <text>How much carbon that was loaded onto the SPE cartridge</text>
  </threadedComment>
  <threadedComment ref="H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K1" dT="2022-10-14T18:45:38.19" personId="{C9156CD5-0306-403E-86D7-3E19D63E8616}" id="{AC3C5B19-3283-4315-A2B5-53C48CF2F87A}">
    <text>These will change depending on conversations with EMSL scientists or applications (e.g. if subsetting for LCMS not FTICRMS)</text>
  </threadedComment>
  <threadedComment ref="L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L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M1" dT="2022-10-14T20:03:18.82" personId="{42B7E531-F973-4941-A3F1-2E0A918A88E7}" id="{4C6844E4-4825-214E-B209-9856CAD72807}">
    <text xml:space="preserve">Volume of MeOH from the equate (SPE extract) needed for the FTICRMS sample </text>
  </threadedComment>
  <threadedComment ref="N1" dT="2022-10-14T20:03:51.53" personId="{42B7E531-F973-4941-A3F1-2E0A918A88E7}" id="{3FBFB923-81F5-B940-8CD6-91545C4CAFA4}">
    <text>Volume of ultra pure methanol needed to be added to the volume of equate to finish dilution of FTICRMS sample</text>
  </threadedComment>
  <threadedComment ref="O1" dT="2022-10-14T20:05:18.64" personId="{42B7E531-F973-4941-A3F1-2E0A918A88E7}" id="{0624D81B-F7E0-1B45-84FF-124EBABA174A}">
    <text xml:space="preserve">Target mass of MeOH from SPE extract (eluate) volume in column K </text>
  </threadedComment>
  <threadedComment ref="P1" dT="2022-10-14T20:05:43.78" personId="{42B7E531-F973-4941-A3F1-2E0A918A88E7}" id="{35044780-A6F1-BD4A-8B02-8149CA760502}">
    <text>Target mass of MeOH to finish sample dilution from volume in column L</text>
  </threadedComment>
  <threadedComment ref="Q1" dT="2022-10-14T20:06:31.52" personId="{42B7E531-F973-4941-A3F1-2E0A918A88E7}" id="{CE490791-0FD5-974E-B776-337D14EB7C7C}">
    <text>Actual mass/weight of SPE eluate added to the sample. Calling from mass recorded in lab in the lab_dilution_template.</text>
  </threadedComment>
  <threadedComment ref="R1" dT="2022-10-14T20:06:54.15" personId="{42B7E531-F973-4941-A3F1-2E0A918A88E7}" id="{54A5C67A-110D-A34B-99FB-D98647F8773C}">
    <text>Actual mass/weight of MeOH added to dilute the eluate. Calling from mass recorded in lab in the lab_dilution_template.</text>
  </threadedComment>
  <threadedComment ref="S1" dT="2022-10-14T20:07:44.10" personId="{42B7E531-F973-4941-A3F1-2E0A918A88E7}" id="{37DA5A24-29F1-E242-9556-9DD6F3843AA1}">
    <text xml:space="preserve">Calculating the actual vol of SPE extract used in the FTICRMS dilution. </text>
  </threadedComment>
  <threadedComment ref="T1" dT="2022-10-14T20:08:09.53" personId="{42B7E531-F973-4941-A3F1-2E0A918A88E7}" id="{9C8F4C2F-1FC4-334F-B176-2C57EE89F90D}">
    <text xml:space="preserve">Calculating the actual vol of MeOH used to dilute the SPE extract for the FTICRMS dilution. </text>
  </threadedComment>
  <threadedComment ref="U1" dT="2022-10-14T20:08:47.20" personId="{42B7E531-F973-4941-A3F1-2E0A918A88E7}" id="{8A8F13C9-8DCE-A949-8425-68EC367E9F76}">
    <text>Actual concentration of diluted FTICRMS sample assuming 60% extraction efficiency.</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B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C1" dT="2022-10-14T20:03:18.82" personId="{42B7E531-F973-4941-A3F1-2E0A918A88E7}" id="{67BD1930-4AC1-F548-A43B-D1EDF2B1C2CE}">
    <text xml:space="preserve">Volume of MeOH from the SPE extract to be pipetted for the FTICRMS sample </text>
  </threadedComment>
  <threadedComment ref="D1" dT="2022-10-14T20:03:51.53" personId="{42B7E531-F973-4941-A3F1-2E0A918A88E7}" id="{EDE594E6-B47D-554C-A7D0-0510AACE025B}">
    <text>Volume of ultra pure methanol needed to be pipetted to dilute the SPE extract for the FTICRMS sample</text>
  </threadedComment>
  <threadedComment ref="E1" dT="2022-10-14T20:05:18.64" personId="{42B7E531-F973-4941-A3F1-2E0A918A88E7}" id="{02CFC60F-197A-7445-BBDD-621466ABD90C}">
    <text>What the volume of MeOH pipetted from the SPE extract should weigh.</text>
  </threadedComment>
  <threadedComment ref="F1" dT="2022-10-14T20:05:43.78" personId="{42B7E531-F973-4941-A3F1-2E0A918A88E7}" id="{8F2D811F-105D-7248-8E84-FF7117B6DF5B}">
    <text>What the volume of MeOH pipetted to dilute the SPE extract should weigh</text>
  </threadedComment>
  <threadedComment ref="G1" dT="2022-10-14T20:13:05.95" personId="{42B7E531-F973-4941-A3F1-2E0A918A88E7}" id="{84DC7FB7-5168-6E45-BACA-B580F478C646}">
    <text>Actual mass of the SPE extract pipetted. This value is recorded in lab.</text>
  </threadedComment>
  <threadedComment ref="H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5496BF16-19CC-8644-856B-102F30C8A3C1}">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18:47:16.64" personId="{C9156CD5-0306-403E-86D7-3E19D63E8616}" id="{052D6139-B99B-2347-9968-34F6F087EF3A}">
    <text xml:space="preserve">These should all be methanol, so density is the same. However if you are measuring by weight, not volume, you should account for methanol density here. </text>
  </threadedComment>
  <threadedComment ref="B29" dT="2022-10-14T20:02:43.57" personId="{42B7E531-F973-4941-A3F1-2E0A918A88E7}" id="{CC2389A1-5D32-BE41-B6C2-C9DE0A9C05FD}" parentId="{052D6139-B99B-2347-9968-34F6F087EF3A}">
    <text>Total volume of methanol that will be in the FTICRMS sample. This volume is equal to the sum of columns C and D.</text>
  </threadedComment>
  <threadedComment ref="C29" dT="2022-10-14T20:03:18.82" personId="{42B7E531-F973-4941-A3F1-2E0A918A88E7}" id="{7106AADD-BCEA-604B-9306-F6B43352D7D4}">
    <text xml:space="preserve">Volume of MeOH from the SPE extract to be pipetted for the FTICRMS sample </text>
  </threadedComment>
  <threadedComment ref="D29" dT="2022-10-14T20:03:51.53" personId="{42B7E531-F973-4941-A3F1-2E0A918A88E7}" id="{DD83627E-53F7-9F4D-AB2B-52CBD718D804}">
    <text>Volume of ultra pure methanol needed to be pipetted to dilute the SPE extract for the FTICRMS sample</text>
  </threadedComment>
  <threadedComment ref="E29" dT="2022-10-14T20:05:18.64" personId="{42B7E531-F973-4941-A3F1-2E0A918A88E7}" id="{485BB4F8-C3BB-A443-927F-54BDB3DFE101}">
    <text>What the volume of MeOH pipetted from the SPE extract should weigh.</text>
  </threadedComment>
  <threadedComment ref="F29" dT="2022-10-14T20:05:43.78" personId="{42B7E531-F973-4941-A3F1-2E0A918A88E7}" id="{7A40CFE6-97D9-CC4D-BD17-D70A421BE1CF}">
    <text>What the volume of MeOH pipetted to dilute the SPE extract should weigh</text>
  </threadedComment>
  <threadedComment ref="G29" dT="2022-10-14T20:13:05.95" personId="{42B7E531-F973-4941-A3F1-2E0A918A88E7}" id="{AF4CD431-46D2-F140-AD25-66F145F7156E}">
    <text>Actual mass of the SPE extract pipetted. This value is recorded in lab.</text>
  </threadedComment>
  <threadedComment ref="H29" dT="2022-10-14T20:13:35.07" personId="{42B7E531-F973-4941-A3F1-2E0A918A88E7}" id="{7D1B3831-D83E-BC40-B76D-2F6113FFA4D9}">
    <text>Actual mass of the MeOH pipetted to dilute sample. This value is recorded in lab.</text>
  </threadedComment>
  <threadedComment ref="A57" dT="2022-10-14T20:16:05.59" personId="{42B7E531-F973-4941-A3F1-2E0A918A88E7}" id="{7C7532A9-D00A-B14C-B45F-0AD67C6B92B1}">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18:47:16.64" personId="{C9156CD5-0306-403E-86D7-3E19D63E8616}" id="{710A8095-C50E-BD43-BCBE-16021D90F484}">
    <text xml:space="preserve">These should all be methanol, so density is the same. However if you are measuring by weight, not volume, you should account for methanol density here. </text>
  </threadedComment>
  <threadedComment ref="B57" dT="2022-10-14T20:02:43.57" personId="{42B7E531-F973-4941-A3F1-2E0A918A88E7}" id="{F0A932F9-5714-804E-85E7-2929B337932A}" parentId="{710A8095-C50E-BD43-BCBE-16021D90F484}">
    <text>Total volume of methanol that will be in the FTICRMS sample. This volume is equal to the sum of columns C and D.</text>
  </threadedComment>
  <threadedComment ref="C57" dT="2022-10-14T20:03:18.82" personId="{42B7E531-F973-4941-A3F1-2E0A918A88E7}" id="{01F10E3C-A60B-C84D-8A2B-062BF771435D}">
    <text xml:space="preserve">Volume of MeOH from the SPE extract to be pipetted for the FTICRMS sample </text>
  </threadedComment>
  <threadedComment ref="D57" dT="2022-10-14T20:03:51.53" personId="{42B7E531-F973-4941-A3F1-2E0A918A88E7}" id="{FAAD0434-0044-7B4A-A864-29856FE3F9A2}">
    <text>Volume of ultra pure methanol needed to be pipetted to dilute the SPE extract for the FTICRMS sample</text>
  </threadedComment>
  <threadedComment ref="E57" dT="2022-10-14T20:05:18.64" personId="{42B7E531-F973-4941-A3F1-2E0A918A88E7}" id="{872896F2-538F-D64E-9D8D-08AD0EE9D6FA}">
    <text>What the volume of MeOH pipetted from the SPE extract should weigh.</text>
  </threadedComment>
  <threadedComment ref="F57" dT="2022-10-14T20:05:43.78" personId="{42B7E531-F973-4941-A3F1-2E0A918A88E7}" id="{6F5B3FB8-0A48-6E45-813C-9E166FF68E92}">
    <text>What the volume of MeOH pipetted to dilute the SPE extract should weigh</text>
  </threadedComment>
  <threadedComment ref="G57" dT="2022-10-14T20:13:05.95" personId="{42B7E531-F973-4941-A3F1-2E0A918A88E7}" id="{CF516738-FDD8-4249-9412-98E29C106483}">
    <text>Actual mass of the SPE extract pipetted. This value is recorded in lab.</text>
  </threadedComment>
  <threadedComment ref="H57" dT="2022-10-14T20:13:35.07" personId="{42B7E531-F973-4941-A3F1-2E0A918A88E7}" id="{3E0EC678-C350-9944-86C8-14B2B6A9C308}">
    <text>Actual mass of the MeOH pipetted to dilute sample. This value is recorded in lab.</text>
  </threadedComment>
  <threadedComment ref="A85" dT="2022-10-14T20:16:05.59" personId="{42B7E531-F973-4941-A3F1-2E0A918A88E7}" id="{3EA4EE7B-DC08-BB42-9E70-ABE00CE49AD4}">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18:47:16.64" personId="{C9156CD5-0306-403E-86D7-3E19D63E8616}" id="{444F0EC4-3D92-914A-9022-8F1FF16D7408}">
    <text xml:space="preserve">These should all be methanol, so density is the same. However if you are measuring by weight, not volume, you should account for methanol density here. </text>
  </threadedComment>
  <threadedComment ref="B85" dT="2022-10-14T20:02:43.57" personId="{42B7E531-F973-4941-A3F1-2E0A918A88E7}" id="{3D9D28D0-378D-A845-BAAB-A8910111031A}" parentId="{444F0EC4-3D92-914A-9022-8F1FF16D7408}">
    <text>Total volume of methanol that will be in the FTICRMS sample. This volume is equal to the sum of columns C and D.</text>
  </threadedComment>
  <threadedComment ref="C85" dT="2022-10-14T20:03:18.82" personId="{42B7E531-F973-4941-A3F1-2E0A918A88E7}" id="{A832FBF0-3C96-314E-922B-CB556DFBD921}">
    <text xml:space="preserve">Volume of MeOH from the SPE extract to be pipetted for the FTICRMS sample </text>
  </threadedComment>
  <threadedComment ref="D85" dT="2022-10-14T20:03:51.53" personId="{42B7E531-F973-4941-A3F1-2E0A918A88E7}" id="{0771EFEF-40D3-5140-98C5-6B165EAAA5F1}">
    <text>Volume of ultra pure methanol needed to be pipetted to dilute the SPE extract for the FTICRMS sample</text>
  </threadedComment>
  <threadedComment ref="E85" dT="2022-10-14T20:05:18.64" personId="{42B7E531-F973-4941-A3F1-2E0A918A88E7}" id="{5BAFCE2F-B855-6848-BE7B-BD6D09E758C1}">
    <text>What the volume of MeOH pipetted from the SPE extract should weigh.</text>
  </threadedComment>
  <threadedComment ref="F85" dT="2022-10-14T20:05:43.78" personId="{42B7E531-F973-4941-A3F1-2E0A918A88E7}" id="{B9229F7C-4B70-744C-B952-1021476CE7FC}">
    <text>What the volume of MeOH pipetted to dilute the SPE extract should weigh</text>
  </threadedComment>
  <threadedComment ref="G85" dT="2022-10-14T20:13:05.95" personId="{42B7E531-F973-4941-A3F1-2E0A918A88E7}" id="{651CC042-CA71-1949-A615-B73A08CB0356}">
    <text>Actual mass of the SPE extract pipetted. This value is recorded in lab.</text>
  </threadedComment>
  <threadedComment ref="H85" dT="2022-10-14T20:13:35.07" personId="{42B7E531-F973-4941-A3F1-2E0A918A88E7}" id="{4E1319AB-B039-8E49-9E79-B1D3AAEB1892}">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9811-3C54-9E4B-8506-1341F355449F}">
  <dimension ref="A1:Y157"/>
  <sheetViews>
    <sheetView workbookViewId="0">
      <pane xSplit="1" topLeftCell="B1" activePane="topRight" state="frozen"/>
      <selection pane="topRight" activeCell="S27" sqref="S27"/>
    </sheetView>
  </sheetViews>
  <sheetFormatPr baseColWidth="10" defaultColWidth="10.6640625" defaultRowHeight="15.75" customHeight="1" x14ac:dyDescent="0.2"/>
  <cols>
    <col min="1" max="1" width="37" style="9" customWidth="1"/>
    <col min="2" max="2" width="16" style="38" bestFit="1" customWidth="1"/>
    <col min="3" max="3" width="15" style="30" customWidth="1"/>
    <col min="4" max="4" width="14.33203125" style="30" customWidth="1"/>
    <col min="5" max="5" width="17.83203125" bestFit="1" customWidth="1"/>
    <col min="6" max="9" width="17.83203125" customWidth="1"/>
    <col min="10" max="10" width="18" style="30" customWidth="1"/>
    <col min="11" max="11" width="18.83203125" style="3" customWidth="1"/>
    <col min="12" max="12" width="10.6640625" style="4"/>
    <col min="13" max="13" width="13.6640625" customWidth="1"/>
    <col min="14" max="14" width="14.6640625" customWidth="1"/>
    <col min="15" max="16" width="17.83203125" customWidth="1"/>
    <col min="18" max="18" width="11.83203125" customWidth="1"/>
    <col min="21" max="21" width="14.33203125" bestFit="1" customWidth="1"/>
    <col min="22" max="22" width="59.33203125" bestFit="1" customWidth="1"/>
  </cols>
  <sheetData>
    <row r="1" spans="1:25" ht="68" x14ac:dyDescent="0.2">
      <c r="A1" s="5" t="s">
        <v>0</v>
      </c>
      <c r="B1" s="39" t="s">
        <v>1</v>
      </c>
      <c r="C1" s="28" t="s">
        <v>2</v>
      </c>
      <c r="D1" s="32" t="s">
        <v>3</v>
      </c>
      <c r="E1" s="6" t="s">
        <v>4</v>
      </c>
      <c r="F1" s="7" t="s">
        <v>5</v>
      </c>
      <c r="G1" s="7" t="s">
        <v>6</v>
      </c>
      <c r="H1" s="10" t="s">
        <v>7</v>
      </c>
      <c r="I1" s="10" t="s">
        <v>8</v>
      </c>
      <c r="J1" s="32" t="s">
        <v>9</v>
      </c>
      <c r="K1" s="7" t="s">
        <v>10</v>
      </c>
      <c r="L1" s="7" t="s">
        <v>11</v>
      </c>
      <c r="M1" s="7" t="s">
        <v>12</v>
      </c>
      <c r="N1" s="7" t="s">
        <v>13</v>
      </c>
      <c r="O1" s="7" t="s">
        <v>14</v>
      </c>
      <c r="P1" s="7" t="s">
        <v>15</v>
      </c>
      <c r="Q1" s="12" t="s">
        <v>16</v>
      </c>
      <c r="R1" s="12" t="s">
        <v>17</v>
      </c>
      <c r="S1" s="12" t="s">
        <v>18</v>
      </c>
      <c r="T1" s="12" t="s">
        <v>19</v>
      </c>
      <c r="U1" s="13" t="s">
        <v>20</v>
      </c>
      <c r="V1" s="7" t="s">
        <v>21</v>
      </c>
    </row>
    <row r="2" spans="1:25" ht="16" customHeight="1" x14ac:dyDescent="0.2">
      <c r="A2" t="s">
        <v>32</v>
      </c>
      <c r="B2" s="38">
        <v>20.64</v>
      </c>
      <c r="C2" s="29">
        <v>92.479600000000005</v>
      </c>
      <c r="D2" s="29">
        <v>2.5845959600000001</v>
      </c>
      <c r="E2" s="1">
        <f t="shared" ref="E2:E17" si="0">B2*C2/1000</f>
        <v>1.908778944</v>
      </c>
      <c r="F2" s="1">
        <v>124</v>
      </c>
      <c r="G2" s="1">
        <f t="shared" ref="G2:G17" si="1">1/(E2/F2)</f>
        <v>64.962996574211999</v>
      </c>
      <c r="H2" s="1">
        <f t="shared" ref="H2:H17" si="2">(B2*C2/D2)*0.6</f>
        <v>443.11272791744204</v>
      </c>
      <c r="I2" s="1">
        <f t="shared" ref="I2:I17" si="3">(B2*C2/D2)</f>
        <v>738.52121319573678</v>
      </c>
      <c r="J2" s="30">
        <f t="shared" ref="J2:J17" si="4">H2*D2/1000</f>
        <v>1.1452673663999999</v>
      </c>
      <c r="K2" s="3">
        <v>50</v>
      </c>
      <c r="L2" s="4">
        <v>1</v>
      </c>
      <c r="M2" s="2">
        <f t="shared" ref="M2:M17" si="5">(K2*L2)*1000/H2</f>
        <v>112.83810382742082</v>
      </c>
      <c r="N2" s="2">
        <f t="shared" ref="N2:N17" si="6">L2*1000-M2</f>
        <v>887.16189617257919</v>
      </c>
      <c r="O2" s="11">
        <f>M2*Y6/1000</f>
        <v>0</v>
      </c>
      <c r="P2" s="11">
        <f>N2*Y6/1000</f>
        <v>0</v>
      </c>
      <c r="Q2" s="42">
        <v>9.1200000000000003E-2</v>
      </c>
      <c r="R2" s="42">
        <v>0.72009999999999996</v>
      </c>
      <c r="S2">
        <f t="shared" ref="S2:T17" si="7">(Q2/0.792)*1000</f>
        <v>115.15151515151514</v>
      </c>
      <c r="T2">
        <f t="shared" si="7"/>
        <v>909.2171717171716</v>
      </c>
      <c r="U2" s="14">
        <f t="shared" ref="U2:U17" si="8">((S2*H2)/(S2+T2))</f>
        <v>49.811266838494653</v>
      </c>
    </row>
    <row r="3" spans="1:25" s="27" customFormat="1" ht="16" customHeight="1" x14ac:dyDescent="0.2">
      <c r="A3" t="s">
        <v>34</v>
      </c>
      <c r="B3" s="38">
        <v>18.37</v>
      </c>
      <c r="C3" s="29">
        <v>23.373000000000001</v>
      </c>
      <c r="D3" s="29">
        <v>5.5712121210000003</v>
      </c>
      <c r="E3" s="1">
        <f t="shared" si="0"/>
        <v>0.42936201000000007</v>
      </c>
      <c r="F3" s="1">
        <v>132</v>
      </c>
      <c r="G3" s="1">
        <f t="shared" si="1"/>
        <v>307.43288163757194</v>
      </c>
      <c r="H3" s="1">
        <f t="shared" si="2"/>
        <v>46.240782150251214</v>
      </c>
      <c r="I3" s="1">
        <f t="shared" si="3"/>
        <v>77.067970250418696</v>
      </c>
      <c r="J3" s="30">
        <f t="shared" si="4"/>
        <v>0.25761720599999999</v>
      </c>
      <c r="K3" s="3">
        <v>50</v>
      </c>
      <c r="L3" s="4">
        <v>1</v>
      </c>
      <c r="M3" s="2">
        <f t="shared" si="5"/>
        <v>1081.2965887457067</v>
      </c>
      <c r="N3" s="2">
        <f t="shared" si="6"/>
        <v>-81.296588745706686</v>
      </c>
      <c r="O3" s="11">
        <f>M3*Y9/1000</f>
        <v>0</v>
      </c>
      <c r="P3" s="11">
        <f>N3*Y9/1000</f>
        <v>0</v>
      </c>
      <c r="Q3">
        <v>0.83179999999999998</v>
      </c>
      <c r="R3">
        <f>'print me lab dilution sheet'!H34</f>
        <v>0</v>
      </c>
      <c r="S3">
        <f t="shared" si="7"/>
        <v>1050.2525252525252</v>
      </c>
      <c r="T3">
        <f t="shared" si="7"/>
        <v>0</v>
      </c>
      <c r="U3" s="14">
        <f t="shared" si="8"/>
        <v>46.240782150251214</v>
      </c>
      <c r="V3"/>
      <c r="X3" s="27" t="s">
        <v>23</v>
      </c>
    </row>
    <row r="4" spans="1:25" s="27" customFormat="1" ht="16" customHeight="1" x14ac:dyDescent="0.2">
      <c r="A4" t="s">
        <v>89</v>
      </c>
      <c r="B4" s="38">
        <v>15.84</v>
      </c>
      <c r="C4" s="29">
        <v>66</v>
      </c>
      <c r="D4" s="29">
        <v>5.7407828280000004</v>
      </c>
      <c r="E4" s="1">
        <f t="shared" si="0"/>
        <v>1.0454400000000001</v>
      </c>
      <c r="F4" s="1">
        <v>133</v>
      </c>
      <c r="G4" s="1">
        <f t="shared" si="1"/>
        <v>127.21916131007039</v>
      </c>
      <c r="H4" s="1">
        <f t="shared" si="2"/>
        <v>109.26454088118309</v>
      </c>
      <c r="I4" s="1">
        <f t="shared" si="3"/>
        <v>182.10756813530517</v>
      </c>
      <c r="J4" s="30">
        <f t="shared" si="4"/>
        <v>0.62726399999999993</v>
      </c>
      <c r="K4" s="3">
        <v>50</v>
      </c>
      <c r="L4" s="4">
        <v>1</v>
      </c>
      <c r="M4" s="2">
        <f t="shared" si="5"/>
        <v>457.60499789562294</v>
      </c>
      <c r="N4" s="2">
        <f t="shared" si="6"/>
        <v>542.395002104377</v>
      </c>
      <c r="O4" s="11">
        <f>M4*Y10/1000</f>
        <v>0</v>
      </c>
      <c r="P4" s="11">
        <f>N4*Y10/1000</f>
        <v>0</v>
      </c>
      <c r="Q4" s="42">
        <v>0.37169999999999997</v>
      </c>
      <c r="R4" s="42">
        <v>0.42799999999999999</v>
      </c>
      <c r="S4">
        <f t="shared" si="7"/>
        <v>469.31818181818176</v>
      </c>
      <c r="T4">
        <f t="shared" si="7"/>
        <v>540.4040404040403</v>
      </c>
      <c r="U4" s="14">
        <f t="shared" si="8"/>
        <v>50.786082087702589</v>
      </c>
      <c r="V4"/>
      <c r="X4" s="27" t="s">
        <v>22</v>
      </c>
      <c r="Y4" s="27">
        <v>997</v>
      </c>
    </row>
    <row r="5" spans="1:25" ht="16" customHeight="1" x14ac:dyDescent="0.2">
      <c r="A5" s="27" t="s">
        <v>40</v>
      </c>
      <c r="B5" s="40">
        <v>12.26</v>
      </c>
      <c r="C5" s="33">
        <v>137.29900000000001</v>
      </c>
      <c r="D5" s="31">
        <v>5.8147727270000003</v>
      </c>
      <c r="E5" s="1">
        <f t="shared" si="0"/>
        <v>1.6832857400000001</v>
      </c>
      <c r="F5" s="1">
        <v>135</v>
      </c>
      <c r="G5" s="1">
        <f t="shared" si="1"/>
        <v>80.200287326143439</v>
      </c>
      <c r="H5" s="1">
        <f t="shared" si="2"/>
        <v>173.6906137896591</v>
      </c>
      <c r="I5" s="1">
        <f t="shared" si="3"/>
        <v>289.48435631609851</v>
      </c>
      <c r="J5" s="30">
        <f t="shared" si="4"/>
        <v>1.0099714439999998</v>
      </c>
      <c r="K5" s="3">
        <v>50</v>
      </c>
      <c r="L5" s="4">
        <v>1</v>
      </c>
      <c r="M5" s="2">
        <f t="shared" si="5"/>
        <v>287.86817496396469</v>
      </c>
      <c r="N5" s="2">
        <f t="shared" si="6"/>
        <v>712.13182503603525</v>
      </c>
      <c r="O5" s="11">
        <f>M5*Y11/1000</f>
        <v>0</v>
      </c>
      <c r="P5" s="11">
        <f>N5*Y11/1000</f>
        <v>0</v>
      </c>
      <c r="Q5" s="42">
        <v>0.24030000000000001</v>
      </c>
      <c r="R5" s="42">
        <v>0.5716</v>
      </c>
      <c r="S5">
        <f t="shared" si="7"/>
        <v>303.40909090909088</v>
      </c>
      <c r="T5">
        <f t="shared" si="7"/>
        <v>721.7171717171716</v>
      </c>
      <c r="U5" s="14">
        <f t="shared" si="8"/>
        <v>51.407629626376512</v>
      </c>
      <c r="V5" s="27" t="s">
        <v>99</v>
      </c>
    </row>
    <row r="6" spans="1:25" ht="16" customHeight="1" x14ac:dyDescent="0.2">
      <c r="A6" t="s">
        <v>35</v>
      </c>
      <c r="B6" s="38">
        <v>17.39</v>
      </c>
      <c r="C6" s="29">
        <v>103.81</v>
      </c>
      <c r="D6" s="34">
        <v>5.7034090910000002</v>
      </c>
      <c r="E6" s="1">
        <f t="shared" si="0"/>
        <v>1.8052559000000001</v>
      </c>
      <c r="F6" s="1">
        <v>149</v>
      </c>
      <c r="G6" s="1">
        <f t="shared" si="1"/>
        <v>82.536774980211945</v>
      </c>
      <c r="H6" s="1">
        <f t="shared" si="2"/>
        <v>189.91335229822815</v>
      </c>
      <c r="I6" s="1">
        <f t="shared" si="3"/>
        <v>316.52225383038024</v>
      </c>
      <c r="J6" s="30">
        <f t="shared" si="4"/>
        <v>1.0831535400000003</v>
      </c>
      <c r="K6" s="3">
        <v>50</v>
      </c>
      <c r="L6" s="4">
        <v>1</v>
      </c>
      <c r="M6" s="2">
        <f t="shared" si="5"/>
        <v>263.27796015881546</v>
      </c>
      <c r="N6" s="2">
        <f t="shared" si="6"/>
        <v>736.7220398411846</v>
      </c>
      <c r="O6" s="11">
        <f t="shared" ref="O6:O7" si="9">M6*Y12/1000</f>
        <v>0</v>
      </c>
      <c r="P6" s="11">
        <f t="shared" ref="P6:P7" si="10">N6*Y12/1000</f>
        <v>0</v>
      </c>
      <c r="Q6" s="42">
        <v>0.22040000000000001</v>
      </c>
      <c r="R6" s="42">
        <v>0.59389999999999998</v>
      </c>
      <c r="S6">
        <f t="shared" si="7"/>
        <v>278.28282828282829</v>
      </c>
      <c r="T6">
        <f t="shared" si="7"/>
        <v>749.8737373737373</v>
      </c>
      <c r="U6" s="14">
        <f t="shared" si="8"/>
        <v>51.402312227102406</v>
      </c>
    </row>
    <row r="7" spans="1:25" s="27" customFormat="1" ht="16" customHeight="1" x14ac:dyDescent="0.2">
      <c r="A7" t="s">
        <v>90</v>
      </c>
      <c r="B7" s="38">
        <v>14.93</v>
      </c>
      <c r="C7" s="29">
        <v>74.2</v>
      </c>
      <c r="D7" s="29">
        <v>5.8039141409999999</v>
      </c>
      <c r="E7" s="1">
        <f t="shared" si="0"/>
        <v>1.1078060000000001</v>
      </c>
      <c r="F7" s="1">
        <v>150</v>
      </c>
      <c r="G7" s="1">
        <f t="shared" si="1"/>
        <v>135.40276907689613</v>
      </c>
      <c r="H7" s="1">
        <f t="shared" si="2"/>
        <v>114.52333440023575</v>
      </c>
      <c r="I7" s="1">
        <f t="shared" si="3"/>
        <v>190.87222400039292</v>
      </c>
      <c r="J7" s="30">
        <f t="shared" si="4"/>
        <v>0.66468360000000004</v>
      </c>
      <c r="K7" s="3">
        <v>50</v>
      </c>
      <c r="L7" s="4">
        <v>1</v>
      </c>
      <c r="M7" s="2">
        <f t="shared" si="5"/>
        <v>436.59224787553052</v>
      </c>
      <c r="N7" s="2">
        <f t="shared" si="6"/>
        <v>563.40775212446943</v>
      </c>
      <c r="O7" s="11">
        <f t="shared" si="9"/>
        <v>0</v>
      </c>
      <c r="P7" s="11">
        <f t="shared" si="10"/>
        <v>0</v>
      </c>
      <c r="Q7" s="42">
        <v>0.35399999999999998</v>
      </c>
      <c r="R7" s="42">
        <v>0.44829999999999998</v>
      </c>
      <c r="S7">
        <f t="shared" si="7"/>
        <v>446.96969696969688</v>
      </c>
      <c r="T7">
        <f t="shared" si="7"/>
        <v>566.03535353535347</v>
      </c>
      <c r="U7" s="14">
        <f t="shared" si="8"/>
        <v>50.531297990381972</v>
      </c>
      <c r="V7"/>
    </row>
    <row r="8" spans="1:25" s="27" customFormat="1" ht="16" customHeight="1" x14ac:dyDescent="0.2">
      <c r="A8" s="27" t="s">
        <v>41</v>
      </c>
      <c r="B8" s="40">
        <v>10.75</v>
      </c>
      <c r="C8" s="33">
        <v>115.2559</v>
      </c>
      <c r="D8" s="31">
        <v>5.7868686870000001</v>
      </c>
      <c r="E8" s="1">
        <f t="shared" si="0"/>
        <v>1.239000925</v>
      </c>
      <c r="F8" s="1">
        <v>152</v>
      </c>
      <c r="G8" s="1">
        <f t="shared" si="1"/>
        <v>122.67948871789582</v>
      </c>
      <c r="H8" s="1">
        <f t="shared" si="2"/>
        <v>128.46335301680918</v>
      </c>
      <c r="I8" s="1">
        <f t="shared" si="3"/>
        <v>214.10558836134862</v>
      </c>
      <c r="J8" s="30">
        <f t="shared" si="4"/>
        <v>0.74340055500000002</v>
      </c>
      <c r="K8" s="3">
        <v>50</v>
      </c>
      <c r="L8" s="4">
        <v>1</v>
      </c>
      <c r="M8" s="2">
        <f t="shared" si="5"/>
        <v>389.21605910019798</v>
      </c>
      <c r="N8" s="2">
        <f t="shared" si="6"/>
        <v>610.78394089980202</v>
      </c>
      <c r="O8" s="11">
        <f>M8*Y18/1000</f>
        <v>0</v>
      </c>
      <c r="P8" s="11">
        <f>N8*Y18/1000</f>
        <v>0</v>
      </c>
      <c r="Q8" s="42">
        <v>0.30890000000000001</v>
      </c>
      <c r="R8" s="42">
        <v>0.48459999999999998</v>
      </c>
      <c r="S8">
        <f t="shared" si="7"/>
        <v>390.02525252525248</v>
      </c>
      <c r="T8">
        <f t="shared" si="7"/>
        <v>611.86868686868684</v>
      </c>
      <c r="U8" s="14">
        <f t="shared" si="8"/>
        <v>50.009237236159237</v>
      </c>
      <c r="V8" s="27" t="s">
        <v>99</v>
      </c>
    </row>
    <row r="9" spans="1:25" ht="16" x14ac:dyDescent="0.2">
      <c r="A9" t="s">
        <v>24</v>
      </c>
      <c r="B9" s="38">
        <v>0.83</v>
      </c>
      <c r="C9" s="29">
        <v>266.5958</v>
      </c>
      <c r="D9" s="30">
        <v>2.5930555559999999</v>
      </c>
      <c r="E9" s="1">
        <f t="shared" si="0"/>
        <v>0.22127451399999998</v>
      </c>
      <c r="F9" s="1">
        <v>157</v>
      </c>
      <c r="G9" s="1">
        <f t="shared" si="1"/>
        <v>709.52590590708519</v>
      </c>
      <c r="H9" s="1">
        <f t="shared" si="2"/>
        <v>51.200101784475613</v>
      </c>
      <c r="I9" s="1">
        <f t="shared" si="3"/>
        <v>85.33350297412602</v>
      </c>
      <c r="J9" s="30">
        <f t="shared" si="4"/>
        <v>0.13276470839999999</v>
      </c>
      <c r="K9" s="3">
        <v>50</v>
      </c>
      <c r="L9" s="4">
        <v>1</v>
      </c>
      <c r="M9" s="2">
        <f t="shared" si="5"/>
        <v>976.56055861905543</v>
      </c>
      <c r="N9" s="2">
        <f t="shared" si="6"/>
        <v>23.439441380944572</v>
      </c>
      <c r="O9" s="11">
        <f>M9*Y23/1000</f>
        <v>0</v>
      </c>
      <c r="P9" s="11">
        <f>N9*Y23/1000</f>
        <v>0</v>
      </c>
      <c r="Q9" s="42">
        <v>0.77739999999999998</v>
      </c>
      <c r="R9" s="42">
        <v>1.6899999999999998E-2</v>
      </c>
      <c r="S9">
        <f t="shared" si="7"/>
        <v>981.56565656565658</v>
      </c>
      <c r="T9">
        <f t="shared" si="7"/>
        <v>21.338383838383837</v>
      </c>
      <c r="U9" s="14">
        <f t="shared" si="8"/>
        <v>50.110737916720815</v>
      </c>
    </row>
    <row r="10" spans="1:25" ht="16" x14ac:dyDescent="0.2">
      <c r="A10" t="s">
        <v>25</v>
      </c>
      <c r="B10" s="38">
        <v>0.75</v>
      </c>
      <c r="C10" s="30">
        <v>222.25</v>
      </c>
      <c r="D10" s="30">
        <v>2.6150252530000002</v>
      </c>
      <c r="E10" s="1">
        <f t="shared" si="0"/>
        <v>0.16668749999999999</v>
      </c>
      <c r="F10" s="1">
        <v>158</v>
      </c>
      <c r="G10" s="1">
        <f t="shared" si="1"/>
        <v>947.88151481064881</v>
      </c>
      <c r="H10" s="1">
        <f t="shared" si="2"/>
        <v>38.245328562415985</v>
      </c>
      <c r="I10" s="1">
        <f t="shared" si="3"/>
        <v>63.74221427069331</v>
      </c>
      <c r="J10" s="30">
        <f t="shared" si="4"/>
        <v>0.10001249999999999</v>
      </c>
      <c r="K10" s="3">
        <v>50</v>
      </c>
      <c r="L10" s="4">
        <v>1</v>
      </c>
      <c r="M10" s="2">
        <f t="shared" si="5"/>
        <v>1307.349207849019</v>
      </c>
      <c r="N10" s="2">
        <f t="shared" si="6"/>
        <v>-307.34920784901897</v>
      </c>
      <c r="O10" s="11">
        <f>M10*Y24/1000</f>
        <v>0</v>
      </c>
      <c r="P10" s="11">
        <f>N10*Y24/1000</f>
        <v>0</v>
      </c>
      <c r="Q10">
        <v>0.83689999999999998</v>
      </c>
      <c r="R10">
        <f>'print me lab dilution sheet'!H60</f>
        <v>0</v>
      </c>
      <c r="S10">
        <f t="shared" si="7"/>
        <v>1056.6919191919192</v>
      </c>
      <c r="T10">
        <f t="shared" si="7"/>
        <v>0</v>
      </c>
      <c r="U10" s="14">
        <f t="shared" si="8"/>
        <v>38.245328562415985</v>
      </c>
    </row>
    <row r="11" spans="1:25" ht="16" x14ac:dyDescent="0.2">
      <c r="A11" t="s">
        <v>49</v>
      </c>
      <c r="B11" s="38">
        <v>13.51</v>
      </c>
      <c r="C11" s="30">
        <v>61.339599999999997</v>
      </c>
      <c r="D11" s="29">
        <v>2.36</v>
      </c>
      <c r="E11" s="1">
        <f t="shared" si="0"/>
        <v>0.82869799599999994</v>
      </c>
      <c r="F11" s="1">
        <v>160</v>
      </c>
      <c r="G11" s="1">
        <f t="shared" si="1"/>
        <v>193.07395549681047</v>
      </c>
      <c r="H11" s="1">
        <f t="shared" si="2"/>
        <v>210.68593118644068</v>
      </c>
      <c r="I11" s="1">
        <f t="shared" si="3"/>
        <v>351.14321864406782</v>
      </c>
      <c r="J11" s="30">
        <f t="shared" si="4"/>
        <v>0.49721879759999998</v>
      </c>
      <c r="K11" s="3">
        <v>50</v>
      </c>
      <c r="L11" s="4">
        <v>1</v>
      </c>
      <c r="M11" s="2">
        <f t="shared" si="5"/>
        <v>237.32007029816282</v>
      </c>
      <c r="N11" s="2">
        <f t="shared" si="6"/>
        <v>762.67992970183718</v>
      </c>
      <c r="O11" s="11">
        <f>M11*Y26/1000</f>
        <v>0</v>
      </c>
      <c r="P11" s="11">
        <f>N11*Y26/1000</f>
        <v>0</v>
      </c>
      <c r="Q11" s="42">
        <v>0.19400000000000001</v>
      </c>
      <c r="R11" s="42">
        <v>0.59150000000000003</v>
      </c>
      <c r="S11">
        <f t="shared" si="7"/>
        <v>244.94949494949495</v>
      </c>
      <c r="T11">
        <f t="shared" si="7"/>
        <v>746.84343434343441</v>
      </c>
      <c r="U11" s="14">
        <f t="shared" si="8"/>
        <v>52.034462953748552</v>
      </c>
    </row>
    <row r="12" spans="1:25" ht="16" x14ac:dyDescent="0.2">
      <c r="A12" t="s">
        <v>30</v>
      </c>
      <c r="B12" s="38">
        <v>9.17</v>
      </c>
      <c r="C12" s="29">
        <v>99.960340000000002</v>
      </c>
      <c r="D12" s="29">
        <v>2.5463383839999998</v>
      </c>
      <c r="E12" s="1">
        <f t="shared" si="0"/>
        <v>0.91663631779999999</v>
      </c>
      <c r="F12" s="1">
        <v>161</v>
      </c>
      <c r="G12" s="1">
        <f t="shared" si="1"/>
        <v>175.64217877207045</v>
      </c>
      <c r="H12" s="1">
        <f t="shared" si="2"/>
        <v>215.98927861898815</v>
      </c>
      <c r="I12" s="1">
        <f t="shared" si="3"/>
        <v>359.98213103164693</v>
      </c>
      <c r="J12" s="30">
        <f t="shared" si="4"/>
        <v>0.54998179067999997</v>
      </c>
      <c r="K12" s="3">
        <v>50</v>
      </c>
      <c r="L12" s="4">
        <v>1</v>
      </c>
      <c r="M12" s="2">
        <f t="shared" si="5"/>
        <v>231.49297187200466</v>
      </c>
      <c r="N12" s="2">
        <f t="shared" si="6"/>
        <v>768.50702812799534</v>
      </c>
      <c r="O12" s="11">
        <f>M12*Y27/1000</f>
        <v>0</v>
      </c>
      <c r="P12" s="11">
        <f>N12*Y27/1000</f>
        <v>0</v>
      </c>
      <c r="Q12" s="42">
        <v>0.1857</v>
      </c>
      <c r="R12" s="42">
        <v>0.61980000000000002</v>
      </c>
      <c r="S12">
        <f t="shared" si="7"/>
        <v>234.46969696969697</v>
      </c>
      <c r="T12">
        <f t="shared" si="7"/>
        <v>782.57575757575762</v>
      </c>
      <c r="U12" s="14">
        <f t="shared" si="8"/>
        <v>49.794176337114962</v>
      </c>
    </row>
    <row r="13" spans="1:25" ht="16" x14ac:dyDescent="0.2">
      <c r="A13" t="s">
        <v>33</v>
      </c>
      <c r="B13" s="38">
        <v>9.76</v>
      </c>
      <c r="C13" s="29">
        <v>231.34809999999999</v>
      </c>
      <c r="D13" s="29">
        <v>2.6042929290000001</v>
      </c>
      <c r="E13" s="1">
        <f t="shared" si="0"/>
        <v>2.2579574559999998</v>
      </c>
      <c r="F13" s="1">
        <v>162</v>
      </c>
      <c r="G13" s="1">
        <f t="shared" si="1"/>
        <v>71.746258801078142</v>
      </c>
      <c r="H13" s="1">
        <f t="shared" si="2"/>
        <v>520.20817570633574</v>
      </c>
      <c r="I13" s="1">
        <f t="shared" si="3"/>
        <v>867.01362617722623</v>
      </c>
      <c r="J13" s="30">
        <f t="shared" si="4"/>
        <v>1.3547744735999998</v>
      </c>
      <c r="K13" s="3">
        <v>50</v>
      </c>
      <c r="L13" s="4">
        <v>1</v>
      </c>
      <c r="M13" s="2">
        <f t="shared" si="5"/>
        <v>96.115367529759183</v>
      </c>
      <c r="N13" s="2">
        <f t="shared" si="6"/>
        <v>903.88463247024083</v>
      </c>
      <c r="O13" s="11">
        <f>M13*Y28/1000</f>
        <v>0</v>
      </c>
      <c r="P13" s="11">
        <f>N13*Y28/1000</f>
        <v>0</v>
      </c>
      <c r="Q13" s="42">
        <v>8.1600000000000006E-2</v>
      </c>
      <c r="R13" s="42">
        <v>0.7319</v>
      </c>
      <c r="S13">
        <f t="shared" si="7"/>
        <v>103.03030303030303</v>
      </c>
      <c r="T13">
        <f t="shared" si="7"/>
        <v>924.11616161616166</v>
      </c>
      <c r="U13" s="14">
        <f t="shared" si="8"/>
        <v>52.180684864950209</v>
      </c>
    </row>
    <row r="14" spans="1:25" s="27" customFormat="1" ht="16" x14ac:dyDescent="0.2">
      <c r="A14" t="s">
        <v>36</v>
      </c>
      <c r="B14" s="38">
        <v>54.12</v>
      </c>
      <c r="C14" s="29">
        <v>118.8</v>
      </c>
      <c r="D14" s="34">
        <v>5.6330808079999999</v>
      </c>
      <c r="E14" s="1">
        <f t="shared" si="0"/>
        <v>6.4294559999999992</v>
      </c>
      <c r="F14" s="1">
        <v>170</v>
      </c>
      <c r="G14" s="1">
        <f t="shared" si="1"/>
        <v>26.440806189512774</v>
      </c>
      <c r="H14" s="1">
        <f t="shared" si="2"/>
        <v>684.82482880795897</v>
      </c>
      <c r="I14" s="1">
        <f t="shared" si="3"/>
        <v>1141.3747146799317</v>
      </c>
      <c r="J14" s="30">
        <f t="shared" si="4"/>
        <v>3.8576735999999991</v>
      </c>
      <c r="K14" s="3">
        <v>50</v>
      </c>
      <c r="L14" s="4">
        <v>1</v>
      </c>
      <c r="M14" s="2">
        <f t="shared" si="5"/>
        <v>73.011371516760789</v>
      </c>
      <c r="N14" s="2">
        <f t="shared" si="6"/>
        <v>926.98862848323915</v>
      </c>
      <c r="O14" s="11">
        <f>M14*Y36/1000</f>
        <v>0</v>
      </c>
      <c r="P14" s="11">
        <f>N14*Y36/1000</f>
        <v>0</v>
      </c>
      <c r="Q14" s="42">
        <v>6.1100000000000002E-2</v>
      </c>
      <c r="R14" s="42">
        <v>0.74509999999999998</v>
      </c>
      <c r="S14">
        <f t="shared" si="7"/>
        <v>77.146464646464651</v>
      </c>
      <c r="T14">
        <f t="shared" si="7"/>
        <v>940.78282828282818</v>
      </c>
      <c r="U14" s="14">
        <f t="shared" si="8"/>
        <v>51.901261523401509</v>
      </c>
      <c r="V14"/>
    </row>
    <row r="15" spans="1:25" s="27" customFormat="1" ht="16" x14ac:dyDescent="0.2">
      <c r="A15" t="s">
        <v>86</v>
      </c>
      <c r="B15" s="38">
        <v>41.95</v>
      </c>
      <c r="C15" s="29">
        <v>82.3</v>
      </c>
      <c r="D15" s="29">
        <v>5.7780303030000004</v>
      </c>
      <c r="E15" s="1">
        <f t="shared" si="0"/>
        <v>3.4524850000000002</v>
      </c>
      <c r="F15" s="1">
        <v>171</v>
      </c>
      <c r="G15" s="1">
        <f t="shared" si="1"/>
        <v>49.529541764844737</v>
      </c>
      <c r="H15" s="1">
        <f t="shared" si="2"/>
        <v>358.51161924929073</v>
      </c>
      <c r="I15" s="1">
        <f t="shared" si="3"/>
        <v>597.51936541548457</v>
      </c>
      <c r="J15" s="30">
        <f t="shared" si="4"/>
        <v>2.071491</v>
      </c>
      <c r="K15" s="3">
        <v>50</v>
      </c>
      <c r="L15" s="4">
        <v>1</v>
      </c>
      <c r="M15" s="2">
        <f t="shared" si="5"/>
        <v>139.46549376753268</v>
      </c>
      <c r="N15" s="2">
        <f t="shared" si="6"/>
        <v>860.53450623246727</v>
      </c>
      <c r="O15" s="11">
        <f>M15*Y37/1000</f>
        <v>0</v>
      </c>
      <c r="P15" s="11">
        <f>N15*Y37/1000</f>
        <v>0</v>
      </c>
      <c r="Q15" s="42">
        <v>0.1139</v>
      </c>
      <c r="R15" s="42">
        <v>0.69450000000000001</v>
      </c>
      <c r="S15">
        <f t="shared" si="7"/>
        <v>143.81313131313132</v>
      </c>
      <c r="T15">
        <f t="shared" si="7"/>
        <v>876.89393939393938</v>
      </c>
      <c r="U15" s="14">
        <f t="shared" si="8"/>
        <v>50.512708352912192</v>
      </c>
      <c r="V15"/>
    </row>
    <row r="16" spans="1:25" ht="16" x14ac:dyDescent="0.2">
      <c r="A16" s="27" t="s">
        <v>42</v>
      </c>
      <c r="B16" s="40">
        <v>52.75</v>
      </c>
      <c r="C16" s="33">
        <v>101.58329999999999</v>
      </c>
      <c r="D16" s="31">
        <v>5.8481060610000002</v>
      </c>
      <c r="E16" s="1">
        <f t="shared" si="0"/>
        <v>5.3585190749999994</v>
      </c>
      <c r="F16" s="1">
        <v>173</v>
      </c>
      <c r="G16" s="1">
        <f t="shared" si="1"/>
        <v>32.285039500395918</v>
      </c>
      <c r="H16" s="1">
        <f t="shared" si="2"/>
        <v>549.76968807748153</v>
      </c>
      <c r="I16" s="1">
        <f t="shared" si="3"/>
        <v>916.28281346246933</v>
      </c>
      <c r="J16" s="30">
        <f t="shared" si="4"/>
        <v>3.2151114449999989</v>
      </c>
      <c r="K16" s="3">
        <v>50</v>
      </c>
      <c r="L16" s="4">
        <v>1</v>
      </c>
      <c r="M16" s="2">
        <f t="shared" si="5"/>
        <v>90.947174943106859</v>
      </c>
      <c r="N16" s="2">
        <f t="shared" si="6"/>
        <v>909.0528250568932</v>
      </c>
      <c r="O16" s="11">
        <f>M16*Y39/1000</f>
        <v>0</v>
      </c>
      <c r="P16" s="11">
        <f>N16*Y39/1000</f>
        <v>0</v>
      </c>
      <c r="Q16" s="42">
        <v>7.8E-2</v>
      </c>
      <c r="R16" s="42">
        <v>0.73140000000000005</v>
      </c>
      <c r="S16">
        <f t="shared" si="7"/>
        <v>98.484848484848484</v>
      </c>
      <c r="T16">
        <f t="shared" si="7"/>
        <v>923.4848484848485</v>
      </c>
      <c r="U16" s="14">
        <f t="shared" si="8"/>
        <v>52.980029243938169</v>
      </c>
      <c r="V16" s="27" t="s">
        <v>99</v>
      </c>
    </row>
    <row r="17" spans="1:21" ht="16" x14ac:dyDescent="0.2">
      <c r="A17" t="s">
        <v>28</v>
      </c>
      <c r="B17" s="38">
        <v>20.350000000000001</v>
      </c>
      <c r="C17" s="29">
        <v>267.17</v>
      </c>
      <c r="D17" s="30">
        <v>2.6680555560000001</v>
      </c>
      <c r="E17" s="1">
        <f t="shared" si="0"/>
        <v>5.4369095000000005</v>
      </c>
      <c r="F17" s="1">
        <v>176</v>
      </c>
      <c r="G17" s="1">
        <f t="shared" si="1"/>
        <v>32.371331544142862</v>
      </c>
      <c r="H17" s="1">
        <f t="shared" si="2"/>
        <v>1222.6678311341732</v>
      </c>
      <c r="I17" s="1">
        <f t="shared" si="3"/>
        <v>2037.7797185569552</v>
      </c>
      <c r="J17" s="30">
        <f t="shared" si="4"/>
        <v>3.2621457000000005</v>
      </c>
      <c r="K17" s="3">
        <v>50</v>
      </c>
      <c r="L17" s="4">
        <v>1</v>
      </c>
      <c r="M17" s="2">
        <f t="shared" si="5"/>
        <v>40.894181335922539</v>
      </c>
      <c r="N17" s="2">
        <f t="shared" si="6"/>
        <v>959.10581866407745</v>
      </c>
      <c r="O17" s="11">
        <f t="shared" ref="O17" si="11">M17*Y42/1000</f>
        <v>0</v>
      </c>
      <c r="P17" s="11">
        <f t="shared" ref="P17" si="12">N17*Y42/1000</f>
        <v>0</v>
      </c>
      <c r="Q17" s="42">
        <v>3.4200000000000001E-2</v>
      </c>
      <c r="R17" s="42">
        <v>0.77480000000000004</v>
      </c>
      <c r="S17">
        <f t="shared" si="7"/>
        <v>43.18181818181818</v>
      </c>
      <c r="T17">
        <f t="shared" si="7"/>
        <v>978.28282828282829</v>
      </c>
      <c r="U17" s="14">
        <f t="shared" si="8"/>
        <v>51.68756467835442</v>
      </c>
    </row>
    <row r="18" spans="1:21" ht="16" x14ac:dyDescent="0.2">
      <c r="A18" s="8"/>
      <c r="E18" s="1"/>
      <c r="F18" s="1"/>
      <c r="G18" s="1"/>
      <c r="H18" s="1"/>
      <c r="I18" s="1"/>
      <c r="M18" s="2"/>
      <c r="N18" s="2"/>
      <c r="O18" s="2"/>
      <c r="P18" s="2"/>
    </row>
    <row r="19" spans="1:21" ht="16" x14ac:dyDescent="0.2">
      <c r="A19" s="8"/>
      <c r="E19" s="1"/>
      <c r="F19" s="1"/>
      <c r="G19" s="1"/>
      <c r="H19" s="1"/>
      <c r="I19" s="1"/>
      <c r="M19" s="2"/>
      <c r="N19" s="2"/>
      <c r="O19" s="2"/>
      <c r="P19" s="2"/>
    </row>
    <row r="20" spans="1:21" ht="16" x14ac:dyDescent="0.2">
      <c r="A20" s="42"/>
      <c r="E20" s="1"/>
      <c r="F20" s="1"/>
      <c r="G20" s="1"/>
      <c r="H20" s="1"/>
      <c r="I20" s="1"/>
      <c r="M20" s="2"/>
      <c r="N20" s="2"/>
      <c r="O20" s="2"/>
      <c r="P20" s="2"/>
    </row>
    <row r="21" spans="1:21" ht="16" x14ac:dyDescent="0.2">
      <c r="A21" s="42"/>
      <c r="E21" s="1"/>
      <c r="F21" s="1"/>
      <c r="G21" s="1"/>
      <c r="H21" s="1"/>
      <c r="I21" s="1"/>
      <c r="M21" s="2"/>
      <c r="N21" s="2"/>
      <c r="O21" s="2"/>
      <c r="P21" s="2"/>
    </row>
    <row r="22" spans="1:21" ht="16" x14ac:dyDescent="0.2">
      <c r="A22" s="42"/>
      <c r="E22" s="1"/>
      <c r="F22" s="1"/>
      <c r="G22" s="1"/>
      <c r="H22" s="1"/>
      <c r="I22" s="1"/>
      <c r="M22" s="2"/>
      <c r="N22" s="2"/>
      <c r="O22" s="2"/>
      <c r="P22" s="2"/>
    </row>
    <row r="23" spans="1:21" ht="16" x14ac:dyDescent="0.2">
      <c r="A23" s="42"/>
      <c r="E23" s="1"/>
      <c r="F23" s="1"/>
      <c r="G23" s="1"/>
      <c r="H23" s="1"/>
      <c r="I23" s="1"/>
      <c r="M23" s="2"/>
      <c r="N23" s="2"/>
      <c r="O23" s="2"/>
      <c r="P23" s="2"/>
    </row>
    <row r="24" spans="1:21" ht="16" x14ac:dyDescent="0.2">
      <c r="A24" s="42"/>
      <c r="E24" s="1"/>
      <c r="F24" s="1"/>
      <c r="G24" s="1"/>
      <c r="H24" s="1"/>
      <c r="I24" s="1"/>
      <c r="M24" s="2"/>
      <c r="N24" s="2"/>
      <c r="O24" s="2"/>
      <c r="P24" s="2"/>
    </row>
    <row r="25" spans="1:21" ht="16" x14ac:dyDescent="0.2">
      <c r="A25" s="42"/>
      <c r="E25" s="1"/>
      <c r="F25" s="1"/>
      <c r="G25" s="1"/>
      <c r="H25" s="1"/>
      <c r="I25" s="1"/>
      <c r="M25" s="2"/>
      <c r="N25" s="2"/>
      <c r="O25" s="2"/>
      <c r="P25" s="2"/>
    </row>
    <row r="26" spans="1:21" ht="16" x14ac:dyDescent="0.2">
      <c r="A26" s="42"/>
      <c r="E26" s="1"/>
      <c r="F26" s="1"/>
      <c r="G26" s="1"/>
      <c r="H26" s="1"/>
      <c r="I26" s="1"/>
      <c r="M26" s="2"/>
      <c r="N26" s="2"/>
      <c r="O26" s="2"/>
      <c r="P26" s="2"/>
    </row>
    <row r="27" spans="1:21" ht="16" x14ac:dyDescent="0.2">
      <c r="A27" s="42"/>
      <c r="E27" s="1"/>
      <c r="F27" s="1"/>
      <c r="G27" s="1"/>
      <c r="H27" s="1"/>
      <c r="I27" s="1"/>
      <c r="M27" s="2"/>
      <c r="N27" s="2"/>
      <c r="O27" s="2"/>
      <c r="P27" s="2"/>
    </row>
    <row r="28" spans="1:21" ht="16" x14ac:dyDescent="0.2">
      <c r="A28" s="42"/>
      <c r="E28" s="1"/>
      <c r="F28" s="1"/>
      <c r="G28" s="1"/>
      <c r="H28" s="1"/>
      <c r="I28" s="1"/>
      <c r="M28" s="2"/>
      <c r="N28" s="2"/>
      <c r="O28" s="2"/>
      <c r="P28" s="2"/>
    </row>
    <row r="29" spans="1:21" ht="16" x14ac:dyDescent="0.2">
      <c r="A29" s="42"/>
      <c r="E29" s="1"/>
      <c r="F29" s="1"/>
      <c r="G29" s="1"/>
      <c r="H29" s="1"/>
      <c r="I29" s="1"/>
      <c r="M29" s="2"/>
      <c r="N29" s="2"/>
      <c r="O29" s="2"/>
      <c r="P29" s="2"/>
    </row>
    <row r="30" spans="1:21" ht="16" x14ac:dyDescent="0.2">
      <c r="A30" s="42"/>
      <c r="E30" s="1"/>
      <c r="F30" s="1"/>
      <c r="G30" s="1"/>
      <c r="H30" s="1"/>
      <c r="I30" s="1"/>
      <c r="M30" s="2"/>
      <c r="N30" s="2"/>
      <c r="O30" s="2"/>
      <c r="P30" s="2"/>
    </row>
    <row r="31" spans="1:21" ht="16" x14ac:dyDescent="0.2">
      <c r="A31" s="42"/>
      <c r="E31" s="1"/>
      <c r="F31" s="1"/>
      <c r="G31" s="1"/>
      <c r="H31" s="1"/>
      <c r="I31" s="1"/>
      <c r="M31" s="2"/>
      <c r="N31" s="2"/>
      <c r="O31" s="2"/>
      <c r="P31" s="2"/>
    </row>
    <row r="32" spans="1:21" ht="16" x14ac:dyDescent="0.2">
      <c r="A32" s="42"/>
      <c r="E32" s="1"/>
      <c r="F32" s="1"/>
      <c r="G32" s="1"/>
      <c r="H32" s="1"/>
      <c r="I32" s="1"/>
      <c r="M32" s="2"/>
      <c r="N32" s="2"/>
      <c r="O32" s="2"/>
      <c r="P32" s="2"/>
    </row>
    <row r="33" spans="1:16" ht="16" x14ac:dyDescent="0.2">
      <c r="A33" s="42"/>
      <c r="E33" s="1"/>
      <c r="F33" s="1"/>
      <c r="G33" s="1"/>
      <c r="H33" s="1"/>
      <c r="I33" s="1"/>
      <c r="M33" s="2"/>
      <c r="N33" s="2"/>
      <c r="O33" s="2"/>
      <c r="P33" s="2"/>
    </row>
    <row r="34" spans="1:16" ht="16" x14ac:dyDescent="0.2">
      <c r="A34" s="42"/>
      <c r="E34" s="1"/>
      <c r="F34" s="1"/>
      <c r="G34" s="1"/>
      <c r="H34" s="1"/>
      <c r="I34" s="1"/>
      <c r="M34" s="2"/>
      <c r="N34" s="2"/>
      <c r="O34" s="2"/>
      <c r="P34" s="2"/>
    </row>
    <row r="35" spans="1:16" ht="16" x14ac:dyDescent="0.2">
      <c r="A35" s="42"/>
      <c r="E35" s="1"/>
      <c r="F35" s="1"/>
      <c r="G35" s="1"/>
      <c r="H35" s="1"/>
      <c r="I35" s="1"/>
      <c r="M35" s="2"/>
      <c r="N35" s="2"/>
      <c r="O35" s="2"/>
      <c r="P35" s="2"/>
    </row>
    <row r="36" spans="1:16" ht="16" x14ac:dyDescent="0.2">
      <c r="A36" s="42"/>
      <c r="E36" s="1"/>
      <c r="F36" s="1"/>
      <c r="G36" s="1"/>
      <c r="H36" s="1"/>
      <c r="I36" s="1"/>
      <c r="M36" s="2"/>
      <c r="N36" s="2"/>
      <c r="O36" s="2"/>
      <c r="P36" s="2"/>
    </row>
    <row r="37" spans="1:16" ht="16" x14ac:dyDescent="0.2">
      <c r="A37" s="42"/>
      <c r="E37" s="1"/>
      <c r="F37" s="1"/>
      <c r="G37" s="1"/>
      <c r="H37" s="1"/>
      <c r="I37" s="1"/>
      <c r="M37" s="2"/>
      <c r="N37" s="2"/>
      <c r="O37" s="2"/>
      <c r="P37" s="2"/>
    </row>
    <row r="38" spans="1:16" ht="16" x14ac:dyDescent="0.2">
      <c r="A38" s="42"/>
      <c r="E38" s="1"/>
      <c r="F38" s="1"/>
      <c r="G38" s="1"/>
      <c r="H38" s="1"/>
      <c r="I38" s="1"/>
      <c r="M38" s="2"/>
      <c r="N38" s="2"/>
      <c r="O38" s="2"/>
      <c r="P38" s="2"/>
    </row>
    <row r="39" spans="1:16" ht="16" x14ac:dyDescent="0.2">
      <c r="A39" s="42"/>
      <c r="E39" s="1"/>
      <c r="F39" s="1"/>
      <c r="G39" s="1"/>
      <c r="H39" s="1"/>
      <c r="I39" s="1"/>
      <c r="M39" s="2"/>
      <c r="N39" s="2"/>
      <c r="O39" s="2"/>
      <c r="P39" s="2"/>
    </row>
    <row r="40" spans="1:16" ht="16" x14ac:dyDescent="0.2">
      <c r="A40" s="42"/>
      <c r="E40" s="1"/>
      <c r="F40" s="1"/>
      <c r="G40" s="1"/>
      <c r="H40" s="1"/>
      <c r="I40" s="1"/>
      <c r="M40" s="2"/>
      <c r="N40" s="2"/>
      <c r="O40" s="2"/>
      <c r="P40" s="2"/>
    </row>
    <row r="41" spans="1:16" ht="16" x14ac:dyDescent="0.2">
      <c r="A41" s="42"/>
      <c r="E41" s="1"/>
      <c r="F41" s="1"/>
      <c r="G41" s="1"/>
      <c r="H41" s="1"/>
      <c r="I41" s="1"/>
      <c r="M41" s="2"/>
      <c r="N41" s="2"/>
      <c r="O41" s="2"/>
      <c r="P41" s="2"/>
    </row>
    <row r="42" spans="1:16" ht="16" x14ac:dyDescent="0.2">
      <c r="A42" s="8"/>
      <c r="E42" s="1"/>
      <c r="F42" s="1"/>
      <c r="G42" s="1"/>
      <c r="H42" s="1"/>
      <c r="I42" s="1"/>
      <c r="M42" s="2"/>
      <c r="N42" s="2"/>
      <c r="O42" s="2"/>
      <c r="P42" s="2"/>
    </row>
    <row r="43" spans="1:16" ht="16" x14ac:dyDescent="0.2">
      <c r="A43" s="8"/>
      <c r="E43" s="1"/>
      <c r="F43" s="1"/>
      <c r="G43" s="1"/>
      <c r="H43" s="1"/>
      <c r="I43" s="1"/>
      <c r="M43" s="2"/>
      <c r="N43" s="2"/>
      <c r="O43" s="2"/>
      <c r="P43" s="2"/>
    </row>
    <row r="44" spans="1:16" ht="16" x14ac:dyDescent="0.2">
      <c r="A44" s="8"/>
      <c r="E44" s="1"/>
      <c r="F44" s="1"/>
      <c r="G44" s="1"/>
      <c r="H44" s="1"/>
      <c r="I44" s="1"/>
      <c r="M44" s="2"/>
      <c r="N44" s="2"/>
      <c r="O44" s="2"/>
      <c r="P44" s="2"/>
    </row>
    <row r="45" spans="1:16" ht="16" x14ac:dyDescent="0.2">
      <c r="A45" s="8"/>
      <c r="E45" s="1"/>
      <c r="F45" s="1"/>
      <c r="G45" s="1"/>
      <c r="H45" s="1"/>
      <c r="I45" s="1"/>
      <c r="M45" s="2"/>
      <c r="N45" s="2"/>
      <c r="O45" s="2"/>
      <c r="P45" s="2"/>
    </row>
    <row r="46" spans="1:16" ht="16" x14ac:dyDescent="0.2">
      <c r="A46" s="8"/>
      <c r="E46" s="1"/>
      <c r="F46" s="1"/>
      <c r="G46" s="1"/>
      <c r="H46" s="1"/>
      <c r="I46" s="1"/>
      <c r="M46" s="2"/>
      <c r="N46" s="2"/>
      <c r="O46" s="2"/>
      <c r="P46" s="2"/>
    </row>
    <row r="47" spans="1:16" ht="16" x14ac:dyDescent="0.2">
      <c r="A47" s="8"/>
      <c r="E47" s="1"/>
      <c r="F47" s="1"/>
      <c r="G47" s="1"/>
      <c r="H47" s="1"/>
      <c r="I47" s="1"/>
      <c r="M47" s="2"/>
      <c r="N47" s="2"/>
      <c r="O47" s="2"/>
      <c r="P47" s="2"/>
    </row>
    <row r="48" spans="1:16" ht="16" x14ac:dyDescent="0.2">
      <c r="A48" s="8"/>
      <c r="E48" s="1"/>
      <c r="F48" s="1"/>
      <c r="G48" s="1"/>
      <c r="H48" s="1"/>
      <c r="I48" s="1"/>
      <c r="M48" s="2"/>
      <c r="N48" s="2"/>
      <c r="O48" s="2"/>
      <c r="P48" s="2"/>
    </row>
    <row r="49" spans="1:16" ht="16" x14ac:dyDescent="0.2">
      <c r="A49" s="8"/>
      <c r="E49" s="1"/>
      <c r="F49" s="1"/>
      <c r="G49" s="1"/>
      <c r="H49" s="1"/>
      <c r="I49" s="1"/>
      <c r="M49" s="2"/>
      <c r="N49" s="2"/>
      <c r="O49" s="2"/>
      <c r="P49" s="2"/>
    </row>
    <row r="50" spans="1:16" ht="16" x14ac:dyDescent="0.2">
      <c r="A50" s="8"/>
      <c r="E50" s="1"/>
      <c r="F50" s="1"/>
      <c r="G50" s="1"/>
      <c r="H50" s="1"/>
      <c r="I50" s="1"/>
      <c r="M50" s="2"/>
      <c r="N50" s="2"/>
      <c r="O50" s="2"/>
      <c r="P50" s="2"/>
    </row>
    <row r="51" spans="1:16" ht="16" x14ac:dyDescent="0.2">
      <c r="A51" s="8"/>
      <c r="E51" s="1"/>
      <c r="F51" s="1"/>
      <c r="G51" s="1"/>
      <c r="H51" s="1"/>
      <c r="I51" s="1"/>
      <c r="M51" s="2"/>
      <c r="N51" s="2"/>
      <c r="O51" s="2"/>
      <c r="P51" s="2"/>
    </row>
    <row r="52" spans="1:16" ht="16" x14ac:dyDescent="0.2">
      <c r="A52" s="8"/>
      <c r="E52" s="1"/>
      <c r="F52" s="1"/>
      <c r="G52" s="1"/>
      <c r="H52" s="1"/>
      <c r="I52" s="1"/>
      <c r="M52" s="2"/>
      <c r="N52" s="2"/>
      <c r="O52" s="2"/>
      <c r="P52" s="2"/>
    </row>
    <row r="53" spans="1:16" ht="16" x14ac:dyDescent="0.2">
      <c r="A53" s="8"/>
      <c r="E53" s="1"/>
      <c r="F53" s="1"/>
      <c r="G53" s="1"/>
      <c r="H53" s="1"/>
      <c r="I53" s="1"/>
      <c r="M53" s="2"/>
      <c r="N53" s="2"/>
      <c r="O53" s="2"/>
      <c r="P53" s="2"/>
    </row>
    <row r="54" spans="1:16" ht="16" x14ac:dyDescent="0.2">
      <c r="A54" s="8"/>
      <c r="E54" s="1"/>
      <c r="F54" s="1"/>
      <c r="G54" s="1"/>
      <c r="H54" s="1"/>
      <c r="I54" s="1"/>
      <c r="M54" s="2"/>
      <c r="N54" s="2"/>
      <c r="O54" s="2"/>
      <c r="P54" s="2"/>
    </row>
    <row r="55" spans="1:16" ht="16" x14ac:dyDescent="0.2">
      <c r="A55" s="8"/>
      <c r="E55" s="1"/>
      <c r="F55" s="1"/>
      <c r="G55" s="1"/>
      <c r="H55" s="1"/>
      <c r="I55" s="1"/>
      <c r="M55" s="2"/>
      <c r="N55" s="2"/>
      <c r="O55" s="2"/>
      <c r="P55" s="2"/>
    </row>
    <row r="56" spans="1:16" ht="16" x14ac:dyDescent="0.2">
      <c r="A56" s="8"/>
      <c r="E56" s="1"/>
      <c r="F56" s="1"/>
      <c r="G56" s="1"/>
      <c r="H56" s="1"/>
      <c r="I56" s="1"/>
      <c r="M56" s="2"/>
      <c r="N56" s="2"/>
      <c r="O56" s="2"/>
      <c r="P56" s="2"/>
    </row>
    <row r="57" spans="1:16" ht="16" x14ac:dyDescent="0.2">
      <c r="A57" s="8"/>
      <c r="E57" s="1"/>
      <c r="F57" s="1"/>
      <c r="G57" s="1"/>
      <c r="H57" s="1"/>
      <c r="I57" s="1"/>
      <c r="M57" s="2"/>
      <c r="N57" s="2"/>
      <c r="O57" s="2"/>
      <c r="P57" s="2"/>
    </row>
    <row r="58" spans="1:16" ht="16" x14ac:dyDescent="0.2">
      <c r="A58" s="8"/>
      <c r="E58" s="1"/>
      <c r="F58" s="1"/>
      <c r="G58" s="1"/>
      <c r="H58" s="1"/>
      <c r="I58" s="1"/>
      <c r="M58" s="2"/>
      <c r="N58" s="2"/>
      <c r="O58" s="2"/>
      <c r="P58" s="2"/>
    </row>
    <row r="59" spans="1:16" ht="16" x14ac:dyDescent="0.2">
      <c r="A59" s="8"/>
      <c r="E59" s="1"/>
      <c r="F59" s="1"/>
      <c r="G59" s="1"/>
      <c r="H59" s="1"/>
      <c r="I59" s="1"/>
      <c r="M59" s="2"/>
      <c r="N59" s="2"/>
      <c r="O59" s="2"/>
      <c r="P59" s="2"/>
    </row>
    <row r="60" spans="1:16" ht="16" x14ac:dyDescent="0.2">
      <c r="A60" s="8"/>
      <c r="E60" s="1"/>
      <c r="F60" s="1"/>
      <c r="G60" s="1"/>
      <c r="H60" s="1"/>
      <c r="I60" s="1"/>
      <c r="M60" s="2"/>
      <c r="N60" s="2"/>
      <c r="O60" s="2"/>
      <c r="P60" s="2"/>
    </row>
    <row r="61" spans="1:16" ht="16" x14ac:dyDescent="0.2">
      <c r="A61" s="8"/>
      <c r="E61" s="1"/>
      <c r="F61" s="1"/>
      <c r="G61" s="1"/>
      <c r="H61" s="1"/>
      <c r="I61" s="1"/>
      <c r="M61" s="2"/>
      <c r="N61" s="2"/>
      <c r="O61" s="2"/>
      <c r="P61" s="2"/>
    </row>
    <row r="62" spans="1:16" ht="16" x14ac:dyDescent="0.2">
      <c r="A62" s="8"/>
      <c r="E62" s="1"/>
      <c r="F62" s="1"/>
      <c r="G62" s="1"/>
      <c r="H62" s="1"/>
      <c r="I62" s="1"/>
      <c r="M62" s="2"/>
      <c r="N62" s="2"/>
      <c r="O62" s="2"/>
      <c r="P62" s="2"/>
    </row>
    <row r="63" spans="1:16" ht="16" x14ac:dyDescent="0.2">
      <c r="A63" s="8"/>
      <c r="E63" s="1"/>
      <c r="F63" s="1"/>
      <c r="G63" s="1"/>
      <c r="H63" s="1"/>
      <c r="I63" s="1"/>
      <c r="M63" s="2"/>
      <c r="N63" s="2"/>
      <c r="O63" s="2"/>
      <c r="P63" s="2"/>
    </row>
    <row r="64" spans="1:16" ht="16" x14ac:dyDescent="0.2">
      <c r="A64" s="8"/>
      <c r="E64" s="1"/>
      <c r="F64" s="1"/>
      <c r="G64" s="1"/>
      <c r="H64" s="1"/>
      <c r="I64" s="1"/>
      <c r="M64" s="2"/>
      <c r="N64" s="2"/>
      <c r="O64" s="2"/>
      <c r="P64" s="2"/>
    </row>
    <row r="65" spans="1:16" ht="16" x14ac:dyDescent="0.2">
      <c r="A65" s="8"/>
      <c r="E65" s="1"/>
      <c r="F65" s="1"/>
      <c r="G65" s="1"/>
      <c r="H65" s="1"/>
      <c r="I65" s="1"/>
      <c r="M65" s="2"/>
      <c r="N65" s="2"/>
      <c r="O65" s="2"/>
      <c r="P65" s="2"/>
    </row>
    <row r="66" spans="1:16" ht="16" x14ac:dyDescent="0.2">
      <c r="A66" s="8"/>
      <c r="E66" s="1"/>
      <c r="F66" s="1"/>
      <c r="G66" s="1"/>
      <c r="H66" s="1"/>
      <c r="I66" s="1"/>
      <c r="M66" s="2"/>
      <c r="N66" s="2"/>
      <c r="O66" s="2"/>
      <c r="P66" s="2"/>
    </row>
    <row r="67" spans="1:16" ht="16" x14ac:dyDescent="0.2">
      <c r="A67" s="8"/>
      <c r="E67" s="1"/>
      <c r="F67" s="1"/>
      <c r="G67" s="1"/>
      <c r="H67" s="1"/>
      <c r="I67" s="1"/>
      <c r="M67" s="2"/>
      <c r="N67" s="2"/>
      <c r="O67" s="2"/>
      <c r="P67" s="2"/>
    </row>
    <row r="68" spans="1:16" ht="16" x14ac:dyDescent="0.2">
      <c r="A68" s="8"/>
      <c r="E68" s="1"/>
      <c r="F68" s="1"/>
      <c r="G68" s="1"/>
      <c r="H68" s="1"/>
      <c r="I68" s="1"/>
      <c r="M68" s="2"/>
      <c r="N68" s="2"/>
      <c r="O68" s="2"/>
      <c r="P68" s="2"/>
    </row>
    <row r="69" spans="1:16" ht="16" x14ac:dyDescent="0.2">
      <c r="A69" s="8"/>
      <c r="E69" s="1"/>
      <c r="F69" s="1"/>
      <c r="G69" s="1"/>
      <c r="H69" s="1"/>
      <c r="I69" s="1"/>
      <c r="M69" s="2"/>
      <c r="N69" s="2"/>
      <c r="O69" s="2"/>
      <c r="P69" s="2"/>
    </row>
    <row r="70" spans="1:16" ht="16" x14ac:dyDescent="0.2">
      <c r="A70" s="8"/>
      <c r="E70" s="1"/>
      <c r="F70" s="1"/>
      <c r="G70" s="1"/>
      <c r="H70" s="1"/>
      <c r="I70" s="1"/>
      <c r="M70" s="2"/>
      <c r="N70" s="2"/>
      <c r="O70" s="2"/>
      <c r="P70" s="2"/>
    </row>
    <row r="71" spans="1:16" ht="16" x14ac:dyDescent="0.2">
      <c r="A71" s="8"/>
      <c r="E71" s="1"/>
      <c r="F71" s="1"/>
      <c r="G71" s="1"/>
      <c r="H71" s="1"/>
      <c r="I71" s="1"/>
      <c r="M71" s="2"/>
      <c r="N71" s="2"/>
      <c r="O71" s="2"/>
      <c r="P71" s="2"/>
    </row>
    <row r="72" spans="1:16" ht="16" x14ac:dyDescent="0.2">
      <c r="A72" s="8"/>
      <c r="E72" s="1"/>
      <c r="F72" s="1"/>
      <c r="G72" s="1"/>
      <c r="H72" s="1"/>
      <c r="I72" s="1"/>
      <c r="M72" s="2"/>
      <c r="N72" s="2"/>
      <c r="O72" s="2"/>
      <c r="P72" s="2"/>
    </row>
    <row r="73" spans="1:16" ht="16" x14ac:dyDescent="0.2">
      <c r="A73" s="8"/>
      <c r="E73" s="1"/>
      <c r="F73" s="1"/>
      <c r="G73" s="1"/>
      <c r="H73" s="1"/>
      <c r="I73" s="1"/>
      <c r="M73" s="2"/>
      <c r="N73" s="2"/>
      <c r="O73" s="2"/>
      <c r="P73" s="2"/>
    </row>
    <row r="74" spans="1:16" ht="16" x14ac:dyDescent="0.2">
      <c r="A74" s="8"/>
      <c r="E74" s="1"/>
      <c r="F74" s="1"/>
      <c r="G74" s="1"/>
      <c r="H74" s="1"/>
      <c r="I74" s="1"/>
      <c r="M74" s="2"/>
      <c r="N74" s="2"/>
      <c r="O74" s="2"/>
      <c r="P74" s="2"/>
    </row>
    <row r="75" spans="1:16" ht="16" x14ac:dyDescent="0.2">
      <c r="A75" s="8"/>
      <c r="E75" s="1"/>
      <c r="F75" s="1"/>
      <c r="G75" s="1"/>
      <c r="H75" s="1"/>
      <c r="I75" s="1"/>
      <c r="M75" s="2"/>
      <c r="N75" s="2"/>
      <c r="O75" s="2"/>
      <c r="P75" s="2"/>
    </row>
    <row r="76" spans="1:16" ht="16" x14ac:dyDescent="0.2">
      <c r="A76" s="8"/>
      <c r="E76" s="1"/>
      <c r="F76" s="1"/>
      <c r="G76" s="1"/>
      <c r="H76" s="1"/>
      <c r="I76" s="1"/>
      <c r="M76" s="2"/>
      <c r="N76" s="2"/>
      <c r="O76" s="2"/>
      <c r="P76" s="2"/>
    </row>
    <row r="77" spans="1:16" ht="16" x14ac:dyDescent="0.2">
      <c r="A77" s="8"/>
      <c r="E77" s="1"/>
      <c r="F77" s="1"/>
      <c r="G77" s="1"/>
      <c r="H77" s="1"/>
      <c r="I77" s="1"/>
      <c r="M77" s="2"/>
      <c r="N77" s="2"/>
      <c r="O77" s="2"/>
      <c r="P77" s="2"/>
    </row>
    <row r="78" spans="1:16" ht="16" x14ac:dyDescent="0.2">
      <c r="A78" s="8"/>
      <c r="E78" s="1"/>
      <c r="F78" s="1"/>
      <c r="G78" s="1"/>
      <c r="H78" s="1"/>
      <c r="I78" s="1"/>
      <c r="M78" s="2"/>
      <c r="N78" s="2"/>
      <c r="O78" s="2"/>
      <c r="P78" s="2"/>
    </row>
    <row r="79" spans="1:16" ht="16" x14ac:dyDescent="0.2">
      <c r="A79" s="8"/>
      <c r="E79" s="1"/>
      <c r="F79" s="1"/>
      <c r="G79" s="1"/>
      <c r="H79" s="1"/>
      <c r="I79" s="1"/>
      <c r="M79" s="2"/>
      <c r="N79" s="2"/>
      <c r="O79" s="2"/>
      <c r="P79" s="2"/>
    </row>
    <row r="80" spans="1:16" ht="16" x14ac:dyDescent="0.2">
      <c r="A80" s="8"/>
      <c r="E80" s="1"/>
      <c r="F80" s="1"/>
      <c r="G80" s="1"/>
      <c r="H80" s="1"/>
      <c r="I80" s="1"/>
      <c r="M80" s="2"/>
      <c r="N80" s="2"/>
      <c r="O80" s="2"/>
      <c r="P80" s="2"/>
    </row>
    <row r="81" spans="1:16" ht="16" x14ac:dyDescent="0.2">
      <c r="A81" s="8"/>
      <c r="E81" s="1"/>
      <c r="F81" s="1"/>
      <c r="G81" s="1"/>
      <c r="H81" s="1"/>
      <c r="I81" s="1"/>
      <c r="M81" s="2"/>
      <c r="N81" s="2"/>
      <c r="O81" s="2"/>
      <c r="P81" s="2"/>
    </row>
    <row r="82" spans="1:16" ht="16" x14ac:dyDescent="0.2">
      <c r="A82" s="8"/>
      <c r="E82" s="1"/>
      <c r="F82" s="1"/>
      <c r="G82" s="1"/>
      <c r="H82" s="1"/>
      <c r="I82" s="1"/>
      <c r="M82" s="2"/>
      <c r="N82" s="2"/>
      <c r="O82" s="2"/>
      <c r="P82" s="2"/>
    </row>
    <row r="83" spans="1:16" ht="16" x14ac:dyDescent="0.2">
      <c r="A83" s="8"/>
      <c r="E83" s="1"/>
      <c r="F83" s="1"/>
      <c r="G83" s="1"/>
      <c r="H83" s="1"/>
      <c r="I83" s="1"/>
      <c r="M83" s="2"/>
      <c r="N83" s="2"/>
      <c r="O83" s="2"/>
      <c r="P83" s="2"/>
    </row>
    <row r="84" spans="1:16" ht="16" x14ac:dyDescent="0.2">
      <c r="A84" s="8"/>
      <c r="E84" s="1"/>
      <c r="F84" s="1"/>
      <c r="G84" s="1"/>
      <c r="H84" s="1"/>
      <c r="I84" s="1"/>
      <c r="M84" s="2"/>
      <c r="N84" s="2"/>
      <c r="O84" s="2"/>
      <c r="P84" s="2"/>
    </row>
    <row r="85" spans="1:16" ht="16" x14ac:dyDescent="0.2">
      <c r="A85" s="8"/>
      <c r="E85" s="1"/>
      <c r="F85" s="1"/>
      <c r="G85" s="1"/>
      <c r="H85" s="1"/>
      <c r="I85" s="1"/>
      <c r="M85" s="2"/>
      <c r="N85" s="2"/>
      <c r="O85" s="2"/>
      <c r="P85" s="2"/>
    </row>
    <row r="86" spans="1:16" ht="16" x14ac:dyDescent="0.2">
      <c r="A86" s="8"/>
      <c r="E86" s="1"/>
      <c r="F86" s="1"/>
      <c r="G86" s="1"/>
      <c r="H86" s="1"/>
      <c r="I86" s="1"/>
      <c r="M86" s="2"/>
      <c r="N86" s="2"/>
      <c r="O86" s="2"/>
      <c r="P86" s="2"/>
    </row>
    <row r="87" spans="1:16" ht="16" x14ac:dyDescent="0.2">
      <c r="A87" s="8"/>
      <c r="E87" s="1"/>
      <c r="F87" s="1"/>
      <c r="G87" s="1"/>
      <c r="H87" s="1"/>
      <c r="I87" s="1"/>
      <c r="M87" s="2"/>
      <c r="N87" s="2"/>
      <c r="O87" s="2"/>
      <c r="P87" s="2"/>
    </row>
    <row r="88" spans="1:16" ht="16" x14ac:dyDescent="0.2">
      <c r="A88" s="8"/>
      <c r="E88" s="1"/>
      <c r="F88" s="1"/>
      <c r="G88" s="1"/>
      <c r="H88" s="1"/>
      <c r="I88" s="1"/>
      <c r="M88" s="2"/>
      <c r="N88" s="2"/>
      <c r="O88" s="2"/>
      <c r="P88" s="2"/>
    </row>
    <row r="89" spans="1:16" ht="16" x14ac:dyDescent="0.2">
      <c r="A89" s="8"/>
      <c r="E89" s="1"/>
      <c r="F89" s="1"/>
      <c r="G89" s="1"/>
      <c r="H89" s="1"/>
      <c r="I89" s="1"/>
      <c r="M89" s="2"/>
      <c r="N89" s="2"/>
      <c r="O89" s="2"/>
      <c r="P89" s="2"/>
    </row>
    <row r="90" spans="1:16" ht="16" x14ac:dyDescent="0.2">
      <c r="A90" s="8"/>
      <c r="E90" s="1"/>
      <c r="F90" s="1"/>
      <c r="G90" s="1"/>
      <c r="H90" s="1"/>
      <c r="I90" s="1"/>
      <c r="M90" s="2"/>
      <c r="N90" s="2"/>
      <c r="O90" s="2"/>
      <c r="P90" s="2"/>
    </row>
    <row r="91" spans="1:16" ht="16" x14ac:dyDescent="0.2">
      <c r="A91" s="8"/>
      <c r="E91" s="1"/>
      <c r="F91" s="1"/>
      <c r="G91" s="1"/>
      <c r="H91" s="1"/>
      <c r="I91" s="1"/>
      <c r="M91" s="2"/>
      <c r="N91" s="2"/>
      <c r="O91" s="2"/>
      <c r="P91" s="2"/>
    </row>
    <row r="92" spans="1:16" ht="16" x14ac:dyDescent="0.2">
      <c r="A92" s="8"/>
      <c r="E92" s="1"/>
      <c r="F92" s="1"/>
      <c r="G92" s="1"/>
      <c r="H92" s="1"/>
      <c r="I92" s="1"/>
      <c r="M92" s="2"/>
      <c r="N92" s="2"/>
      <c r="O92" s="2"/>
      <c r="P92" s="2"/>
    </row>
    <row r="93" spans="1:16" ht="16" x14ac:dyDescent="0.2">
      <c r="A93" s="8"/>
      <c r="E93" s="1"/>
      <c r="F93" s="1"/>
      <c r="G93" s="1"/>
      <c r="H93" s="1"/>
      <c r="I93" s="1"/>
      <c r="M93" s="2"/>
      <c r="N93" s="2"/>
      <c r="O93" s="2"/>
      <c r="P93" s="2"/>
    </row>
    <row r="94" spans="1:16" ht="16" x14ac:dyDescent="0.2">
      <c r="A94" s="8"/>
      <c r="E94" s="1"/>
      <c r="F94" s="1"/>
      <c r="G94" s="1"/>
      <c r="H94" s="1"/>
      <c r="I94" s="1"/>
      <c r="M94" s="2"/>
      <c r="N94" s="2"/>
      <c r="O94" s="2"/>
      <c r="P94" s="2"/>
    </row>
    <row r="95" spans="1:16" ht="16" x14ac:dyDescent="0.2">
      <c r="A95" s="8"/>
      <c r="E95" s="1"/>
      <c r="F95" s="1"/>
      <c r="G95" s="1"/>
      <c r="H95" s="1"/>
      <c r="I95" s="1"/>
      <c r="M95" s="2"/>
      <c r="N95" s="2"/>
      <c r="O95" s="2"/>
      <c r="P95" s="2"/>
    </row>
    <row r="96" spans="1:16" ht="16" x14ac:dyDescent="0.2">
      <c r="A96" s="8"/>
      <c r="E96" s="1"/>
      <c r="F96" s="1"/>
      <c r="G96" s="1"/>
      <c r="H96" s="1"/>
      <c r="I96" s="1"/>
      <c r="M96" s="2"/>
      <c r="N96" s="2"/>
      <c r="O96" s="2"/>
      <c r="P96" s="2"/>
    </row>
    <row r="97" spans="1:16" ht="16" x14ac:dyDescent="0.2">
      <c r="A97" s="8"/>
      <c r="E97" s="1"/>
      <c r="F97" s="1"/>
      <c r="G97" s="1"/>
      <c r="H97" s="1"/>
      <c r="I97" s="1"/>
      <c r="M97" s="2"/>
      <c r="N97" s="2"/>
      <c r="O97" s="2"/>
      <c r="P97" s="2"/>
    </row>
    <row r="98" spans="1:16" ht="16" x14ac:dyDescent="0.2">
      <c r="A98" s="8"/>
      <c r="E98" s="1"/>
      <c r="F98" s="1"/>
      <c r="G98" s="1"/>
      <c r="H98" s="1"/>
      <c r="I98" s="1"/>
      <c r="M98" s="2"/>
      <c r="N98" s="2"/>
      <c r="O98" s="2"/>
      <c r="P98" s="2"/>
    </row>
    <row r="99" spans="1:16" ht="16" x14ac:dyDescent="0.2">
      <c r="A99" s="8"/>
      <c r="E99" s="1"/>
      <c r="F99" s="1"/>
      <c r="G99" s="1"/>
      <c r="H99" s="1"/>
      <c r="I99" s="1"/>
      <c r="M99" s="2"/>
      <c r="N99" s="2"/>
      <c r="O99" s="2"/>
      <c r="P99" s="2"/>
    </row>
    <row r="100" spans="1:16" ht="16" x14ac:dyDescent="0.2">
      <c r="A100" s="8"/>
      <c r="E100" s="1"/>
      <c r="F100" s="1"/>
      <c r="G100" s="1"/>
      <c r="H100" s="1"/>
      <c r="I100" s="1"/>
      <c r="M100" s="2"/>
      <c r="N100" s="2"/>
      <c r="O100" s="2"/>
      <c r="P100" s="2"/>
    </row>
    <row r="101" spans="1:16" ht="16" x14ac:dyDescent="0.2">
      <c r="A101" s="8"/>
      <c r="E101" s="1"/>
      <c r="F101" s="1"/>
      <c r="G101" s="1"/>
      <c r="H101" s="1"/>
      <c r="I101" s="1"/>
      <c r="M101" s="2"/>
      <c r="N101" s="2"/>
      <c r="O101" s="2"/>
      <c r="P101" s="2"/>
    </row>
    <row r="102" spans="1:16" ht="16" x14ac:dyDescent="0.2">
      <c r="A102" s="8"/>
      <c r="E102" s="1"/>
      <c r="F102" s="1"/>
      <c r="G102" s="1"/>
      <c r="H102" s="1"/>
      <c r="I102" s="1"/>
      <c r="M102" s="2"/>
      <c r="N102" s="2"/>
      <c r="O102" s="2"/>
      <c r="P102" s="2"/>
    </row>
    <row r="103" spans="1:16" ht="16" x14ac:dyDescent="0.2">
      <c r="A103" s="8"/>
      <c r="E103" s="1"/>
      <c r="F103" s="1"/>
      <c r="G103" s="1"/>
      <c r="H103" s="1"/>
      <c r="I103" s="1"/>
      <c r="M103" s="2"/>
      <c r="N103" s="2"/>
      <c r="O103" s="2"/>
      <c r="P103" s="2"/>
    </row>
    <row r="104" spans="1:16" ht="16" x14ac:dyDescent="0.2">
      <c r="A104" s="8"/>
      <c r="E104" s="1"/>
      <c r="F104" s="1"/>
      <c r="G104" s="1"/>
      <c r="H104" s="1"/>
      <c r="I104" s="1"/>
      <c r="M104" s="2"/>
      <c r="N104" s="2"/>
      <c r="O104" s="2"/>
      <c r="P104" s="2"/>
    </row>
    <row r="105" spans="1:16" ht="16" x14ac:dyDescent="0.2">
      <c r="A105" s="8"/>
      <c r="E105" s="1"/>
      <c r="F105" s="1"/>
      <c r="G105" s="1"/>
      <c r="H105" s="1"/>
      <c r="I105" s="1"/>
      <c r="M105" s="2"/>
      <c r="N105" s="2"/>
      <c r="O105" s="2"/>
      <c r="P105" s="2"/>
    </row>
    <row r="106" spans="1:16" ht="16" x14ac:dyDescent="0.2">
      <c r="A106" s="8"/>
      <c r="E106" s="1"/>
      <c r="F106" s="1"/>
      <c r="G106" s="1"/>
      <c r="H106" s="1"/>
      <c r="I106" s="1"/>
      <c r="M106" s="2"/>
      <c r="N106" s="2"/>
      <c r="O106" s="2"/>
      <c r="P106" s="2"/>
    </row>
    <row r="107" spans="1:16" ht="16" x14ac:dyDescent="0.2">
      <c r="A107" s="8"/>
      <c r="E107" s="1"/>
      <c r="F107" s="1"/>
      <c r="G107" s="1"/>
      <c r="H107" s="1"/>
      <c r="I107" s="1"/>
      <c r="M107" s="2"/>
      <c r="N107" s="2"/>
      <c r="O107" s="2"/>
      <c r="P107" s="2"/>
    </row>
    <row r="108" spans="1:16" ht="16" x14ac:dyDescent="0.2">
      <c r="A108" s="8"/>
      <c r="E108" s="1"/>
      <c r="F108" s="1"/>
      <c r="G108" s="1"/>
      <c r="H108" s="1"/>
      <c r="I108" s="1"/>
      <c r="M108" s="2"/>
      <c r="N108" s="2"/>
      <c r="O108" s="2"/>
      <c r="P108" s="2"/>
    </row>
    <row r="109" spans="1:16" ht="16" x14ac:dyDescent="0.2">
      <c r="A109" s="8"/>
      <c r="E109" s="1"/>
      <c r="F109" s="1"/>
      <c r="G109" s="1"/>
      <c r="H109" s="1"/>
      <c r="I109" s="1"/>
      <c r="M109" s="2"/>
      <c r="N109" s="2"/>
      <c r="O109" s="2"/>
      <c r="P109" s="2"/>
    </row>
    <row r="110" spans="1:16" ht="16" x14ac:dyDescent="0.2">
      <c r="A110" s="8"/>
      <c r="E110" s="1"/>
      <c r="F110" s="1"/>
      <c r="G110" s="1"/>
      <c r="H110" s="1"/>
      <c r="I110" s="1"/>
      <c r="M110" s="2"/>
      <c r="N110" s="2"/>
      <c r="O110" s="2"/>
      <c r="P110" s="2"/>
    </row>
    <row r="111" spans="1:16" ht="16" x14ac:dyDescent="0.2">
      <c r="A111" s="8"/>
      <c r="E111" s="1"/>
      <c r="F111" s="1"/>
      <c r="G111" s="1"/>
      <c r="H111" s="1"/>
      <c r="I111" s="1"/>
      <c r="M111" s="2"/>
      <c r="N111" s="2"/>
      <c r="O111" s="2"/>
      <c r="P111" s="2"/>
    </row>
    <row r="112" spans="1:16" ht="16" x14ac:dyDescent="0.2">
      <c r="A112" s="8"/>
      <c r="E112" s="1"/>
      <c r="F112" s="1"/>
      <c r="G112" s="1"/>
      <c r="H112" s="1"/>
      <c r="I112" s="1"/>
      <c r="M112" s="2"/>
      <c r="N112" s="2"/>
      <c r="O112" s="2"/>
      <c r="P112" s="2"/>
    </row>
    <row r="113" spans="1:16" ht="16" x14ac:dyDescent="0.2">
      <c r="A113" s="8"/>
      <c r="E113" s="1"/>
      <c r="F113" s="1"/>
      <c r="G113" s="1"/>
      <c r="H113" s="1"/>
      <c r="I113" s="1"/>
      <c r="M113" s="2"/>
      <c r="N113" s="2"/>
      <c r="O113" s="2"/>
      <c r="P113" s="2"/>
    </row>
    <row r="114" spans="1:16" ht="16" x14ac:dyDescent="0.2">
      <c r="A114" s="8"/>
      <c r="E114" s="1"/>
      <c r="F114" s="1"/>
      <c r="G114" s="1"/>
      <c r="H114" s="1"/>
      <c r="I114" s="1"/>
      <c r="M114" s="2"/>
      <c r="N114" s="2"/>
      <c r="O114" s="2"/>
      <c r="P114" s="2"/>
    </row>
    <row r="115" spans="1:16" ht="16" x14ac:dyDescent="0.2">
      <c r="A115" s="8"/>
      <c r="E115" s="1"/>
      <c r="F115" s="1"/>
      <c r="G115" s="1"/>
      <c r="H115" s="1"/>
      <c r="I115" s="1"/>
      <c r="M115" s="2"/>
      <c r="N115" s="2"/>
      <c r="O115" s="2"/>
      <c r="P115" s="2"/>
    </row>
    <row r="116" spans="1:16" ht="16" x14ac:dyDescent="0.2">
      <c r="A116" s="8"/>
      <c r="E116" s="1"/>
      <c r="F116" s="1"/>
      <c r="G116" s="1"/>
      <c r="H116" s="1"/>
      <c r="I116" s="1"/>
      <c r="M116" s="2"/>
      <c r="N116" s="2"/>
      <c r="O116" s="2"/>
      <c r="P116" s="2"/>
    </row>
    <row r="117" spans="1:16" ht="16" x14ac:dyDescent="0.2">
      <c r="A117" s="8"/>
      <c r="E117" s="1"/>
      <c r="F117" s="1"/>
      <c r="G117" s="1"/>
      <c r="H117" s="1"/>
      <c r="I117" s="1"/>
      <c r="M117" s="2"/>
      <c r="N117" s="2"/>
      <c r="O117" s="2"/>
      <c r="P117" s="2"/>
    </row>
    <row r="118" spans="1:16" ht="16" x14ac:dyDescent="0.2">
      <c r="A118" s="8"/>
      <c r="E118" s="1"/>
      <c r="F118" s="1"/>
      <c r="G118" s="1"/>
      <c r="H118" s="1"/>
      <c r="I118" s="1"/>
      <c r="M118" s="2"/>
      <c r="N118" s="2"/>
      <c r="O118" s="2"/>
      <c r="P118" s="2"/>
    </row>
    <row r="119" spans="1:16" ht="16" x14ac:dyDescent="0.2">
      <c r="A119" s="8"/>
      <c r="E119" s="1"/>
      <c r="F119" s="1"/>
      <c r="G119" s="1"/>
      <c r="H119" s="1"/>
      <c r="I119" s="1"/>
      <c r="M119" s="2"/>
      <c r="N119" s="2"/>
      <c r="O119" s="2"/>
      <c r="P119" s="2"/>
    </row>
    <row r="120" spans="1:16" ht="16" x14ac:dyDescent="0.2">
      <c r="A120" s="8"/>
      <c r="E120" s="1"/>
      <c r="F120" s="1"/>
      <c r="G120" s="1"/>
      <c r="H120" s="1"/>
      <c r="I120" s="1"/>
      <c r="M120" s="2"/>
      <c r="N120" s="2"/>
      <c r="O120" s="2"/>
      <c r="P120" s="2"/>
    </row>
    <row r="121" spans="1:16" ht="16" x14ac:dyDescent="0.2">
      <c r="A121" s="8"/>
      <c r="E121" s="1"/>
      <c r="F121" s="1"/>
      <c r="G121" s="1"/>
      <c r="H121" s="1"/>
      <c r="I121" s="1"/>
      <c r="M121" s="2"/>
      <c r="N121" s="2"/>
      <c r="O121" s="2"/>
      <c r="P121" s="2"/>
    </row>
    <row r="122" spans="1:16" ht="16" x14ac:dyDescent="0.2">
      <c r="A122" s="8"/>
      <c r="E122" s="1"/>
      <c r="F122" s="1"/>
      <c r="G122" s="1"/>
      <c r="H122" s="1"/>
      <c r="I122" s="1"/>
      <c r="M122" s="2"/>
      <c r="N122" s="2"/>
      <c r="O122" s="2"/>
      <c r="P122" s="2"/>
    </row>
    <row r="123" spans="1:16" ht="16" x14ac:dyDescent="0.2">
      <c r="A123" s="8"/>
      <c r="E123" s="1"/>
      <c r="F123" s="1"/>
      <c r="G123" s="1"/>
      <c r="H123" s="1"/>
      <c r="I123" s="1"/>
      <c r="M123" s="2"/>
      <c r="N123" s="2"/>
      <c r="O123" s="2"/>
      <c r="P123" s="2"/>
    </row>
    <row r="124" spans="1:16" ht="16" x14ac:dyDescent="0.2">
      <c r="A124" s="8"/>
      <c r="E124" s="1"/>
      <c r="F124" s="1"/>
      <c r="G124" s="1"/>
      <c r="H124" s="1"/>
      <c r="I124" s="1"/>
      <c r="M124" s="2"/>
      <c r="N124" s="2"/>
      <c r="O124" s="2"/>
      <c r="P124" s="2"/>
    </row>
    <row r="125" spans="1:16" ht="16" x14ac:dyDescent="0.2">
      <c r="A125" s="8"/>
      <c r="E125" s="1"/>
      <c r="F125" s="1"/>
      <c r="G125" s="1"/>
      <c r="H125" s="1"/>
      <c r="I125" s="1"/>
      <c r="M125" s="2"/>
      <c r="N125" s="2"/>
      <c r="O125" s="2"/>
      <c r="P125" s="2"/>
    </row>
    <row r="126" spans="1:16" ht="16" x14ac:dyDescent="0.2">
      <c r="A126" s="8"/>
      <c r="E126" s="1"/>
      <c r="F126" s="1"/>
      <c r="G126" s="1"/>
      <c r="H126" s="1"/>
      <c r="I126" s="1"/>
      <c r="M126" s="2"/>
      <c r="N126" s="2"/>
      <c r="O126" s="2"/>
      <c r="P126" s="2"/>
    </row>
    <row r="127" spans="1:16" ht="16" x14ac:dyDescent="0.2">
      <c r="A127" s="8"/>
      <c r="E127" s="1"/>
      <c r="F127" s="1"/>
      <c r="G127" s="1"/>
      <c r="H127" s="1"/>
      <c r="I127" s="1"/>
      <c r="M127" s="2"/>
      <c r="N127" s="2"/>
      <c r="O127" s="2"/>
      <c r="P127" s="2"/>
    </row>
    <row r="128" spans="1:16" ht="16" x14ac:dyDescent="0.2">
      <c r="A128" s="8"/>
      <c r="E128" s="1"/>
      <c r="F128" s="1"/>
      <c r="G128" s="1"/>
      <c r="H128" s="1"/>
      <c r="I128" s="1"/>
      <c r="M128" s="2"/>
      <c r="N128" s="2"/>
      <c r="O128" s="2"/>
      <c r="P128" s="2"/>
    </row>
    <row r="129" spans="1:16" ht="16" x14ac:dyDescent="0.2">
      <c r="A129" s="8"/>
      <c r="E129" s="1"/>
      <c r="F129" s="1"/>
      <c r="G129" s="1"/>
      <c r="H129" s="1"/>
      <c r="I129" s="1"/>
      <c r="M129" s="2"/>
      <c r="N129" s="2"/>
      <c r="O129" s="2"/>
      <c r="P129" s="2"/>
    </row>
    <row r="130" spans="1:16" ht="16" x14ac:dyDescent="0.2">
      <c r="A130" s="8"/>
      <c r="E130" s="1"/>
      <c r="F130" s="1"/>
      <c r="G130" s="1"/>
      <c r="H130" s="1"/>
      <c r="I130" s="1"/>
      <c r="M130" s="2"/>
      <c r="N130" s="2"/>
      <c r="O130" s="2"/>
      <c r="P130" s="2"/>
    </row>
    <row r="131" spans="1:16" ht="16" x14ac:dyDescent="0.2">
      <c r="A131" s="8"/>
      <c r="E131" s="1"/>
      <c r="F131" s="1"/>
      <c r="G131" s="1"/>
      <c r="H131" s="1"/>
      <c r="I131" s="1"/>
      <c r="M131" s="2"/>
      <c r="N131" s="2"/>
      <c r="O131" s="2"/>
      <c r="P131" s="2"/>
    </row>
    <row r="132" spans="1:16" ht="16" x14ac:dyDescent="0.2">
      <c r="A132" s="8"/>
      <c r="E132" s="1"/>
      <c r="F132" s="1"/>
      <c r="G132" s="1"/>
      <c r="H132" s="1"/>
      <c r="I132" s="1"/>
      <c r="M132" s="2"/>
      <c r="N132" s="2"/>
      <c r="O132" s="2"/>
      <c r="P132" s="2"/>
    </row>
    <row r="133" spans="1:16" ht="16" x14ac:dyDescent="0.2">
      <c r="A133" s="8"/>
      <c r="E133" s="1"/>
      <c r="F133" s="1"/>
      <c r="G133" s="1"/>
      <c r="H133" s="1"/>
      <c r="I133" s="1"/>
      <c r="M133" s="2"/>
      <c r="N133" s="2"/>
      <c r="O133" s="2"/>
      <c r="P133" s="2"/>
    </row>
    <row r="134" spans="1:16" ht="16" x14ac:dyDescent="0.2">
      <c r="A134" s="8"/>
      <c r="E134" s="1"/>
      <c r="F134" s="1"/>
      <c r="G134" s="1"/>
      <c r="H134" s="1"/>
      <c r="I134" s="1"/>
      <c r="M134" s="2"/>
      <c r="N134" s="2"/>
      <c r="O134" s="2"/>
      <c r="P134" s="2"/>
    </row>
    <row r="135" spans="1:16" ht="16" x14ac:dyDescent="0.2">
      <c r="A135" s="8"/>
      <c r="E135" s="1"/>
      <c r="F135" s="1"/>
      <c r="G135" s="1"/>
      <c r="H135" s="1"/>
      <c r="I135" s="1"/>
      <c r="M135" s="2"/>
      <c r="N135" s="2"/>
      <c r="O135" s="2"/>
      <c r="P135" s="2"/>
    </row>
    <row r="136" spans="1:16" ht="16" x14ac:dyDescent="0.2">
      <c r="A136" s="8"/>
      <c r="E136" s="1"/>
      <c r="F136" s="1"/>
      <c r="G136" s="1"/>
      <c r="H136" s="1"/>
      <c r="I136" s="1"/>
      <c r="M136" s="2"/>
      <c r="N136" s="2"/>
      <c r="O136" s="2"/>
      <c r="P136" s="2"/>
    </row>
    <row r="137" spans="1:16" ht="16" x14ac:dyDescent="0.2">
      <c r="A137" s="8"/>
      <c r="E137" s="1"/>
      <c r="F137" s="1"/>
      <c r="G137" s="1"/>
      <c r="H137" s="1"/>
      <c r="I137" s="1"/>
      <c r="M137" s="2"/>
      <c r="N137" s="2"/>
      <c r="O137" s="2"/>
      <c r="P137" s="2"/>
    </row>
    <row r="138" spans="1:16" ht="16" x14ac:dyDescent="0.2">
      <c r="A138" s="8"/>
      <c r="E138" s="1"/>
      <c r="F138" s="1"/>
      <c r="G138" s="1"/>
      <c r="H138" s="1"/>
      <c r="I138" s="1"/>
      <c r="M138" s="2"/>
      <c r="N138" s="2"/>
      <c r="O138" s="2"/>
      <c r="P138" s="2"/>
    </row>
    <row r="139" spans="1:16" ht="16" x14ac:dyDescent="0.2">
      <c r="A139" s="8"/>
      <c r="E139" s="1"/>
      <c r="F139" s="1"/>
      <c r="G139" s="1"/>
      <c r="H139" s="1"/>
      <c r="I139" s="1"/>
      <c r="M139" s="2"/>
      <c r="N139" s="2"/>
      <c r="O139" s="2"/>
      <c r="P139" s="2"/>
    </row>
    <row r="140" spans="1:16" ht="16" x14ac:dyDescent="0.2">
      <c r="A140" s="8"/>
      <c r="E140" s="1"/>
      <c r="F140" s="1"/>
      <c r="G140" s="1"/>
      <c r="H140" s="1"/>
      <c r="I140" s="1"/>
      <c r="M140" s="2"/>
      <c r="N140" s="2"/>
      <c r="O140" s="2"/>
      <c r="P140" s="2"/>
    </row>
    <row r="141" spans="1:16" ht="16" x14ac:dyDescent="0.2">
      <c r="A141" s="8"/>
      <c r="E141" s="1"/>
      <c r="F141" s="1"/>
      <c r="G141" s="1"/>
      <c r="H141" s="1"/>
      <c r="I141" s="1"/>
      <c r="M141" s="2"/>
      <c r="N141" s="2"/>
      <c r="O141" s="2"/>
      <c r="P141" s="2"/>
    </row>
    <row r="142" spans="1:16" ht="16" x14ac:dyDescent="0.2">
      <c r="A142" s="8"/>
      <c r="E142" s="1"/>
      <c r="F142" s="1"/>
      <c r="G142" s="1"/>
      <c r="H142" s="1"/>
      <c r="I142" s="1"/>
      <c r="M142" s="2"/>
      <c r="N142" s="2"/>
      <c r="O142" s="2"/>
      <c r="P142" s="2"/>
    </row>
    <row r="143" spans="1:16" ht="16" x14ac:dyDescent="0.2">
      <c r="A143" s="8"/>
      <c r="E143" s="1"/>
      <c r="F143" s="1"/>
      <c r="G143" s="1"/>
      <c r="H143" s="1"/>
      <c r="I143" s="1"/>
      <c r="M143" s="2"/>
      <c r="N143" s="2"/>
      <c r="O143" s="2"/>
      <c r="P143" s="2"/>
    </row>
    <row r="144" spans="1:16" ht="16" x14ac:dyDescent="0.2">
      <c r="A144" s="8"/>
      <c r="E144" s="1"/>
      <c r="F144" s="1"/>
      <c r="G144" s="1"/>
      <c r="H144" s="1"/>
      <c r="I144" s="1"/>
      <c r="M144" s="2"/>
      <c r="N144" s="2"/>
      <c r="O144" s="2"/>
      <c r="P144" s="2"/>
    </row>
    <row r="145" spans="1:16" ht="16" x14ac:dyDescent="0.2">
      <c r="A145" s="8"/>
      <c r="E145" s="1"/>
      <c r="F145" s="1"/>
      <c r="G145" s="1"/>
      <c r="H145" s="1"/>
      <c r="I145" s="1"/>
      <c r="M145" s="2"/>
      <c r="N145" s="2"/>
      <c r="O145" s="2"/>
      <c r="P145" s="2"/>
    </row>
    <row r="146" spans="1:16" ht="16" x14ac:dyDescent="0.2">
      <c r="A146" s="8"/>
      <c r="E146" s="1"/>
      <c r="F146" s="1"/>
      <c r="G146" s="1"/>
      <c r="H146" s="1"/>
      <c r="I146" s="1"/>
      <c r="M146" s="2"/>
      <c r="N146" s="2"/>
      <c r="O146" s="2"/>
      <c r="P146" s="2"/>
    </row>
    <row r="147" spans="1:16" ht="16" x14ac:dyDescent="0.2">
      <c r="A147" s="8"/>
      <c r="E147" s="1"/>
      <c r="F147" s="1"/>
      <c r="G147" s="1"/>
      <c r="H147" s="1"/>
      <c r="I147" s="1"/>
      <c r="M147" s="2"/>
      <c r="N147" s="2"/>
      <c r="O147" s="2"/>
      <c r="P147" s="2"/>
    </row>
    <row r="148" spans="1:16" ht="16" x14ac:dyDescent="0.2">
      <c r="A148" s="8"/>
      <c r="E148" s="1"/>
      <c r="F148" s="1"/>
      <c r="G148" s="1"/>
      <c r="H148" s="1"/>
      <c r="I148" s="1"/>
      <c r="M148" s="2"/>
      <c r="N148" s="2"/>
      <c r="O148" s="2"/>
      <c r="P148" s="2"/>
    </row>
    <row r="149" spans="1:16" ht="16" x14ac:dyDescent="0.2">
      <c r="A149" s="8"/>
      <c r="E149" s="1"/>
      <c r="F149" s="1"/>
      <c r="G149" s="1"/>
      <c r="H149" s="1"/>
      <c r="I149" s="1"/>
      <c r="M149" s="2"/>
      <c r="N149" s="2"/>
      <c r="O149" s="2"/>
      <c r="P149" s="2"/>
    </row>
    <row r="150" spans="1:16" ht="16" x14ac:dyDescent="0.2">
      <c r="A150" s="8"/>
      <c r="E150" s="1"/>
      <c r="F150" s="1"/>
      <c r="G150" s="1"/>
      <c r="H150" s="1"/>
      <c r="I150" s="1"/>
      <c r="M150" s="2"/>
      <c r="N150" s="2"/>
      <c r="O150" s="2"/>
      <c r="P150" s="2"/>
    </row>
    <row r="151" spans="1:16" ht="16" x14ac:dyDescent="0.2">
      <c r="A151" s="8"/>
      <c r="E151" s="1"/>
      <c r="F151" s="1"/>
      <c r="G151" s="1"/>
      <c r="H151" s="1"/>
      <c r="I151" s="1"/>
      <c r="M151" s="2"/>
      <c r="N151" s="2"/>
      <c r="O151" s="2"/>
      <c r="P151" s="2"/>
    </row>
    <row r="152" spans="1:16" ht="16" x14ac:dyDescent="0.2">
      <c r="A152" s="8"/>
      <c r="B152" s="41"/>
      <c r="E152" s="1"/>
      <c r="F152" s="1"/>
      <c r="G152" s="1"/>
      <c r="H152" s="1"/>
      <c r="I152" s="1"/>
      <c r="M152" s="2"/>
      <c r="N152" s="2"/>
      <c r="O152" s="2"/>
      <c r="P152" s="2"/>
    </row>
    <row r="153" spans="1:16" ht="16" x14ac:dyDescent="0.2">
      <c r="A153" s="8"/>
      <c r="B153" s="41"/>
      <c r="E153" s="1"/>
      <c r="F153" s="1"/>
      <c r="G153" s="1"/>
      <c r="H153" s="1"/>
      <c r="I153" s="1"/>
      <c r="M153" s="2"/>
      <c r="N153" s="2"/>
      <c r="O153" s="2"/>
      <c r="P153" s="2"/>
    </row>
    <row r="154" spans="1:16" ht="16" x14ac:dyDescent="0.2">
      <c r="A154" s="8"/>
      <c r="E154" s="1"/>
      <c r="F154" s="1"/>
      <c r="G154" s="1"/>
      <c r="H154" s="1"/>
      <c r="I154" s="1"/>
      <c r="M154" s="2"/>
      <c r="N154" s="2"/>
      <c r="O154" s="2"/>
      <c r="P154" s="2"/>
    </row>
    <row r="155" spans="1:16" ht="16" x14ac:dyDescent="0.2">
      <c r="A155" s="8"/>
      <c r="E155" s="1"/>
      <c r="F155" s="1"/>
      <c r="G155" s="1"/>
      <c r="H155" s="1"/>
      <c r="I155" s="1"/>
      <c r="M155" s="2"/>
      <c r="N155" s="2"/>
      <c r="O155" s="2"/>
      <c r="P155" s="2"/>
    </row>
    <row r="156" spans="1:16" ht="16" x14ac:dyDescent="0.2">
      <c r="A156" s="8"/>
      <c r="E156" s="1"/>
      <c r="F156" s="1"/>
      <c r="G156" s="1"/>
      <c r="H156" s="1"/>
      <c r="I156" s="1"/>
      <c r="M156" s="2"/>
      <c r="N156" s="2"/>
      <c r="O156" s="2"/>
      <c r="P156" s="2"/>
    </row>
    <row r="157" spans="1:16" ht="16" x14ac:dyDescent="0.2">
      <c r="A157" s="8"/>
      <c r="E157" s="1"/>
      <c r="F157" s="1"/>
      <c r="G157" s="1"/>
      <c r="H157" s="1"/>
      <c r="I157" s="1"/>
      <c r="M157" s="2"/>
      <c r="N157" s="2"/>
      <c r="O157" s="2"/>
      <c r="P157" s="2"/>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V179"/>
  <sheetViews>
    <sheetView workbookViewId="0">
      <pane xSplit="1" topLeftCell="L1" activePane="topRight" state="frozen"/>
      <selection pane="topRight" activeCell="V1" sqref="V1:W1048576"/>
    </sheetView>
  </sheetViews>
  <sheetFormatPr baseColWidth="10" defaultColWidth="10.6640625" defaultRowHeight="15.75" customHeight="1" x14ac:dyDescent="0.2"/>
  <cols>
    <col min="1" max="1" width="37" style="9" customWidth="1"/>
    <col min="2" max="2" width="16" style="38" bestFit="1" customWidth="1"/>
    <col min="3" max="3" width="15" style="30" customWidth="1"/>
    <col min="4" max="4" width="14.33203125" style="30" customWidth="1"/>
    <col min="5" max="5" width="17.83203125" bestFit="1" customWidth="1"/>
    <col min="6" max="9" width="17.83203125" customWidth="1"/>
    <col min="10" max="10" width="18" style="30" customWidth="1"/>
    <col min="11" max="11" width="18.83203125" style="3" customWidth="1"/>
    <col min="12" max="12" width="10.83203125" style="4"/>
    <col min="13" max="13" width="13.6640625" customWidth="1"/>
    <col min="14" max="14" width="14.6640625" customWidth="1"/>
    <col min="15" max="16" width="17.83203125" customWidth="1"/>
    <col min="17" max="17" width="10.83203125"/>
    <col min="18" max="18" width="11.83203125" customWidth="1"/>
    <col min="19" max="20" width="10.83203125"/>
    <col min="21" max="21" width="14.33203125" bestFit="1" customWidth="1"/>
    <col min="22" max="22" width="59.33203125" bestFit="1" customWidth="1"/>
  </cols>
  <sheetData>
    <row r="1" spans="1:22" ht="68" x14ac:dyDescent="0.2">
      <c r="A1" s="5" t="s">
        <v>0</v>
      </c>
      <c r="B1" s="39" t="s">
        <v>1</v>
      </c>
      <c r="C1" s="28" t="s">
        <v>2</v>
      </c>
      <c r="D1" s="32" t="s">
        <v>3</v>
      </c>
      <c r="E1" s="6" t="s">
        <v>4</v>
      </c>
      <c r="F1" s="7" t="s">
        <v>5</v>
      </c>
      <c r="G1" s="7" t="s">
        <v>6</v>
      </c>
      <c r="H1" s="10" t="s">
        <v>7</v>
      </c>
      <c r="I1" s="10" t="s">
        <v>8</v>
      </c>
      <c r="J1" s="32" t="s">
        <v>9</v>
      </c>
      <c r="K1" s="7" t="s">
        <v>10</v>
      </c>
      <c r="L1" s="7" t="s">
        <v>11</v>
      </c>
      <c r="M1" s="7" t="s">
        <v>12</v>
      </c>
      <c r="N1" s="7" t="s">
        <v>13</v>
      </c>
      <c r="O1" s="7" t="s">
        <v>14</v>
      </c>
      <c r="P1" s="7" t="s">
        <v>15</v>
      </c>
      <c r="Q1" s="12" t="s">
        <v>16</v>
      </c>
      <c r="R1" s="12" t="s">
        <v>17</v>
      </c>
      <c r="S1" s="12" t="s">
        <v>18</v>
      </c>
      <c r="T1" s="12" t="s">
        <v>19</v>
      </c>
      <c r="U1" s="13" t="s">
        <v>20</v>
      </c>
      <c r="V1" s="7" t="s">
        <v>21</v>
      </c>
    </row>
    <row r="2" spans="1:22" ht="16" x14ac:dyDescent="0.2">
      <c r="A2" t="s">
        <v>59</v>
      </c>
      <c r="B2" s="38">
        <v>11.85</v>
      </c>
      <c r="C2" s="29">
        <v>30</v>
      </c>
      <c r="D2" s="29">
        <v>2.4773989900000002</v>
      </c>
      <c r="E2" s="1">
        <f>B2*C2/1000</f>
        <v>0.35549999999999998</v>
      </c>
      <c r="F2" s="1">
        <v>123</v>
      </c>
      <c r="G2" s="1">
        <f>1/(E2/F2)</f>
        <v>345.99156118143458</v>
      </c>
      <c r="H2" s="1">
        <f>(B2*C2/D2)*0.6</f>
        <v>86.098363994247038</v>
      </c>
      <c r="I2" s="1">
        <f>(B2*C2/D2)</f>
        <v>143.49727332374508</v>
      </c>
      <c r="J2" s="30">
        <f>H2*D2/1000</f>
        <v>0.21329999999999999</v>
      </c>
      <c r="K2" s="3">
        <v>50</v>
      </c>
      <c r="L2" s="4">
        <v>1</v>
      </c>
      <c r="M2" s="2">
        <f>(K2*L2)*1000/H2</f>
        <v>580.73112751992505</v>
      </c>
      <c r="N2" s="2">
        <f>L2*1000-M2</f>
        <v>419.26887248007495</v>
      </c>
      <c r="O2" s="11">
        <f>M2*0.792/1000</f>
        <v>0.4599390529957807</v>
      </c>
      <c r="P2" s="11">
        <f>N2*0.792/1000</f>
        <v>0.3320609470042194</v>
      </c>
      <c r="Q2">
        <v>0.4642</v>
      </c>
      <c r="R2">
        <v>0.32829999999999998</v>
      </c>
      <c r="S2">
        <f>(Q2*0.792)*1000</f>
        <v>367.64640000000003</v>
      </c>
      <c r="T2">
        <f>(R2*0.792)*1000</f>
        <v>260.0136</v>
      </c>
      <c r="U2" s="14">
        <f>((S2*H2)/(S2+T2))</f>
        <v>50.431369799532462</v>
      </c>
    </row>
    <row r="3" spans="1:22" ht="16" x14ac:dyDescent="0.2">
      <c r="A3" t="s">
        <v>69</v>
      </c>
      <c r="B3" s="38">
        <v>16.623428571428601</v>
      </c>
      <c r="C3" s="9">
        <v>25.051200000000001</v>
      </c>
      <c r="D3" s="44">
        <v>2.3099747470000001</v>
      </c>
      <c r="E3" s="1">
        <f t="shared" ref="E3:E39" si="0">B3*C3/1000</f>
        <v>0.41643683382857222</v>
      </c>
      <c r="F3" s="1">
        <v>124</v>
      </c>
      <c r="G3" s="1">
        <f t="shared" ref="G3:G39" si="1">1/(E3/F3)</f>
        <v>297.76424640440206</v>
      </c>
      <c r="H3" s="1">
        <f t="shared" ref="H3:H39" si="2">(B3*C3/D3)*0.6</f>
        <v>108.16659386499488</v>
      </c>
      <c r="I3" s="1">
        <f t="shared" ref="I3:I39" si="3">(B3*C3/D3)</f>
        <v>180.27765644165814</v>
      </c>
      <c r="J3" s="30">
        <f t="shared" ref="J3:J39" si="4">H3*D3/1000</f>
        <v>0.24986210029714331</v>
      </c>
      <c r="K3" s="3">
        <v>50</v>
      </c>
      <c r="L3" s="4">
        <v>1</v>
      </c>
      <c r="M3" s="2">
        <f t="shared" ref="M3:M39" si="5">(K3*L3)*1000/H3</f>
        <v>462.24992590971391</v>
      </c>
      <c r="N3" s="2">
        <f t="shared" ref="N3:N39" si="6">L3*1000-M3</f>
        <v>537.75007409028603</v>
      </c>
      <c r="O3" s="11">
        <f t="shared" ref="O3:O39" si="7">M3*0.792/1000</f>
        <v>0.36610194132049345</v>
      </c>
      <c r="P3" s="11">
        <f t="shared" ref="P3:P39" si="8">N3*0.792/1000</f>
        <v>0.42589805867950659</v>
      </c>
      <c r="Q3">
        <v>0.3669</v>
      </c>
      <c r="R3">
        <v>0.4249</v>
      </c>
      <c r="S3">
        <f t="shared" ref="S3:S40" si="9">(Q3*0.792)*1000</f>
        <v>290.58480000000003</v>
      </c>
      <c r="T3">
        <f t="shared" ref="T3:T39" si="10">(R3*0.792)*1000</f>
        <v>336.52080000000001</v>
      </c>
      <c r="U3" s="14">
        <f t="shared" ref="U3:U41" si="11">((S3*H3)/(S3+T3))</f>
        <v>50.121651034436248</v>
      </c>
    </row>
    <row r="4" spans="1:22" ht="16" x14ac:dyDescent="0.2">
      <c r="A4" t="s">
        <v>60</v>
      </c>
      <c r="B4" s="38">
        <v>16.256282973621101</v>
      </c>
      <c r="C4" s="29">
        <v>111.256</v>
      </c>
      <c r="D4" s="29">
        <v>2.5099999999999998</v>
      </c>
      <c r="E4" s="1">
        <f t="shared" si="0"/>
        <v>1.8086090185131891</v>
      </c>
      <c r="F4" s="1">
        <v>125</v>
      </c>
      <c r="G4" s="1">
        <f t="shared" si="1"/>
        <v>69.113887368956767</v>
      </c>
      <c r="H4" s="1">
        <f t="shared" si="2"/>
        <v>432.33681717446751</v>
      </c>
      <c r="I4" s="1">
        <f t="shared" si="3"/>
        <v>720.56136195744591</v>
      </c>
      <c r="J4" s="30">
        <f t="shared" si="4"/>
        <v>1.0851654111079134</v>
      </c>
      <c r="K4" s="3">
        <v>50</v>
      </c>
      <c r="L4" s="4">
        <v>1</v>
      </c>
      <c r="M4" s="2">
        <f t="shared" si="5"/>
        <v>115.650571530721</v>
      </c>
      <c r="N4" s="2">
        <f t="shared" si="6"/>
        <v>884.34942846927902</v>
      </c>
      <c r="O4" s="11">
        <f t="shared" si="7"/>
        <v>9.1595252652331025E-2</v>
      </c>
      <c r="P4" s="11">
        <f t="shared" si="8"/>
        <v>0.70040474734766911</v>
      </c>
      <c r="Q4">
        <v>9.3600000000000003E-2</v>
      </c>
      <c r="R4">
        <v>0.71260000000000001</v>
      </c>
      <c r="S4">
        <f t="shared" si="9"/>
        <v>74.131200000000007</v>
      </c>
      <c r="T4">
        <f t="shared" si="10"/>
        <v>564.37920000000008</v>
      </c>
      <c r="U4" s="14">
        <f t="shared" si="11"/>
        <v>50.194401001649908</v>
      </c>
    </row>
    <row r="5" spans="1:22" ht="16" x14ac:dyDescent="0.2">
      <c r="A5" t="s">
        <v>61</v>
      </c>
      <c r="B5" s="38">
        <v>16.092708333333299</v>
      </c>
      <c r="C5" s="29">
        <v>67.819999999999993</v>
      </c>
      <c r="D5" s="29">
        <v>2.5099999999999998</v>
      </c>
      <c r="E5" s="1">
        <f t="shared" si="0"/>
        <v>1.0914074791666641</v>
      </c>
      <c r="F5" s="1">
        <v>126</v>
      </c>
      <c r="G5" s="1">
        <f t="shared" si="1"/>
        <v>115.44725723907109</v>
      </c>
      <c r="H5" s="1">
        <f t="shared" si="2"/>
        <v>260.89421812748947</v>
      </c>
      <c r="I5" s="1">
        <f t="shared" si="3"/>
        <v>434.82369687914911</v>
      </c>
      <c r="J5" s="30">
        <f t="shared" si="4"/>
        <v>0.65484448749999857</v>
      </c>
      <c r="K5" s="3">
        <v>50</v>
      </c>
      <c r="L5" s="4">
        <v>1</v>
      </c>
      <c r="M5" s="2">
        <f t="shared" si="5"/>
        <v>191.64855533734683</v>
      </c>
      <c r="N5" s="2">
        <f t="shared" si="6"/>
        <v>808.35144466265319</v>
      </c>
      <c r="O5" s="11">
        <f t="shared" si="7"/>
        <v>0.15178565582717868</v>
      </c>
      <c r="P5" s="11">
        <f t="shared" si="8"/>
        <v>0.64021434417282141</v>
      </c>
      <c r="Q5">
        <v>0.15290000000000001</v>
      </c>
      <c r="R5">
        <v>0.64129999999999998</v>
      </c>
      <c r="S5">
        <f t="shared" si="9"/>
        <v>121.09680000000002</v>
      </c>
      <c r="T5">
        <f t="shared" si="10"/>
        <v>507.90959999999995</v>
      </c>
      <c r="U5" s="14">
        <f t="shared" si="11"/>
        <v>50.227557229530525</v>
      </c>
    </row>
    <row r="6" spans="1:22" ht="16" x14ac:dyDescent="0.2">
      <c r="A6" t="s">
        <v>91</v>
      </c>
      <c r="B6" s="48">
        <f>AVERAGE(B4:B5)</f>
        <v>16.174495653477202</v>
      </c>
      <c r="C6" s="48">
        <f t="shared" ref="C6:D6" si="12">AVERAGE(C4:C5)</f>
        <v>89.537999999999997</v>
      </c>
      <c r="D6" s="48">
        <f t="shared" si="12"/>
        <v>2.5099999999999998</v>
      </c>
      <c r="E6" s="1">
        <f t="shared" si="0"/>
        <v>1.4482319918210416</v>
      </c>
      <c r="F6" s="1">
        <v>127</v>
      </c>
      <c r="G6" s="1">
        <f t="shared" si="1"/>
        <v>87.693132534869065</v>
      </c>
      <c r="H6" s="1">
        <f t="shared" si="2"/>
        <v>346.19091437953188</v>
      </c>
      <c r="I6" s="1">
        <f t="shared" si="3"/>
        <v>576.98485729921981</v>
      </c>
      <c r="J6" s="30">
        <f t="shared" si="4"/>
        <v>0.86893919509262496</v>
      </c>
      <c r="K6" s="3">
        <v>50</v>
      </c>
      <c r="L6" s="4">
        <v>1</v>
      </c>
      <c r="M6" s="2">
        <f t="shared" si="5"/>
        <v>144.428978125014</v>
      </c>
      <c r="N6" s="2">
        <f t="shared" si="6"/>
        <v>855.57102187498595</v>
      </c>
      <c r="O6" s="11">
        <f t="shared" si="7"/>
        <v>0.11438775067501109</v>
      </c>
      <c r="P6" s="11">
        <f t="shared" si="8"/>
        <v>0.67761224932498887</v>
      </c>
      <c r="Q6">
        <f>0.0569+0.0573</f>
        <v>0.1142</v>
      </c>
      <c r="R6">
        <v>0.67559999999999998</v>
      </c>
      <c r="S6">
        <f t="shared" si="9"/>
        <v>90.446399999999997</v>
      </c>
      <c r="T6">
        <f t="shared" si="10"/>
        <v>535.0752</v>
      </c>
      <c r="U6" s="14">
        <f>(((0.0569*0.792*1000)*H4)/(T6+(0.0569*0.792*1000))) + (((0.0573*0.792*1000)*H5)/(T6+(0.0573*0.792*1000)))</f>
        <v>53.980948320183629</v>
      </c>
    </row>
    <row r="7" spans="1:22" ht="16" x14ac:dyDescent="0.2">
      <c r="A7" t="s">
        <v>62</v>
      </c>
      <c r="B7" s="38">
        <v>14.342499999999999</v>
      </c>
      <c r="C7" s="43">
        <v>101.0958</v>
      </c>
      <c r="D7" s="43">
        <v>5.79</v>
      </c>
      <c r="E7" s="1">
        <f t="shared" si="0"/>
        <v>1.4499665114999998</v>
      </c>
      <c r="F7" s="1">
        <v>128</v>
      </c>
      <c r="G7" s="1">
        <f t="shared" si="1"/>
        <v>88.277900892747638</v>
      </c>
      <c r="H7" s="1">
        <f t="shared" si="2"/>
        <v>150.25559704663209</v>
      </c>
      <c r="I7" s="1">
        <f t="shared" si="3"/>
        <v>250.42599507772016</v>
      </c>
      <c r="J7" s="30">
        <f t="shared" si="4"/>
        <v>0.86997990689999982</v>
      </c>
      <c r="K7" s="3">
        <v>50</v>
      </c>
      <c r="L7" s="4">
        <v>1</v>
      </c>
      <c r="M7" s="2">
        <f t="shared" si="5"/>
        <v>332.76630609961512</v>
      </c>
      <c r="N7" s="2">
        <f t="shared" si="6"/>
        <v>667.23369390038488</v>
      </c>
      <c r="O7" s="11">
        <f t="shared" si="7"/>
        <v>0.26355091443089518</v>
      </c>
      <c r="P7" s="11">
        <f t="shared" si="8"/>
        <v>0.52844908556910475</v>
      </c>
      <c r="Q7">
        <v>0.25869999999999999</v>
      </c>
      <c r="R7">
        <v>0.51849999999999996</v>
      </c>
      <c r="S7">
        <f t="shared" si="9"/>
        <v>204.8904</v>
      </c>
      <c r="T7">
        <f t="shared" si="10"/>
        <v>410.65199999999999</v>
      </c>
      <c r="U7" s="14">
        <f t="shared" si="11"/>
        <v>50.014311574837521</v>
      </c>
    </row>
    <row r="8" spans="1:22" ht="16" x14ac:dyDescent="0.2">
      <c r="A8" t="s">
        <v>63</v>
      </c>
      <c r="B8" s="38">
        <v>16.0481578947368</v>
      </c>
      <c r="C8" s="43">
        <v>37.387500000000003</v>
      </c>
      <c r="D8" s="43">
        <v>5.7679999999999998</v>
      </c>
      <c r="E8" s="1">
        <f t="shared" si="0"/>
        <v>0.60000050328947219</v>
      </c>
      <c r="F8" s="1">
        <v>129</v>
      </c>
      <c r="G8" s="1">
        <f t="shared" si="1"/>
        <v>214.99981965475709</v>
      </c>
      <c r="H8" s="1">
        <f t="shared" si="2"/>
        <v>62.413367193773112</v>
      </c>
      <c r="I8" s="1">
        <f t="shared" si="3"/>
        <v>104.02227865628852</v>
      </c>
      <c r="J8" s="30">
        <f t="shared" si="4"/>
        <v>0.36000030197368327</v>
      </c>
      <c r="K8" s="3">
        <v>50</v>
      </c>
      <c r="L8" s="4">
        <v>1</v>
      </c>
      <c r="M8" s="2">
        <f t="shared" si="5"/>
        <v>801.11043912702769</v>
      </c>
      <c r="N8" s="2">
        <f t="shared" si="6"/>
        <v>198.88956087297231</v>
      </c>
      <c r="O8" s="11">
        <f t="shared" si="7"/>
        <v>0.63447946778860587</v>
      </c>
      <c r="P8" s="11">
        <f t="shared" si="8"/>
        <v>0.15752053221139409</v>
      </c>
      <c r="Q8">
        <v>0.65629999999999999</v>
      </c>
      <c r="R8">
        <v>0.15920000000000001</v>
      </c>
      <c r="S8">
        <f t="shared" si="9"/>
        <v>519.78960000000006</v>
      </c>
      <c r="T8">
        <f t="shared" si="10"/>
        <v>126.08640000000001</v>
      </c>
      <c r="U8" s="14">
        <f t="shared" si="11"/>
        <v>50.229175829887545</v>
      </c>
    </row>
    <row r="9" spans="1:22" ht="16" x14ac:dyDescent="0.2">
      <c r="A9" t="s">
        <v>92</v>
      </c>
      <c r="B9" s="48">
        <f>AVERAGE(B7:B8)</f>
        <v>15.195328947368399</v>
      </c>
      <c r="C9" s="48">
        <f t="shared" ref="C9:D9" si="13">AVERAGE(C7:C8)</f>
        <v>69.241649999999993</v>
      </c>
      <c r="D9" s="48">
        <f t="shared" si="13"/>
        <v>5.7789999999999999</v>
      </c>
      <c r="E9" s="1">
        <f t="shared" si="0"/>
        <v>1.0521496486085509</v>
      </c>
      <c r="F9" s="1">
        <v>130</v>
      </c>
      <c r="G9" s="1">
        <f t="shared" si="1"/>
        <v>123.55656837591752</v>
      </c>
      <c r="H9" s="1">
        <f t="shared" si="2"/>
        <v>109.23858611613264</v>
      </c>
      <c r="I9" s="1">
        <f t="shared" si="3"/>
        <v>182.06431019355441</v>
      </c>
      <c r="J9" s="30">
        <f t="shared" si="4"/>
        <v>0.63128978916513057</v>
      </c>
      <c r="K9" s="3">
        <v>50</v>
      </c>
      <c r="L9" s="4">
        <v>1</v>
      </c>
      <c r="M9" s="2">
        <f t="shared" si="5"/>
        <v>457.71372349001751</v>
      </c>
      <c r="N9" s="2">
        <f t="shared" si="6"/>
        <v>542.28627650998249</v>
      </c>
      <c r="O9" s="11">
        <f t="shared" si="7"/>
        <v>0.36250926900409386</v>
      </c>
      <c r="P9" s="11">
        <f t="shared" si="8"/>
        <v>0.42949073099590618</v>
      </c>
      <c r="Q9">
        <f>0.7185+0.1784</f>
        <v>0.89690000000000003</v>
      </c>
      <c r="R9">
        <v>0.42149999999999999</v>
      </c>
      <c r="S9">
        <f t="shared" si="9"/>
        <v>710.34480000000008</v>
      </c>
      <c r="T9">
        <f t="shared" si="10"/>
        <v>333.82800000000003</v>
      </c>
      <c r="U9" s="14">
        <f>(((0.1785*0.792*1000)*H7)/(T9+(0.1785*0.792*1000))) + (((0.1784*0.792*1000)*H8)/(T9+(0.1784*0.792*1000)))</f>
        <v>63.261708078314399</v>
      </c>
    </row>
    <row r="10" spans="1:22" s="54" customFormat="1" ht="16" x14ac:dyDescent="0.2">
      <c r="A10" s="54" t="s">
        <v>64</v>
      </c>
      <c r="B10" s="55">
        <v>15.2</v>
      </c>
      <c r="C10" s="56">
        <v>208</v>
      </c>
      <c r="D10" s="57">
        <v>6</v>
      </c>
      <c r="E10" s="58">
        <f t="shared" si="0"/>
        <v>3.1616</v>
      </c>
      <c r="F10" s="58">
        <v>131</v>
      </c>
      <c r="G10" s="58">
        <f t="shared" si="1"/>
        <v>41.434716599190281</v>
      </c>
      <c r="H10" s="58">
        <f t="shared" si="2"/>
        <v>316.15999999999997</v>
      </c>
      <c r="I10" s="58">
        <f t="shared" si="3"/>
        <v>526.93333333333328</v>
      </c>
      <c r="J10" s="59">
        <f t="shared" si="4"/>
        <v>1.8969599999999998</v>
      </c>
      <c r="K10" s="60">
        <v>50</v>
      </c>
      <c r="L10" s="61">
        <v>1</v>
      </c>
      <c r="M10" s="62">
        <f t="shared" si="5"/>
        <v>158.14777327935224</v>
      </c>
      <c r="N10" s="62">
        <f t="shared" si="6"/>
        <v>841.85222672064776</v>
      </c>
      <c r="O10" s="63">
        <f t="shared" si="7"/>
        <v>0.12525303643724697</v>
      </c>
      <c r="P10" s="63">
        <f t="shared" si="8"/>
        <v>0.66674696356275309</v>
      </c>
      <c r="Q10" s="64">
        <v>0.1169</v>
      </c>
      <c r="R10" s="64">
        <v>0.66269999999999996</v>
      </c>
      <c r="S10" s="64">
        <f t="shared" si="9"/>
        <v>92.584800000000016</v>
      </c>
      <c r="T10" s="64">
        <f t="shared" si="10"/>
        <v>524.85839999999996</v>
      </c>
      <c r="U10" s="65">
        <f t="shared" si="11"/>
        <v>47.40777834787071</v>
      </c>
      <c r="V10" s="54" t="s">
        <v>98</v>
      </c>
    </row>
    <row r="11" spans="1:22" ht="16" x14ac:dyDescent="0.2">
      <c r="A11" t="s">
        <v>37</v>
      </c>
      <c r="B11" s="38">
        <v>14.49</v>
      </c>
      <c r="C11" s="29">
        <v>98.172799999999995</v>
      </c>
      <c r="D11" s="29">
        <v>2.6106060609999999</v>
      </c>
      <c r="E11" s="1">
        <f t="shared" si="0"/>
        <v>1.422523872</v>
      </c>
      <c r="F11" s="1">
        <v>132</v>
      </c>
      <c r="G11" s="1">
        <f t="shared" si="1"/>
        <v>92.792818875098632</v>
      </c>
      <c r="H11" s="1">
        <f t="shared" si="2"/>
        <v>326.94106397388003</v>
      </c>
      <c r="I11" s="1">
        <f t="shared" si="3"/>
        <v>544.90177328980008</v>
      </c>
      <c r="J11" s="30">
        <f t="shared" si="4"/>
        <v>0.85351432319999987</v>
      </c>
      <c r="K11" s="3">
        <v>50</v>
      </c>
      <c r="L11" s="4">
        <v>1</v>
      </c>
      <c r="M11" s="2">
        <f t="shared" si="5"/>
        <v>152.93276223018165</v>
      </c>
      <c r="N11" s="2">
        <f t="shared" si="6"/>
        <v>847.06723776981835</v>
      </c>
      <c r="O11" s="11">
        <f t="shared" si="7"/>
        <v>0.12112274768630386</v>
      </c>
      <c r="P11" s="11">
        <f t="shared" si="8"/>
        <v>0.67087725231369622</v>
      </c>
      <c r="Q11">
        <v>0.1133</v>
      </c>
      <c r="R11">
        <v>0.67030000000000001</v>
      </c>
      <c r="S11">
        <f t="shared" si="9"/>
        <v>89.733599999999996</v>
      </c>
      <c r="T11">
        <f t="shared" si="10"/>
        <v>530.87760000000003</v>
      </c>
      <c r="U11" s="14">
        <f t="shared" si="11"/>
        <v>47.272106365799644</v>
      </c>
    </row>
    <row r="12" spans="1:22" ht="16" x14ac:dyDescent="0.2">
      <c r="A12" s="27" t="s">
        <v>43</v>
      </c>
      <c r="B12" s="40">
        <v>12.18</v>
      </c>
      <c r="C12" s="33">
        <v>112.9813</v>
      </c>
      <c r="D12" s="31">
        <v>2.4209595959999999</v>
      </c>
      <c r="E12" s="1">
        <f t="shared" si="0"/>
        <v>1.376112234</v>
      </c>
      <c r="F12" s="1">
        <v>133</v>
      </c>
      <c r="G12" s="1">
        <f t="shared" si="1"/>
        <v>96.649093521539029</v>
      </c>
      <c r="H12" s="1">
        <f t="shared" si="2"/>
        <v>341.04961593088893</v>
      </c>
      <c r="I12" s="1">
        <f t="shared" si="3"/>
        <v>568.41602655148154</v>
      </c>
      <c r="J12" s="30">
        <f t="shared" si="4"/>
        <v>0.82566734039999989</v>
      </c>
      <c r="K12" s="3">
        <v>50</v>
      </c>
      <c r="L12" s="4">
        <v>1</v>
      </c>
      <c r="M12" s="2">
        <f t="shared" si="5"/>
        <v>146.60623459001962</v>
      </c>
      <c r="N12" s="2">
        <f t="shared" si="6"/>
        <v>853.39376540998035</v>
      </c>
      <c r="O12" s="11">
        <f t="shared" si="7"/>
        <v>0.11611213779529556</v>
      </c>
      <c r="P12" s="11">
        <f t="shared" si="8"/>
        <v>0.67588786220470443</v>
      </c>
      <c r="Q12">
        <v>0.112</v>
      </c>
      <c r="R12">
        <v>0.67749999999999999</v>
      </c>
      <c r="S12">
        <f t="shared" si="9"/>
        <v>88.704000000000008</v>
      </c>
      <c r="T12">
        <f t="shared" si="10"/>
        <v>536.58000000000004</v>
      </c>
      <c r="U12" s="14">
        <f t="shared" si="11"/>
        <v>48.381959448080508</v>
      </c>
      <c r="V12" s="27" t="s">
        <v>99</v>
      </c>
    </row>
    <row r="13" spans="1:22" ht="16" x14ac:dyDescent="0.2">
      <c r="A13" t="s">
        <v>46</v>
      </c>
      <c r="B13" s="38">
        <v>21.09</v>
      </c>
      <c r="C13" s="29">
        <v>27.4801</v>
      </c>
      <c r="D13" s="30">
        <v>2.4369949489999998</v>
      </c>
      <c r="E13" s="1">
        <f t="shared" si="0"/>
        <v>0.57955530899999996</v>
      </c>
      <c r="F13" s="1">
        <v>134</v>
      </c>
      <c r="G13" s="1">
        <f t="shared" si="1"/>
        <v>231.21175480423389</v>
      </c>
      <c r="H13" s="1">
        <f t="shared" si="2"/>
        <v>142.68933365770386</v>
      </c>
      <c r="I13" s="1">
        <f t="shared" si="3"/>
        <v>237.81555609617311</v>
      </c>
      <c r="J13" s="30">
        <f t="shared" si="4"/>
        <v>0.34773318539999998</v>
      </c>
      <c r="K13" s="3">
        <v>50</v>
      </c>
      <c r="L13" s="4">
        <v>1</v>
      </c>
      <c r="M13" s="2">
        <f t="shared" si="5"/>
        <v>350.41161604934359</v>
      </c>
      <c r="N13" s="2">
        <f t="shared" si="6"/>
        <v>649.58838395065641</v>
      </c>
      <c r="O13" s="11">
        <f t="shared" si="7"/>
        <v>0.27752599991108012</v>
      </c>
      <c r="P13" s="11">
        <f t="shared" si="8"/>
        <v>0.51447400008891986</v>
      </c>
      <c r="Q13">
        <v>0.27829999999999999</v>
      </c>
      <c r="R13">
        <v>0.51019999999999999</v>
      </c>
      <c r="S13">
        <f t="shared" si="9"/>
        <v>220.4136</v>
      </c>
      <c r="T13">
        <f t="shared" si="10"/>
        <v>404.07839999999999</v>
      </c>
      <c r="U13" s="14">
        <f t="shared" si="11"/>
        <v>50.36200577925046</v>
      </c>
    </row>
    <row r="14" spans="1:22" ht="16" x14ac:dyDescent="0.2">
      <c r="A14" t="s">
        <v>70</v>
      </c>
      <c r="B14" s="38">
        <v>8.36</v>
      </c>
      <c r="C14" s="29">
        <v>30</v>
      </c>
      <c r="D14" s="30">
        <v>2.436868687</v>
      </c>
      <c r="E14" s="1">
        <f t="shared" si="0"/>
        <v>0.25079999999999997</v>
      </c>
      <c r="F14" s="1">
        <v>135</v>
      </c>
      <c r="G14" s="1">
        <f t="shared" si="1"/>
        <v>538.27751196172255</v>
      </c>
      <c r="H14" s="1">
        <f t="shared" si="2"/>
        <v>61.751378235014421</v>
      </c>
      <c r="I14" s="1">
        <f t="shared" si="3"/>
        <v>102.91896372502404</v>
      </c>
      <c r="J14" s="30">
        <f t="shared" si="4"/>
        <v>0.15047999999999997</v>
      </c>
      <c r="K14" s="3">
        <v>50</v>
      </c>
      <c r="L14" s="4">
        <v>1</v>
      </c>
      <c r="M14" s="2">
        <f t="shared" si="5"/>
        <v>809.69852704678374</v>
      </c>
      <c r="N14" s="2">
        <f t="shared" si="6"/>
        <v>190.30147295321626</v>
      </c>
      <c r="O14" s="11">
        <f t="shared" si="7"/>
        <v>0.64128123342105281</v>
      </c>
      <c r="P14" s="11">
        <f t="shared" si="8"/>
        <v>0.15071876657894728</v>
      </c>
      <c r="Q14">
        <v>0.6754</v>
      </c>
      <c r="R14">
        <v>0.15160000000000001</v>
      </c>
      <c r="S14">
        <f t="shared" si="9"/>
        <v>534.91679999999997</v>
      </c>
      <c r="T14">
        <f t="shared" si="10"/>
        <v>120.06720000000001</v>
      </c>
      <c r="U14" s="14">
        <f t="shared" si="11"/>
        <v>50.43153671091747</v>
      </c>
    </row>
    <row r="15" spans="1:22" ht="16" x14ac:dyDescent="0.2">
      <c r="A15" t="s">
        <v>97</v>
      </c>
      <c r="B15" s="38">
        <v>15.0241085271318</v>
      </c>
      <c r="C15" s="29">
        <v>16.620799999999999</v>
      </c>
      <c r="D15" s="29">
        <v>2.0242424240000001</v>
      </c>
      <c r="E15" s="1">
        <f t="shared" si="0"/>
        <v>0.2497127030077522</v>
      </c>
      <c r="F15" s="1">
        <v>136</v>
      </c>
      <c r="G15" s="1">
        <f t="shared" si="1"/>
        <v>544.6258775060312</v>
      </c>
      <c r="H15" s="1">
        <f t="shared" si="2"/>
        <v>74.016639523138124</v>
      </c>
      <c r="I15" s="1">
        <f t="shared" si="3"/>
        <v>123.36106587189687</v>
      </c>
      <c r="J15" s="30">
        <f t="shared" si="4"/>
        <v>0.14982762180465134</v>
      </c>
      <c r="K15" s="3">
        <v>50</v>
      </c>
      <c r="L15" s="4">
        <v>1</v>
      </c>
      <c r="M15" s="2">
        <f t="shared" si="5"/>
        <v>675.52377846564684</v>
      </c>
      <c r="N15" s="2">
        <f t="shared" si="6"/>
        <v>324.47622153435316</v>
      </c>
      <c r="O15" s="11">
        <f t="shared" si="7"/>
        <v>0.53501483254479232</v>
      </c>
      <c r="P15" s="11">
        <f t="shared" si="8"/>
        <v>0.25698516745520772</v>
      </c>
      <c r="Q15">
        <v>0.56120000000000003</v>
      </c>
      <c r="R15">
        <v>0.24959999999999999</v>
      </c>
      <c r="S15">
        <f t="shared" si="9"/>
        <v>444.47040000000004</v>
      </c>
      <c r="T15">
        <f t="shared" si="10"/>
        <v>197.6832</v>
      </c>
      <c r="U15" s="14">
        <f t="shared" si="11"/>
        <v>51.231053404520367</v>
      </c>
    </row>
    <row r="16" spans="1:22" ht="16" x14ac:dyDescent="0.2">
      <c r="A16" t="s">
        <v>79</v>
      </c>
      <c r="B16" s="38">
        <v>9.4262765957446799</v>
      </c>
      <c r="C16" s="9">
        <v>40.943100000000001</v>
      </c>
      <c r="D16" s="9">
        <v>2.5409999999999999</v>
      </c>
      <c r="E16" s="1">
        <f t="shared" si="0"/>
        <v>0.38594098528723403</v>
      </c>
      <c r="F16" s="1">
        <v>137</v>
      </c>
      <c r="G16" s="1">
        <f t="shared" si="1"/>
        <v>354.97655139694132</v>
      </c>
      <c r="H16" s="1">
        <f t="shared" si="2"/>
        <v>91.131283420834478</v>
      </c>
      <c r="I16" s="1">
        <f t="shared" si="3"/>
        <v>151.88547236805746</v>
      </c>
      <c r="J16" s="30">
        <f t="shared" si="4"/>
        <v>0.23156459117234041</v>
      </c>
      <c r="K16" s="3">
        <v>50</v>
      </c>
      <c r="L16" s="4">
        <v>1</v>
      </c>
      <c r="M16" s="2">
        <f t="shared" si="5"/>
        <v>548.65901283432356</v>
      </c>
      <c r="N16" s="2">
        <f t="shared" si="6"/>
        <v>451.34098716567644</v>
      </c>
      <c r="O16" s="11">
        <f t="shared" si="7"/>
        <v>0.43453793816478431</v>
      </c>
      <c r="P16" s="11">
        <f t="shared" si="8"/>
        <v>0.35746206183521578</v>
      </c>
      <c r="Q16">
        <v>0.443</v>
      </c>
      <c r="R16">
        <v>0.3493</v>
      </c>
      <c r="S16">
        <f t="shared" si="9"/>
        <v>350.85599999999999</v>
      </c>
      <c r="T16">
        <f t="shared" si="10"/>
        <v>276.6456</v>
      </c>
      <c r="U16" s="14">
        <f t="shared" si="11"/>
        <v>50.954384141650472</v>
      </c>
    </row>
    <row r="17" spans="1:22" ht="16" x14ac:dyDescent="0.2">
      <c r="A17" t="s">
        <v>72</v>
      </c>
      <c r="B17" s="38">
        <v>10.609698275862099</v>
      </c>
      <c r="C17" s="29">
        <v>207.09</v>
      </c>
      <c r="D17" s="29">
        <v>2.37</v>
      </c>
      <c r="E17" s="1">
        <f t="shared" si="0"/>
        <v>2.1971624159482821</v>
      </c>
      <c r="F17" s="1">
        <v>138</v>
      </c>
      <c r="G17" s="1">
        <f t="shared" si="1"/>
        <v>62.808283538037863</v>
      </c>
      <c r="H17" s="1">
        <f t="shared" si="2"/>
        <v>556.24364960716002</v>
      </c>
      <c r="I17" s="1">
        <f t="shared" si="3"/>
        <v>927.07274934526674</v>
      </c>
      <c r="J17" s="30">
        <f t="shared" si="4"/>
        <v>1.3182974495689694</v>
      </c>
      <c r="K17" s="3">
        <v>50</v>
      </c>
      <c r="L17" s="4">
        <v>1</v>
      </c>
      <c r="M17" s="2">
        <f t="shared" si="5"/>
        <v>89.888666657699119</v>
      </c>
      <c r="N17" s="2">
        <f t="shared" si="6"/>
        <v>910.1113333423009</v>
      </c>
      <c r="O17" s="11">
        <f t="shared" si="7"/>
        <v>7.119182399289771E-2</v>
      </c>
      <c r="P17" s="11">
        <f t="shared" si="8"/>
        <v>0.72080817600710234</v>
      </c>
      <c r="Q17">
        <v>7.2499999999999995E-2</v>
      </c>
      <c r="R17">
        <v>0.7208</v>
      </c>
      <c r="S17">
        <f t="shared" si="9"/>
        <v>57.42</v>
      </c>
      <c r="T17">
        <f t="shared" si="10"/>
        <v>570.87360000000001</v>
      </c>
      <c r="U17" s="14">
        <f t="shared" si="11"/>
        <v>50.835326605973911</v>
      </c>
    </row>
    <row r="18" spans="1:22" ht="16" x14ac:dyDescent="0.2">
      <c r="A18" t="s">
        <v>73</v>
      </c>
      <c r="B18" s="38">
        <v>8.0258333333333294</v>
      </c>
      <c r="C18" s="29">
        <v>21.073</v>
      </c>
      <c r="D18" s="29">
        <v>2.59</v>
      </c>
      <c r="E18" s="1">
        <f t="shared" si="0"/>
        <v>0.16912838583333326</v>
      </c>
      <c r="F18" s="1">
        <v>139</v>
      </c>
      <c r="G18" s="1">
        <f t="shared" si="1"/>
        <v>821.86085626677038</v>
      </c>
      <c r="H18" s="1">
        <f t="shared" si="2"/>
        <v>39.180321042471029</v>
      </c>
      <c r="I18" s="1">
        <f t="shared" si="3"/>
        <v>65.300535070785045</v>
      </c>
      <c r="J18" s="30">
        <f t="shared" si="4"/>
        <v>0.10147703149999995</v>
      </c>
      <c r="K18" s="3">
        <v>50</v>
      </c>
      <c r="L18" s="4">
        <v>1</v>
      </c>
      <c r="M18" s="2">
        <f t="shared" si="5"/>
        <v>1276.1508499585943</v>
      </c>
      <c r="N18" s="2">
        <f t="shared" si="6"/>
        <v>-276.15084995859434</v>
      </c>
      <c r="O18" s="11">
        <f t="shared" si="7"/>
        <v>1.0107114731672069</v>
      </c>
      <c r="P18" s="11">
        <f t="shared" si="8"/>
        <v>-0.21871147316720671</v>
      </c>
      <c r="Q18">
        <v>0.82969999999999999</v>
      </c>
      <c r="R18">
        <v>0</v>
      </c>
      <c r="S18">
        <f t="shared" si="9"/>
        <v>657.12239999999997</v>
      </c>
      <c r="T18">
        <f t="shared" si="10"/>
        <v>0</v>
      </c>
      <c r="U18" s="14">
        <f t="shared" si="11"/>
        <v>39.180321042471029</v>
      </c>
    </row>
    <row r="19" spans="1:22" ht="16" x14ac:dyDescent="0.2">
      <c r="A19" t="s">
        <v>93</v>
      </c>
      <c r="B19" s="48">
        <f>AVERAGE(B17:B18)</f>
        <v>9.3177658045977143</v>
      </c>
      <c r="C19" s="48">
        <f t="shared" ref="C19:D19" si="14">AVERAGE(C17:C18)</f>
        <v>114.08150000000001</v>
      </c>
      <c r="D19" s="48">
        <f t="shared" si="14"/>
        <v>2.48</v>
      </c>
      <c r="E19" s="1">
        <f t="shared" si="0"/>
        <v>1.0629846996372141</v>
      </c>
      <c r="F19" s="1">
        <v>140</v>
      </c>
      <c r="G19" s="1">
        <f t="shared" si="1"/>
        <v>131.70462382739902</v>
      </c>
      <c r="H19" s="1">
        <f t="shared" si="2"/>
        <v>257.1737176541647</v>
      </c>
      <c r="I19" s="1">
        <f t="shared" si="3"/>
        <v>428.62286275694117</v>
      </c>
      <c r="J19" s="30">
        <f t="shared" si="4"/>
        <v>0.63779081978232843</v>
      </c>
      <c r="K19" s="3">
        <v>50</v>
      </c>
      <c r="L19" s="4">
        <v>1</v>
      </c>
      <c r="M19" s="2">
        <f t="shared" si="5"/>
        <v>194.42111136425567</v>
      </c>
      <c r="N19" s="2">
        <f t="shared" si="6"/>
        <v>805.57888863574431</v>
      </c>
      <c r="O19" s="11">
        <f t="shared" si="7"/>
        <v>0.1539815202004905</v>
      </c>
      <c r="P19" s="11">
        <f t="shared" si="8"/>
        <v>0.63801847979950943</v>
      </c>
      <c r="Q19">
        <f>0.075+0.0762</f>
        <v>0.1512</v>
      </c>
      <c r="R19">
        <v>0.64059999999999995</v>
      </c>
      <c r="S19">
        <f t="shared" si="9"/>
        <v>119.75040000000001</v>
      </c>
      <c r="T19">
        <f t="shared" si="10"/>
        <v>507.35520000000002</v>
      </c>
      <c r="U19" s="14">
        <f>(((0.075*0.792*1000)*H17)/(T19+(0.075*0.792*1000))) + (((0.0762*0.792*1000)*H18)/(T19+(0.0762*0.792*1000)))</f>
        <v>62.463409823027057</v>
      </c>
    </row>
    <row r="20" spans="1:22" ht="16" x14ac:dyDescent="0.2">
      <c r="A20" t="s">
        <v>74</v>
      </c>
      <c r="B20" s="38">
        <v>11.6382222222222</v>
      </c>
      <c r="C20" s="43">
        <v>78.763000000000005</v>
      </c>
      <c r="D20" s="43">
        <v>5.585</v>
      </c>
      <c r="E20" s="1">
        <f t="shared" si="0"/>
        <v>0.9166612968888872</v>
      </c>
      <c r="F20" s="1">
        <v>141</v>
      </c>
      <c r="G20" s="1">
        <f t="shared" si="1"/>
        <v>153.81908288104725</v>
      </c>
      <c r="H20" s="1">
        <f t="shared" si="2"/>
        <v>98.47748937033704</v>
      </c>
      <c r="I20" s="1">
        <f t="shared" si="3"/>
        <v>164.12914895056173</v>
      </c>
      <c r="J20" s="30">
        <f t="shared" si="4"/>
        <v>0.54999677813333236</v>
      </c>
      <c r="K20" s="3">
        <v>50</v>
      </c>
      <c r="L20" s="4">
        <v>1</v>
      </c>
      <c r="M20" s="2">
        <f t="shared" si="5"/>
        <v>507.73024698028888</v>
      </c>
      <c r="N20" s="2">
        <f t="shared" si="6"/>
        <v>492.26975301971112</v>
      </c>
      <c r="O20" s="11">
        <f t="shared" si="7"/>
        <v>0.40212235560838883</v>
      </c>
      <c r="P20" s="11">
        <f t="shared" si="8"/>
        <v>0.38987764439161121</v>
      </c>
      <c r="Q20">
        <v>0.40400000000000003</v>
      </c>
      <c r="R20">
        <v>0.38229999999999997</v>
      </c>
      <c r="S20">
        <f t="shared" si="9"/>
        <v>319.96800000000002</v>
      </c>
      <c r="T20">
        <f t="shared" si="10"/>
        <v>302.78159999999997</v>
      </c>
      <c r="U20" s="14">
        <f t="shared" si="11"/>
        <v>50.597616311352112</v>
      </c>
    </row>
    <row r="21" spans="1:22" ht="16" x14ac:dyDescent="0.2">
      <c r="A21" t="s">
        <v>75</v>
      </c>
      <c r="B21" s="38">
        <v>11.153461538461499</v>
      </c>
      <c r="C21" s="43">
        <v>26.121400000000001</v>
      </c>
      <c r="D21" s="43">
        <v>5.7329999999999997</v>
      </c>
      <c r="E21" s="1">
        <f t="shared" si="0"/>
        <v>0.29134403023076821</v>
      </c>
      <c r="F21" s="1">
        <v>142</v>
      </c>
      <c r="G21" s="1">
        <f t="shared" si="1"/>
        <v>487.39629189424073</v>
      </c>
      <c r="H21" s="1">
        <f t="shared" si="2"/>
        <v>30.491264283701543</v>
      </c>
      <c r="I21" s="1">
        <f t="shared" si="3"/>
        <v>50.81877380616924</v>
      </c>
      <c r="J21" s="30">
        <f t="shared" si="4"/>
        <v>0.17480641813846093</v>
      </c>
      <c r="K21" s="3">
        <v>50</v>
      </c>
      <c r="L21" s="4">
        <v>1</v>
      </c>
      <c r="M21" s="2">
        <f t="shared" si="5"/>
        <v>1639.8139327638978</v>
      </c>
      <c r="N21" s="2">
        <f t="shared" si="6"/>
        <v>-639.81393276389781</v>
      </c>
      <c r="O21" s="11">
        <f t="shared" si="7"/>
        <v>1.2987326347490071</v>
      </c>
      <c r="P21" s="11">
        <f t="shared" si="8"/>
        <v>-0.50673263474900709</v>
      </c>
      <c r="Q21">
        <v>0.82040000000000002</v>
      </c>
      <c r="R21">
        <v>0</v>
      </c>
      <c r="S21">
        <f t="shared" si="9"/>
        <v>649.7568</v>
      </c>
      <c r="T21">
        <f t="shared" si="10"/>
        <v>0</v>
      </c>
      <c r="U21" s="14">
        <f t="shared" si="11"/>
        <v>30.491264283701547</v>
      </c>
    </row>
    <row r="22" spans="1:22" ht="16" x14ac:dyDescent="0.2">
      <c r="A22" t="s">
        <v>94</v>
      </c>
      <c r="B22" s="48">
        <f>AVERAGE(B20:B21)</f>
        <v>11.39584188034185</v>
      </c>
      <c r="C22" s="48">
        <f>AVERAGE(C20:C21)</f>
        <v>52.4422</v>
      </c>
      <c r="D22" s="47">
        <f>AVERAGE(D20:D21)</f>
        <v>5.6589999999999998</v>
      </c>
      <c r="E22" s="1">
        <f t="shared" si="0"/>
        <v>0.59762301905726334</v>
      </c>
      <c r="F22" s="1">
        <v>143</v>
      </c>
      <c r="G22" s="1">
        <f t="shared" si="1"/>
        <v>239.28127839784224</v>
      </c>
      <c r="H22" s="1">
        <f t="shared" si="2"/>
        <v>63.363458461628909</v>
      </c>
      <c r="I22" s="1">
        <f t="shared" si="3"/>
        <v>105.60576410271486</v>
      </c>
      <c r="J22" s="30">
        <f t="shared" si="4"/>
        <v>0.35857381143435801</v>
      </c>
      <c r="K22" s="3">
        <v>50</v>
      </c>
      <c r="L22" s="4">
        <v>1</v>
      </c>
      <c r="M22" s="2">
        <f t="shared" si="5"/>
        <v>789.09834175605431</v>
      </c>
      <c r="N22" s="2">
        <f t="shared" si="6"/>
        <v>210.90165824394569</v>
      </c>
      <c r="O22" s="11">
        <f t="shared" si="7"/>
        <v>0.624965886670795</v>
      </c>
      <c r="P22" s="11">
        <f t="shared" si="8"/>
        <v>0.16703411332920498</v>
      </c>
      <c r="Q22">
        <f>0.2779+0.313</f>
        <v>0.59089999999999998</v>
      </c>
      <c r="R22">
        <v>0.1709</v>
      </c>
      <c r="S22">
        <f t="shared" si="9"/>
        <v>467.99279999999999</v>
      </c>
      <c r="T22">
        <f t="shared" si="10"/>
        <v>135.3528</v>
      </c>
      <c r="U22" s="14">
        <f>(((0.2779*0.792*1000)*H20)/(T22+(0.2779*0.792*1000))) + (((0.313*0.792*1000)*H21)/(T22+(0.313*0.792*1000)))</f>
        <v>80.700527600762683</v>
      </c>
    </row>
    <row r="23" spans="1:22" s="54" customFormat="1" ht="16" x14ac:dyDescent="0.2">
      <c r="A23" s="54" t="s">
        <v>76</v>
      </c>
      <c r="B23" s="55">
        <v>11.74</v>
      </c>
      <c r="C23" s="56">
        <v>208.6</v>
      </c>
      <c r="D23" s="57">
        <v>6</v>
      </c>
      <c r="E23" s="58">
        <f t="shared" si="0"/>
        <v>2.4489640000000001</v>
      </c>
      <c r="F23" s="58">
        <v>144</v>
      </c>
      <c r="G23" s="58">
        <f t="shared" si="1"/>
        <v>58.800374362383437</v>
      </c>
      <c r="H23" s="58">
        <f t="shared" si="2"/>
        <v>244.89639999999997</v>
      </c>
      <c r="I23" s="58">
        <f t="shared" si="3"/>
        <v>408.16066666666666</v>
      </c>
      <c r="J23" s="59">
        <f t="shared" si="4"/>
        <v>1.4693783999999999</v>
      </c>
      <c r="K23" s="60">
        <v>50</v>
      </c>
      <c r="L23" s="61">
        <v>1</v>
      </c>
      <c r="M23" s="62">
        <f t="shared" si="5"/>
        <v>204.16796653605363</v>
      </c>
      <c r="N23" s="62">
        <f t="shared" si="6"/>
        <v>795.83203346394635</v>
      </c>
      <c r="O23" s="63">
        <f t="shared" si="7"/>
        <v>0.16170102949655446</v>
      </c>
      <c r="P23" s="63">
        <f t="shared" si="8"/>
        <v>0.63029897050344552</v>
      </c>
      <c r="Q23" s="64">
        <v>0.16350000000000001</v>
      </c>
      <c r="R23" s="64">
        <v>0.63390000000000002</v>
      </c>
      <c r="S23" s="64">
        <f t="shared" si="9"/>
        <v>129.49200000000002</v>
      </c>
      <c r="T23" s="64">
        <f t="shared" si="10"/>
        <v>502.04880000000009</v>
      </c>
      <c r="U23" s="65">
        <f t="shared" si="11"/>
        <v>50.21389691497366</v>
      </c>
      <c r="V23" s="54" t="s">
        <v>98</v>
      </c>
    </row>
    <row r="24" spans="1:22" s="27" customFormat="1" ht="16" x14ac:dyDescent="0.2">
      <c r="A24" t="s">
        <v>38</v>
      </c>
      <c r="B24" s="38">
        <v>14.01</v>
      </c>
      <c r="C24" s="29">
        <v>73.767200000000003</v>
      </c>
      <c r="D24" s="29">
        <v>2.5608585860000002</v>
      </c>
      <c r="E24" s="1">
        <f t="shared" si="0"/>
        <v>1.0334784720000001</v>
      </c>
      <c r="F24" s="1">
        <v>145</v>
      </c>
      <c r="G24" s="1">
        <f t="shared" si="1"/>
        <v>140.30287415604724</v>
      </c>
      <c r="H24" s="1">
        <f t="shared" si="2"/>
        <v>242.14030661043302</v>
      </c>
      <c r="I24" s="1">
        <f t="shared" si="3"/>
        <v>403.56717768405503</v>
      </c>
      <c r="J24" s="30">
        <f t="shared" si="4"/>
        <v>0.62008708319999994</v>
      </c>
      <c r="K24" s="3">
        <v>50</v>
      </c>
      <c r="L24" s="4">
        <v>1</v>
      </c>
      <c r="M24" s="2">
        <f t="shared" si="5"/>
        <v>206.49185053045468</v>
      </c>
      <c r="N24" s="2">
        <f t="shared" si="6"/>
        <v>793.50814946954529</v>
      </c>
      <c r="O24" s="11">
        <f t="shared" si="7"/>
        <v>0.1635415456201201</v>
      </c>
      <c r="P24" s="11">
        <f t="shared" si="8"/>
        <v>0.62845845437987991</v>
      </c>
      <c r="Q24">
        <v>0.16800000000000001</v>
      </c>
      <c r="R24">
        <v>0.63380000000000003</v>
      </c>
      <c r="S24">
        <f t="shared" si="9"/>
        <v>133.05600000000001</v>
      </c>
      <c r="T24">
        <f t="shared" si="10"/>
        <v>501.96960000000001</v>
      </c>
      <c r="U24" s="14">
        <f t="shared" si="11"/>
        <v>50.735309940824081</v>
      </c>
      <c r="V24"/>
    </row>
    <row r="25" spans="1:22" ht="16" x14ac:dyDescent="0.2">
      <c r="A25" s="27" t="s">
        <v>44</v>
      </c>
      <c r="B25" s="40">
        <v>11.14</v>
      </c>
      <c r="C25" s="33">
        <v>84.590400000000002</v>
      </c>
      <c r="D25" s="31">
        <v>2.19709596</v>
      </c>
      <c r="E25" s="1">
        <f t="shared" si="0"/>
        <v>0.94233705600000006</v>
      </c>
      <c r="F25" s="1">
        <v>146</v>
      </c>
      <c r="G25" s="1">
        <f t="shared" si="1"/>
        <v>154.93394754074066</v>
      </c>
      <c r="H25" s="1">
        <f t="shared" si="2"/>
        <v>257.34070968843798</v>
      </c>
      <c r="I25" s="1">
        <f t="shared" si="3"/>
        <v>428.90118281406336</v>
      </c>
      <c r="J25" s="30">
        <f t="shared" si="4"/>
        <v>0.56540223359999997</v>
      </c>
      <c r="K25" s="3">
        <v>50</v>
      </c>
      <c r="L25" s="4">
        <v>1</v>
      </c>
      <c r="M25" s="2">
        <f t="shared" si="5"/>
        <v>194.29494874920849</v>
      </c>
      <c r="N25" s="2">
        <f t="shared" si="6"/>
        <v>805.70505125079148</v>
      </c>
      <c r="O25" s="11">
        <f t="shared" si="7"/>
        <v>0.15388159940937313</v>
      </c>
      <c r="P25" s="11">
        <f t="shared" si="8"/>
        <v>0.63811840059062686</v>
      </c>
      <c r="Q25">
        <v>0.15509999999999999</v>
      </c>
      <c r="R25">
        <v>0.6371</v>
      </c>
      <c r="S25">
        <f t="shared" si="9"/>
        <v>122.83919999999999</v>
      </c>
      <c r="T25">
        <f t="shared" si="10"/>
        <v>504.58320000000003</v>
      </c>
      <c r="U25" s="14">
        <f t="shared" si="11"/>
        <v>50.383165958945625</v>
      </c>
      <c r="V25" s="27" t="s">
        <v>99</v>
      </c>
    </row>
    <row r="26" spans="1:22" ht="16" x14ac:dyDescent="0.2">
      <c r="A26" t="s">
        <v>47</v>
      </c>
      <c r="B26" s="38">
        <v>10.83</v>
      </c>
      <c r="C26" s="29">
        <v>154.9211</v>
      </c>
      <c r="D26" s="29">
        <v>2.4998737370000002</v>
      </c>
      <c r="E26" s="1">
        <f t="shared" si="0"/>
        <v>1.677795513</v>
      </c>
      <c r="F26" s="1">
        <v>147</v>
      </c>
      <c r="G26" s="1">
        <f t="shared" si="1"/>
        <v>87.614967891501337</v>
      </c>
      <c r="H26" s="1">
        <f t="shared" si="2"/>
        <v>402.69126112268123</v>
      </c>
      <c r="I26" s="1">
        <f t="shared" si="3"/>
        <v>671.15210187113541</v>
      </c>
      <c r="J26" s="30">
        <f t="shared" si="4"/>
        <v>1.0066773078</v>
      </c>
      <c r="K26" s="3">
        <v>50</v>
      </c>
      <c r="L26" s="4">
        <v>1</v>
      </c>
      <c r="M26" s="2">
        <f t="shared" si="5"/>
        <v>124.16460158733699</v>
      </c>
      <c r="N26" s="2">
        <f t="shared" si="6"/>
        <v>875.83539841266304</v>
      </c>
      <c r="O26" s="11">
        <f t="shared" si="7"/>
        <v>9.8338364457170896E-2</v>
      </c>
      <c r="P26" s="11">
        <f t="shared" si="8"/>
        <v>0.69366163554282911</v>
      </c>
      <c r="Q26">
        <v>0.1022</v>
      </c>
      <c r="R26">
        <v>0.6956</v>
      </c>
      <c r="S26">
        <f t="shared" si="9"/>
        <v>80.942399999999992</v>
      </c>
      <c r="T26">
        <f t="shared" si="10"/>
        <v>550.91520000000003</v>
      </c>
      <c r="U26" s="14">
        <f t="shared" si="11"/>
        <v>51.585669198718996</v>
      </c>
    </row>
    <row r="27" spans="1:22" ht="16" x14ac:dyDescent="0.2">
      <c r="A27" t="s">
        <v>80</v>
      </c>
      <c r="B27" s="38">
        <v>12.21</v>
      </c>
      <c r="C27" s="30">
        <v>30</v>
      </c>
      <c r="D27" s="30">
        <v>2.3034090909999998</v>
      </c>
      <c r="E27" s="1">
        <f t="shared" si="0"/>
        <v>0.36630000000000001</v>
      </c>
      <c r="F27" s="1">
        <v>150</v>
      </c>
      <c r="G27" s="1">
        <f t="shared" si="1"/>
        <v>409.50040950040949</v>
      </c>
      <c r="H27" s="1">
        <f t="shared" si="2"/>
        <v>95.415096197516917</v>
      </c>
      <c r="I27" s="1">
        <f t="shared" si="3"/>
        <v>159.02516032919488</v>
      </c>
      <c r="J27" s="30">
        <f t="shared" si="4"/>
        <v>0.21977999999999998</v>
      </c>
      <c r="K27" s="3">
        <v>50</v>
      </c>
      <c r="L27" s="4">
        <v>1</v>
      </c>
      <c r="M27" s="2">
        <f t="shared" si="5"/>
        <v>524.02609222859223</v>
      </c>
      <c r="N27" s="2">
        <f t="shared" si="6"/>
        <v>475.97390777140777</v>
      </c>
      <c r="O27" s="11">
        <f t="shared" si="7"/>
        <v>0.41502866504504504</v>
      </c>
      <c r="P27" s="11">
        <f t="shared" si="8"/>
        <v>0.37697133495495494</v>
      </c>
      <c r="Q27">
        <v>0.41949999999999998</v>
      </c>
      <c r="R27">
        <v>0.37230000000000002</v>
      </c>
      <c r="S27">
        <f t="shared" si="9"/>
        <v>332.24399999999997</v>
      </c>
      <c r="T27">
        <f t="shared" si="10"/>
        <v>294.86160000000007</v>
      </c>
      <c r="U27" s="14">
        <f t="shared" si="11"/>
        <v>50.551443363044129</v>
      </c>
    </row>
    <row r="28" spans="1:22" ht="16" x14ac:dyDescent="0.2">
      <c r="A28" t="s">
        <v>87</v>
      </c>
      <c r="B28" s="38">
        <v>8.8441911764705896</v>
      </c>
      <c r="C28" s="9">
        <v>41.091999999999999</v>
      </c>
      <c r="D28" s="9">
        <v>2.4910000000000001</v>
      </c>
      <c r="E28" s="1">
        <f t="shared" si="0"/>
        <v>0.36342550382352951</v>
      </c>
      <c r="F28" s="1">
        <v>151</v>
      </c>
      <c r="G28" s="1">
        <f t="shared" si="1"/>
        <v>415.49092843336024</v>
      </c>
      <c r="H28" s="1">
        <f t="shared" si="2"/>
        <v>87.537255035775857</v>
      </c>
      <c r="I28" s="1">
        <f t="shared" si="3"/>
        <v>145.89542505962643</v>
      </c>
      <c r="J28" s="30">
        <f t="shared" si="4"/>
        <v>0.21805530229411765</v>
      </c>
      <c r="K28" s="3">
        <v>50</v>
      </c>
      <c r="L28" s="4">
        <v>1</v>
      </c>
      <c r="M28" s="2">
        <f t="shared" si="5"/>
        <v>571.18537678118139</v>
      </c>
      <c r="N28" s="2">
        <f t="shared" si="6"/>
        <v>428.81462321881861</v>
      </c>
      <c r="O28" s="11">
        <f t="shared" si="7"/>
        <v>0.45237881841069566</v>
      </c>
      <c r="P28" s="11">
        <f t="shared" si="8"/>
        <v>0.33962118158930432</v>
      </c>
      <c r="Q28">
        <v>0.46360000000000001</v>
      </c>
      <c r="R28">
        <v>0.3337</v>
      </c>
      <c r="S28">
        <f t="shared" si="9"/>
        <v>367.17120000000006</v>
      </c>
      <c r="T28">
        <f t="shared" si="10"/>
        <v>264.29040000000003</v>
      </c>
      <c r="U28" s="14">
        <f t="shared" si="11"/>
        <v>50.899625529393816</v>
      </c>
    </row>
    <row r="29" spans="1:22" ht="16" x14ac:dyDescent="0.2">
      <c r="A29" t="s">
        <v>81</v>
      </c>
      <c r="B29" s="38">
        <v>17.901089655172399</v>
      </c>
      <c r="C29" s="29">
        <v>113.36799999999999</v>
      </c>
      <c r="D29" s="29">
        <v>2.4</v>
      </c>
      <c r="E29" s="1">
        <f t="shared" si="0"/>
        <v>2.0294107320275843</v>
      </c>
      <c r="F29" s="1">
        <v>152</v>
      </c>
      <c r="G29" s="1">
        <f t="shared" si="1"/>
        <v>74.898588837231969</v>
      </c>
      <c r="H29" s="1">
        <f t="shared" si="2"/>
        <v>507.35268300689609</v>
      </c>
      <c r="I29" s="1">
        <f t="shared" si="3"/>
        <v>845.58780501149351</v>
      </c>
      <c r="J29" s="30">
        <f t="shared" si="4"/>
        <v>1.2176464392165505</v>
      </c>
      <c r="K29" s="3">
        <v>50</v>
      </c>
      <c r="L29" s="4">
        <v>1</v>
      </c>
      <c r="M29" s="2">
        <f t="shared" si="5"/>
        <v>98.55077478583155</v>
      </c>
      <c r="N29" s="2">
        <f t="shared" si="6"/>
        <v>901.44922521416845</v>
      </c>
      <c r="O29" s="11">
        <f t="shared" si="7"/>
        <v>7.8052213630378592E-2</v>
      </c>
      <c r="P29" s="11">
        <f t="shared" si="8"/>
        <v>0.71394778636962142</v>
      </c>
      <c r="Q29">
        <v>8.0600000000000005E-2</v>
      </c>
      <c r="R29">
        <v>0.72199999999999998</v>
      </c>
      <c r="S29">
        <f t="shared" si="9"/>
        <v>63.835200000000007</v>
      </c>
      <c r="T29">
        <f t="shared" si="10"/>
        <v>571.82399999999996</v>
      </c>
      <c r="U29" s="14">
        <f t="shared" si="11"/>
        <v>50.950194680234027</v>
      </c>
    </row>
    <row r="30" spans="1:22" ht="16" x14ac:dyDescent="0.2">
      <c r="A30" t="s">
        <v>82</v>
      </c>
      <c r="B30" s="38">
        <v>13.9905263157895</v>
      </c>
      <c r="C30" s="29">
        <v>17.396999999999998</v>
      </c>
      <c r="D30" s="29">
        <v>2.34</v>
      </c>
      <c r="E30" s="1">
        <f t="shared" si="0"/>
        <v>0.24339318631578991</v>
      </c>
      <c r="F30" s="1">
        <v>153</v>
      </c>
      <c r="G30" s="1">
        <f t="shared" si="1"/>
        <v>628.61250274069096</v>
      </c>
      <c r="H30" s="1">
        <f t="shared" si="2"/>
        <v>62.408509311741</v>
      </c>
      <c r="I30" s="1">
        <f t="shared" si="3"/>
        <v>104.014182186235</v>
      </c>
      <c r="J30" s="30">
        <f t="shared" si="4"/>
        <v>0.14603591178947395</v>
      </c>
      <c r="K30" s="3">
        <v>50</v>
      </c>
      <c r="L30" s="4">
        <v>1</v>
      </c>
      <c r="M30" s="2">
        <f t="shared" si="5"/>
        <v>801.1727976106846</v>
      </c>
      <c r="N30" s="2">
        <f t="shared" si="6"/>
        <v>198.8272023893154</v>
      </c>
      <c r="O30" s="11">
        <f t="shared" si="7"/>
        <v>0.63452885570766226</v>
      </c>
      <c r="P30" s="11">
        <f t="shared" si="8"/>
        <v>0.1574711442923378</v>
      </c>
      <c r="Q30">
        <v>0.64849999999999997</v>
      </c>
      <c r="R30">
        <v>0.16139999999999999</v>
      </c>
      <c r="S30">
        <f t="shared" si="9"/>
        <v>513.61199999999997</v>
      </c>
      <c r="T30">
        <f t="shared" si="10"/>
        <v>127.82879999999999</v>
      </c>
      <c r="U30" s="14">
        <f t="shared" si="11"/>
        <v>49.971500541627407</v>
      </c>
    </row>
    <row r="31" spans="1:22" ht="16" x14ac:dyDescent="0.2">
      <c r="A31" t="s">
        <v>95</v>
      </c>
      <c r="B31" s="48">
        <f>AVERAGE(B29:B30)</f>
        <v>15.94580798548095</v>
      </c>
      <c r="C31" s="48">
        <f t="shared" ref="C31:D31" si="15">AVERAGE(C29:C30)</f>
        <v>65.382499999999993</v>
      </c>
      <c r="D31" s="48">
        <f t="shared" si="15"/>
        <v>2.37</v>
      </c>
      <c r="E31" s="1">
        <f t="shared" si="0"/>
        <v>1.042576790610708</v>
      </c>
      <c r="F31" s="1">
        <v>154</v>
      </c>
      <c r="G31" s="1">
        <f t="shared" si="1"/>
        <v>147.71094214536635</v>
      </c>
      <c r="H31" s="1">
        <f t="shared" si="2"/>
        <v>263.94349129385012</v>
      </c>
      <c r="I31" s="1">
        <f t="shared" si="3"/>
        <v>439.90581882308356</v>
      </c>
      <c r="J31" s="30">
        <f t="shared" si="4"/>
        <v>0.62554607436642484</v>
      </c>
      <c r="K31" s="3">
        <v>50</v>
      </c>
      <c r="L31" s="4">
        <v>1</v>
      </c>
      <c r="M31" s="2">
        <f t="shared" si="5"/>
        <v>189.43448749162241</v>
      </c>
      <c r="N31" s="2">
        <f t="shared" si="6"/>
        <v>810.56551250837765</v>
      </c>
      <c r="O31" s="11">
        <f t="shared" si="7"/>
        <v>0.15003211409336495</v>
      </c>
      <c r="P31" s="11">
        <f t="shared" si="8"/>
        <v>0.64196788590663512</v>
      </c>
      <c r="Q31">
        <f>0.0756+0.0756</f>
        <v>0.1512</v>
      </c>
      <c r="R31">
        <v>0.64559999999999995</v>
      </c>
      <c r="S31">
        <f t="shared" si="9"/>
        <v>119.75040000000001</v>
      </c>
      <c r="T31">
        <f t="shared" si="10"/>
        <v>511.31519999999995</v>
      </c>
      <c r="U31" s="14">
        <f>(((0.0756*0.792*1000)*H29)/(T31+(0.0756*0.792*1000))) + (((0.0756*0.792*1000)*H30)/(T31+(0.0756*0.792*1000)))</f>
        <v>59.7253828886425</v>
      </c>
    </row>
    <row r="32" spans="1:22" ht="16" x14ac:dyDescent="0.2">
      <c r="A32" t="s">
        <v>83</v>
      </c>
      <c r="B32" s="38">
        <v>15.649687500000001</v>
      </c>
      <c r="C32" s="43">
        <v>58.3245</v>
      </c>
      <c r="D32" s="43">
        <v>5.7130000000000001</v>
      </c>
      <c r="E32" s="1">
        <f t="shared" si="0"/>
        <v>0.91276019859375002</v>
      </c>
      <c r="F32" s="1">
        <v>155</v>
      </c>
      <c r="G32" s="1">
        <f t="shared" si="1"/>
        <v>169.81459121333486</v>
      </c>
      <c r="H32" s="1">
        <f t="shared" si="2"/>
        <v>95.861389665018365</v>
      </c>
      <c r="I32" s="1">
        <f t="shared" si="3"/>
        <v>159.76898277503062</v>
      </c>
      <c r="J32" s="30">
        <f t="shared" si="4"/>
        <v>0.5476561191562499</v>
      </c>
      <c r="K32" s="3">
        <v>50</v>
      </c>
      <c r="L32" s="4">
        <v>1</v>
      </c>
      <c r="M32" s="2">
        <f t="shared" si="5"/>
        <v>521.58642989343127</v>
      </c>
      <c r="N32" s="2">
        <f t="shared" si="6"/>
        <v>478.41357010656873</v>
      </c>
      <c r="O32" s="11">
        <f t="shared" si="7"/>
        <v>0.41309645247559756</v>
      </c>
      <c r="P32" s="11">
        <f t="shared" si="8"/>
        <v>0.37890354752440242</v>
      </c>
      <c r="Q32">
        <v>0.41510000000000002</v>
      </c>
      <c r="R32">
        <v>0.37180000000000002</v>
      </c>
      <c r="S32">
        <f t="shared" si="9"/>
        <v>328.75920000000002</v>
      </c>
      <c r="T32">
        <f t="shared" si="10"/>
        <v>294.46560000000005</v>
      </c>
      <c r="U32" s="14">
        <f t="shared" si="11"/>
        <v>50.568131719340599</v>
      </c>
    </row>
    <row r="33" spans="1:22" ht="16" x14ac:dyDescent="0.2">
      <c r="A33" t="s">
        <v>84</v>
      </c>
      <c r="B33" s="38">
        <v>19.984999999999999</v>
      </c>
      <c r="C33" s="43">
        <v>48.354500000000002</v>
      </c>
      <c r="D33" s="43">
        <v>5.7249999999999996</v>
      </c>
      <c r="E33" s="1">
        <f t="shared" si="0"/>
        <v>0.96636468249999996</v>
      </c>
      <c r="F33" s="1">
        <v>156</v>
      </c>
      <c r="G33" s="1">
        <f t="shared" si="1"/>
        <v>161.42974057829355</v>
      </c>
      <c r="H33" s="1">
        <f t="shared" si="2"/>
        <v>101.27839467248909</v>
      </c>
      <c r="I33" s="1">
        <f t="shared" si="3"/>
        <v>168.79732445414848</v>
      </c>
      <c r="J33" s="30">
        <f t="shared" si="4"/>
        <v>0.57981880949999998</v>
      </c>
      <c r="K33" s="3">
        <v>50</v>
      </c>
      <c r="L33" s="4">
        <v>1</v>
      </c>
      <c r="M33" s="2">
        <f t="shared" si="5"/>
        <v>493.68870983479189</v>
      </c>
      <c r="N33" s="2">
        <f t="shared" si="6"/>
        <v>506.31129016520811</v>
      </c>
      <c r="O33" s="11">
        <f t="shared" si="7"/>
        <v>0.39100145818915516</v>
      </c>
      <c r="P33" s="11">
        <f t="shared" si="8"/>
        <v>0.40099854181084482</v>
      </c>
      <c r="Q33">
        <v>0.39200000000000002</v>
      </c>
      <c r="R33">
        <v>0.39889999999999998</v>
      </c>
      <c r="S33">
        <f t="shared" si="9"/>
        <v>310.464</v>
      </c>
      <c r="T33">
        <f t="shared" si="10"/>
        <v>315.92880000000002</v>
      </c>
      <c r="U33" s="14">
        <f t="shared" si="11"/>
        <v>50.197408915938446</v>
      </c>
    </row>
    <row r="34" spans="1:22" ht="16" x14ac:dyDescent="0.2">
      <c r="A34" t="s">
        <v>96</v>
      </c>
      <c r="B34" s="48">
        <f>AVERAGE(B32:B33)</f>
        <v>17.817343749999999</v>
      </c>
      <c r="C34" s="48">
        <f t="shared" ref="C34:D34" si="16">AVERAGE(C32:C33)</f>
        <v>53.339500000000001</v>
      </c>
      <c r="D34" s="48">
        <f t="shared" si="16"/>
        <v>5.7189999999999994</v>
      </c>
      <c r="E34" s="1">
        <f t="shared" si="0"/>
        <v>0.95036820695312496</v>
      </c>
      <c r="F34" s="1">
        <v>157</v>
      </c>
      <c r="G34" s="1">
        <f t="shared" si="1"/>
        <v>165.19912898111471</v>
      </c>
      <c r="H34" s="1">
        <f t="shared" si="2"/>
        <v>99.706403946822007</v>
      </c>
      <c r="I34" s="1">
        <f t="shared" si="3"/>
        <v>166.17733991137001</v>
      </c>
      <c r="J34" s="30">
        <f t="shared" si="4"/>
        <v>0.57022092417187498</v>
      </c>
      <c r="K34" s="3">
        <v>50</v>
      </c>
      <c r="L34" s="4">
        <v>1</v>
      </c>
      <c r="M34" s="2">
        <f t="shared" si="5"/>
        <v>501.47230288906309</v>
      </c>
      <c r="N34" s="2">
        <f t="shared" si="6"/>
        <v>498.52769711093691</v>
      </c>
      <c r="O34" s="11">
        <f t="shared" si="7"/>
        <v>0.39716606388813797</v>
      </c>
      <c r="P34" s="11">
        <f t="shared" si="8"/>
        <v>0.39483393611186207</v>
      </c>
      <c r="Q34">
        <f>0.1942+0.195</f>
        <v>0.38919999999999999</v>
      </c>
      <c r="R34">
        <v>0.39029999999999998</v>
      </c>
      <c r="S34">
        <f t="shared" si="9"/>
        <v>308.24640000000005</v>
      </c>
      <c r="T34">
        <f t="shared" si="10"/>
        <v>309.11759999999998</v>
      </c>
      <c r="U34" s="14">
        <f>(((0.1942*0.792*1000)*H32)/(T34+(0.1942*0.792*1000))) + (((0.195*0.792*1000)*H33)/(T34+(0.195*0.792*1000)))</f>
        <v>65.592087433887457</v>
      </c>
    </row>
    <row r="35" spans="1:22" s="54" customFormat="1" ht="16" x14ac:dyDescent="0.2">
      <c r="A35" s="54" t="s">
        <v>85</v>
      </c>
      <c r="B35" s="55">
        <v>29.48</v>
      </c>
      <c r="C35" s="56">
        <v>185.87</v>
      </c>
      <c r="D35" s="57">
        <v>6</v>
      </c>
      <c r="E35" s="58">
        <f t="shared" si="0"/>
        <v>5.4794476000000003</v>
      </c>
      <c r="F35" s="58">
        <v>158</v>
      </c>
      <c r="G35" s="58">
        <f t="shared" si="1"/>
        <v>28.835023442874057</v>
      </c>
      <c r="H35" s="58">
        <f t="shared" si="2"/>
        <v>547.94476000000009</v>
      </c>
      <c r="I35" s="58">
        <f t="shared" si="3"/>
        <v>913.24126666666677</v>
      </c>
      <c r="J35" s="59">
        <f t="shared" si="4"/>
        <v>3.2876685600000006</v>
      </c>
      <c r="K35" s="60">
        <v>50</v>
      </c>
      <c r="L35" s="61">
        <v>1</v>
      </c>
      <c r="M35" s="62">
        <f t="shared" si="5"/>
        <v>91.2500741863103</v>
      </c>
      <c r="N35" s="62">
        <f t="shared" si="6"/>
        <v>908.74992581368974</v>
      </c>
      <c r="O35" s="63">
        <f t="shared" si="7"/>
        <v>7.2270058755557753E-2</v>
      </c>
      <c r="P35" s="63">
        <f t="shared" si="8"/>
        <v>0.71972994124444234</v>
      </c>
      <c r="Q35" s="64">
        <v>6.8199999999999997E-2</v>
      </c>
      <c r="R35" s="64">
        <v>0.71179999999999999</v>
      </c>
      <c r="S35" s="64">
        <f t="shared" si="9"/>
        <v>54.014399999999995</v>
      </c>
      <c r="T35" s="64">
        <f t="shared" si="10"/>
        <v>563.74560000000008</v>
      </c>
      <c r="U35" s="65">
        <f t="shared" si="11"/>
        <v>47.910041835897431</v>
      </c>
      <c r="V35" s="54" t="s">
        <v>98</v>
      </c>
    </row>
    <row r="36" spans="1:22" s="27" customFormat="1" ht="16" x14ac:dyDescent="0.2">
      <c r="A36" t="s">
        <v>39</v>
      </c>
      <c r="B36" s="38">
        <v>43.13</v>
      </c>
      <c r="C36" s="29">
        <v>82.129300000000001</v>
      </c>
      <c r="D36" s="29">
        <v>2.5460858590000002</v>
      </c>
      <c r="E36" s="1">
        <f t="shared" si="0"/>
        <v>3.5422367090000004</v>
      </c>
      <c r="F36" s="1">
        <v>159</v>
      </c>
      <c r="G36" s="1">
        <f t="shared" si="1"/>
        <v>44.886892961167149</v>
      </c>
      <c r="H36" s="1">
        <f t="shared" si="2"/>
        <v>834.74876461344024</v>
      </c>
      <c r="I36" s="1">
        <f t="shared" si="3"/>
        <v>1391.2479410224005</v>
      </c>
      <c r="J36" s="30">
        <f t="shared" si="4"/>
        <v>2.1253420253999997</v>
      </c>
      <c r="K36" s="3">
        <v>50</v>
      </c>
      <c r="L36" s="4">
        <v>1</v>
      </c>
      <c r="M36" s="2">
        <f t="shared" si="5"/>
        <v>59.898261752030571</v>
      </c>
      <c r="N36" s="2">
        <f t="shared" si="6"/>
        <v>940.10173824796948</v>
      </c>
      <c r="O36" s="11">
        <f t="shared" si="7"/>
        <v>4.7439423307608218E-2</v>
      </c>
      <c r="P36" s="11">
        <f t="shared" si="8"/>
        <v>0.74456057669239195</v>
      </c>
      <c r="Q36">
        <v>4.9099999999999998E-2</v>
      </c>
      <c r="R36">
        <v>0.75990000000000002</v>
      </c>
      <c r="S36">
        <f t="shared" si="9"/>
        <v>38.8872</v>
      </c>
      <c r="T36">
        <f t="shared" si="10"/>
        <v>601.84080000000006</v>
      </c>
      <c r="U36" s="14">
        <f t="shared" si="11"/>
        <v>50.66274949631633</v>
      </c>
      <c r="V36"/>
    </row>
    <row r="37" spans="1:22" ht="16" x14ac:dyDescent="0.2">
      <c r="A37" s="27" t="s">
        <v>45</v>
      </c>
      <c r="B37" s="40">
        <v>45.66</v>
      </c>
      <c r="C37" s="33">
        <v>44.903399999999998</v>
      </c>
      <c r="D37" s="31">
        <v>2.3970959600000001</v>
      </c>
      <c r="E37" s="1">
        <f t="shared" si="0"/>
        <v>2.0502892439999996</v>
      </c>
      <c r="F37" s="1">
        <v>160</v>
      </c>
      <c r="G37" s="1">
        <f t="shared" si="1"/>
        <v>78.037769777228576</v>
      </c>
      <c r="H37" s="1">
        <f t="shared" si="2"/>
        <v>513.19328342616689</v>
      </c>
      <c r="I37" s="1">
        <f t="shared" si="3"/>
        <v>855.32213904361151</v>
      </c>
      <c r="J37" s="30">
        <f t="shared" si="4"/>
        <v>1.2301735463999997</v>
      </c>
      <c r="K37" s="3">
        <v>50</v>
      </c>
      <c r="L37" s="4">
        <v>1</v>
      </c>
      <c r="M37" s="2">
        <f t="shared" si="5"/>
        <v>97.429178468960814</v>
      </c>
      <c r="N37" s="2">
        <f t="shared" si="6"/>
        <v>902.5708215310392</v>
      </c>
      <c r="O37" s="11">
        <f t="shared" si="7"/>
        <v>7.7163909347416959E-2</v>
      </c>
      <c r="P37" s="11">
        <f t="shared" si="8"/>
        <v>0.71483609065258302</v>
      </c>
      <c r="Q37">
        <v>7.8799999999999995E-2</v>
      </c>
      <c r="R37">
        <v>0.72430000000000005</v>
      </c>
      <c r="S37">
        <f t="shared" si="9"/>
        <v>62.409599999999998</v>
      </c>
      <c r="T37">
        <f t="shared" si="10"/>
        <v>573.64560000000006</v>
      </c>
      <c r="U37" s="14">
        <f t="shared" si="11"/>
        <v>50.354415059123333</v>
      </c>
      <c r="V37" s="27" t="s">
        <v>99</v>
      </c>
    </row>
    <row r="38" spans="1:22" ht="16" x14ac:dyDescent="0.2">
      <c r="A38" t="s">
        <v>48</v>
      </c>
      <c r="B38" s="38">
        <v>45.91</v>
      </c>
      <c r="C38" s="29">
        <v>39.562800000000003</v>
      </c>
      <c r="D38" s="29">
        <v>2.2829545449999999</v>
      </c>
      <c r="E38" s="1">
        <f t="shared" si="0"/>
        <v>1.816328148</v>
      </c>
      <c r="F38" s="1">
        <v>161</v>
      </c>
      <c r="G38" s="1">
        <f t="shared" si="1"/>
        <v>88.64037050644221</v>
      </c>
      <c r="H38" s="1">
        <f t="shared" si="2"/>
        <v>477.36249991784223</v>
      </c>
      <c r="I38" s="1">
        <f t="shared" si="3"/>
        <v>795.60416652973709</v>
      </c>
      <c r="J38" s="30">
        <f t="shared" si="4"/>
        <v>1.0897968888</v>
      </c>
      <c r="K38" s="3">
        <v>50</v>
      </c>
      <c r="L38" s="4">
        <v>1</v>
      </c>
      <c r="M38" s="2">
        <f t="shared" si="5"/>
        <v>104.74220327027236</v>
      </c>
      <c r="N38" s="2">
        <f t="shared" si="6"/>
        <v>895.2577967297276</v>
      </c>
      <c r="O38" s="11">
        <f t="shared" si="7"/>
        <v>8.2955824990055702E-2</v>
      </c>
      <c r="P38" s="11">
        <f t="shared" si="8"/>
        <v>0.70904417500994432</v>
      </c>
      <c r="Q38">
        <v>8.3900000000000002E-2</v>
      </c>
      <c r="R38">
        <v>0.71740000000000004</v>
      </c>
      <c r="S38">
        <f t="shared" si="9"/>
        <v>66.448800000000006</v>
      </c>
      <c r="T38">
        <f t="shared" si="10"/>
        <v>568.18080000000009</v>
      </c>
      <c r="U38" s="14">
        <f t="shared" si="11"/>
        <v>49.982171150763712</v>
      </c>
    </row>
    <row r="39" spans="1:22" ht="16" x14ac:dyDescent="0.2">
      <c r="A39" t="s">
        <v>57</v>
      </c>
      <c r="B39" s="38">
        <v>5.6150000000000002</v>
      </c>
      <c r="C39" s="9">
        <v>231.56</v>
      </c>
      <c r="D39" s="47">
        <v>2.4</v>
      </c>
      <c r="E39" s="1">
        <f t="shared" si="0"/>
        <v>1.3002094</v>
      </c>
      <c r="F39" s="1">
        <v>162</v>
      </c>
      <c r="G39" s="1">
        <f t="shared" si="1"/>
        <v>124.59531518538476</v>
      </c>
      <c r="H39" s="1">
        <f t="shared" si="2"/>
        <v>325.05234999999999</v>
      </c>
      <c r="I39" s="1">
        <f t="shared" si="3"/>
        <v>541.75391666666667</v>
      </c>
      <c r="J39" s="30">
        <f t="shared" si="4"/>
        <v>0.78012563999999995</v>
      </c>
      <c r="K39" s="3">
        <v>50</v>
      </c>
      <c r="L39" s="4">
        <v>1</v>
      </c>
      <c r="M39" s="2">
        <f t="shared" si="5"/>
        <v>153.82137677207996</v>
      </c>
      <c r="N39" s="2">
        <f t="shared" si="6"/>
        <v>846.17862322792007</v>
      </c>
      <c r="O39" s="11">
        <f t="shared" si="7"/>
        <v>0.12182653040348734</v>
      </c>
      <c r="P39" s="11">
        <f t="shared" si="8"/>
        <v>0.67017346959651269</v>
      </c>
      <c r="Q39">
        <v>0.1124</v>
      </c>
      <c r="R39">
        <v>0.67589999999999995</v>
      </c>
      <c r="S39">
        <f t="shared" si="9"/>
        <v>89.020800000000008</v>
      </c>
      <c r="T39">
        <f t="shared" si="10"/>
        <v>535.31280000000004</v>
      </c>
      <c r="U39" s="14">
        <f t="shared" si="11"/>
        <v>46.347690143346441</v>
      </c>
      <c r="V39" s="45" t="s">
        <v>98</v>
      </c>
    </row>
    <row r="40" spans="1:22" ht="16" x14ac:dyDescent="0.2">
      <c r="A40" s="8" t="s">
        <v>101</v>
      </c>
      <c r="E40" s="1"/>
      <c r="F40" s="1"/>
      <c r="G40" s="1"/>
      <c r="H40" s="1"/>
      <c r="I40" s="1"/>
      <c r="M40" s="2"/>
      <c r="N40" s="2"/>
      <c r="O40" s="2"/>
      <c r="P40" s="2"/>
      <c r="Q40">
        <v>0.81810000000000005</v>
      </c>
      <c r="S40">
        <f t="shared" si="9"/>
        <v>647.93520000000001</v>
      </c>
      <c r="U40" s="14">
        <f t="shared" si="11"/>
        <v>0</v>
      </c>
    </row>
    <row r="41" spans="1:22" ht="16" x14ac:dyDescent="0.2">
      <c r="A41" s="8" t="s">
        <v>102</v>
      </c>
      <c r="E41" s="1"/>
      <c r="F41" s="1"/>
      <c r="G41" s="1"/>
      <c r="H41" s="1"/>
      <c r="I41" s="1"/>
      <c r="M41" s="2"/>
      <c r="N41" s="2"/>
      <c r="O41" s="2"/>
      <c r="P41" s="2"/>
      <c r="R41">
        <v>0.8085</v>
      </c>
      <c r="U41" s="14" t="e">
        <f t="shared" si="11"/>
        <v>#DIV/0!</v>
      </c>
    </row>
    <row r="42" spans="1:22" ht="16" x14ac:dyDescent="0.2">
      <c r="A42" s="8"/>
      <c r="E42" s="1"/>
      <c r="F42" s="1"/>
      <c r="G42" s="1"/>
      <c r="H42" s="1"/>
      <c r="I42" s="1"/>
      <c r="M42" s="2"/>
      <c r="N42" s="2"/>
      <c r="O42" s="2"/>
      <c r="P42" s="2"/>
    </row>
    <row r="43" spans="1:22" ht="16" x14ac:dyDescent="0.2">
      <c r="A43" s="8"/>
      <c r="E43" s="1"/>
      <c r="F43" s="1"/>
      <c r="G43" s="1"/>
      <c r="H43" s="1"/>
      <c r="I43" s="1"/>
      <c r="M43" s="2"/>
      <c r="N43" s="2"/>
      <c r="O43" s="2"/>
      <c r="P43" s="2"/>
    </row>
    <row r="44" spans="1:22" ht="16" x14ac:dyDescent="0.2">
      <c r="A44" s="8"/>
      <c r="E44" s="1"/>
      <c r="F44" s="1"/>
      <c r="G44" s="1"/>
      <c r="H44" s="1"/>
      <c r="I44" s="1"/>
      <c r="M44" s="2"/>
      <c r="N44" s="2"/>
      <c r="O44" s="2"/>
      <c r="P44" s="2"/>
    </row>
    <row r="45" spans="1:22" ht="16" x14ac:dyDescent="0.2">
      <c r="A45" s="8"/>
      <c r="E45" s="1"/>
      <c r="F45" s="1"/>
      <c r="G45" s="1"/>
      <c r="H45" s="1"/>
      <c r="I45" s="1"/>
      <c r="M45" s="2"/>
      <c r="N45" s="2"/>
      <c r="O45" s="2"/>
      <c r="P45" s="2"/>
    </row>
    <row r="46" spans="1:22" ht="16" x14ac:dyDescent="0.2">
      <c r="A46" s="8"/>
      <c r="E46" s="1"/>
      <c r="F46" s="1"/>
      <c r="G46" s="1"/>
      <c r="H46" s="1"/>
      <c r="I46" s="1"/>
      <c r="M46" s="2"/>
      <c r="N46" s="2"/>
      <c r="O46" s="2"/>
      <c r="P46" s="2"/>
    </row>
    <row r="47" spans="1:22" ht="16" x14ac:dyDescent="0.2">
      <c r="A47" s="8"/>
      <c r="E47" s="1"/>
      <c r="F47" s="1"/>
      <c r="G47" s="1"/>
      <c r="H47" s="1"/>
      <c r="I47" s="1"/>
      <c r="M47" s="2"/>
      <c r="N47" s="2"/>
      <c r="O47" s="2"/>
      <c r="P47" s="2"/>
    </row>
    <row r="48" spans="1:22" ht="16" x14ac:dyDescent="0.2">
      <c r="A48" s="8"/>
      <c r="E48" s="1"/>
      <c r="F48" s="1"/>
      <c r="G48" s="1"/>
      <c r="H48" s="1"/>
      <c r="I48" s="1"/>
      <c r="M48" s="2"/>
      <c r="N48" s="2"/>
      <c r="O48" s="2"/>
      <c r="P48" s="2"/>
    </row>
    <row r="49" spans="1:16" ht="16" x14ac:dyDescent="0.2">
      <c r="A49" s="8"/>
      <c r="E49" s="1"/>
      <c r="F49" s="1"/>
      <c r="G49" s="1"/>
      <c r="H49" s="1"/>
      <c r="I49" s="1"/>
      <c r="M49" s="2"/>
      <c r="N49" s="2"/>
      <c r="O49" s="2"/>
      <c r="P49" s="2"/>
    </row>
    <row r="50" spans="1:16" ht="16" x14ac:dyDescent="0.2">
      <c r="A50" s="8"/>
      <c r="E50" s="1"/>
      <c r="F50" s="1"/>
      <c r="G50" s="1"/>
      <c r="H50" s="1"/>
      <c r="I50" s="1"/>
      <c r="M50" s="2"/>
      <c r="N50" s="2"/>
      <c r="O50" s="2"/>
      <c r="P50" s="2"/>
    </row>
    <row r="51" spans="1:16" ht="16" x14ac:dyDescent="0.2">
      <c r="A51" s="8"/>
      <c r="E51" s="1"/>
      <c r="F51" s="1"/>
      <c r="G51" s="1"/>
      <c r="H51" s="1"/>
      <c r="I51" s="1"/>
      <c r="M51" s="2"/>
      <c r="N51" s="2"/>
      <c r="O51" s="2"/>
      <c r="P51" s="2"/>
    </row>
    <row r="52" spans="1:16" ht="16" x14ac:dyDescent="0.2">
      <c r="A52" s="8"/>
      <c r="E52" s="1"/>
      <c r="F52" s="1"/>
      <c r="G52" s="1"/>
      <c r="H52" s="1"/>
      <c r="I52" s="1"/>
      <c r="M52" s="2"/>
      <c r="N52" s="2"/>
      <c r="O52" s="2"/>
      <c r="P52" s="2"/>
    </row>
    <row r="53" spans="1:16" ht="16" x14ac:dyDescent="0.2">
      <c r="A53" s="8"/>
      <c r="E53" s="1"/>
      <c r="F53" s="1"/>
      <c r="G53" s="1"/>
      <c r="H53" s="1"/>
      <c r="I53" s="1"/>
      <c r="M53" s="2"/>
      <c r="N53" s="2"/>
      <c r="O53" s="2"/>
      <c r="P53" s="2"/>
    </row>
    <row r="54" spans="1:16" ht="16" x14ac:dyDescent="0.2">
      <c r="A54" s="8"/>
      <c r="E54" s="1"/>
      <c r="F54" s="1"/>
      <c r="G54" s="1"/>
      <c r="H54" s="1"/>
      <c r="I54" s="1"/>
      <c r="M54" s="2"/>
      <c r="N54" s="2"/>
      <c r="O54" s="2"/>
      <c r="P54" s="2"/>
    </row>
    <row r="55" spans="1:16" ht="16" x14ac:dyDescent="0.2">
      <c r="A55" s="8"/>
      <c r="E55" s="1"/>
      <c r="F55" s="1"/>
      <c r="G55" s="1"/>
      <c r="H55" s="1"/>
      <c r="I55" s="1"/>
      <c r="M55" s="2"/>
      <c r="N55" s="2"/>
      <c r="O55" s="2"/>
      <c r="P55" s="2"/>
    </row>
    <row r="56" spans="1:16" ht="16" x14ac:dyDescent="0.2">
      <c r="A56" s="8"/>
      <c r="E56" s="1"/>
      <c r="F56" s="1"/>
      <c r="G56" s="1"/>
      <c r="H56" s="1"/>
      <c r="I56" s="1"/>
      <c r="M56" s="2"/>
      <c r="N56" s="2"/>
      <c r="O56" s="2"/>
      <c r="P56" s="2"/>
    </row>
    <row r="57" spans="1:16" ht="16" x14ac:dyDescent="0.2">
      <c r="A57" s="8"/>
      <c r="E57" s="1"/>
      <c r="F57" s="1"/>
      <c r="G57" s="1"/>
      <c r="H57" s="1"/>
      <c r="I57" s="1"/>
      <c r="M57" s="2"/>
      <c r="N57" s="2"/>
      <c r="O57" s="2"/>
      <c r="P57" s="2"/>
    </row>
    <row r="58" spans="1:16" ht="16" x14ac:dyDescent="0.2">
      <c r="A58" s="8"/>
      <c r="E58" s="1"/>
      <c r="F58" s="1"/>
      <c r="G58" s="1"/>
      <c r="H58" s="1"/>
      <c r="I58" s="1"/>
      <c r="M58" s="2"/>
      <c r="N58" s="2"/>
      <c r="O58" s="2"/>
      <c r="P58" s="2"/>
    </row>
    <row r="59" spans="1:16" ht="16" x14ac:dyDescent="0.2">
      <c r="A59" s="8"/>
      <c r="E59" s="1"/>
      <c r="F59" s="1"/>
      <c r="G59" s="1"/>
      <c r="H59" s="1"/>
      <c r="I59" s="1"/>
      <c r="M59" s="2"/>
      <c r="N59" s="2"/>
      <c r="O59" s="2"/>
      <c r="P59" s="2"/>
    </row>
    <row r="60" spans="1:16" ht="16" x14ac:dyDescent="0.2">
      <c r="A60" s="8"/>
      <c r="E60" s="1"/>
      <c r="F60" s="1"/>
      <c r="G60" s="1"/>
      <c r="H60" s="1"/>
      <c r="I60" s="1"/>
      <c r="M60" s="2"/>
      <c r="N60" s="2"/>
      <c r="O60" s="2"/>
      <c r="P60" s="2"/>
    </row>
    <row r="61" spans="1:16" ht="16" x14ac:dyDescent="0.2">
      <c r="A61" s="8"/>
      <c r="E61" s="1"/>
      <c r="F61" s="1"/>
      <c r="G61" s="1"/>
      <c r="H61" s="1"/>
      <c r="I61" s="1"/>
      <c r="M61" s="2"/>
      <c r="N61" s="2"/>
      <c r="O61" s="2"/>
      <c r="P61" s="2"/>
    </row>
    <row r="62" spans="1:16" ht="16" x14ac:dyDescent="0.2">
      <c r="A62" s="8"/>
      <c r="E62" s="1"/>
      <c r="F62" s="1"/>
      <c r="G62" s="1"/>
      <c r="H62" s="1"/>
      <c r="I62" s="1"/>
      <c r="M62" s="2"/>
      <c r="N62" s="2"/>
      <c r="O62" s="2"/>
      <c r="P62" s="2"/>
    </row>
    <row r="63" spans="1:16" ht="16" x14ac:dyDescent="0.2">
      <c r="A63" s="8"/>
      <c r="E63" s="1"/>
      <c r="F63" s="1"/>
      <c r="G63" s="1"/>
      <c r="H63" s="1"/>
      <c r="I63" s="1"/>
      <c r="M63" s="2"/>
      <c r="N63" s="2"/>
      <c r="O63" s="2"/>
      <c r="P63" s="2"/>
    </row>
    <row r="64" spans="1:16" ht="16" x14ac:dyDescent="0.2">
      <c r="A64" s="8"/>
      <c r="E64" s="1"/>
      <c r="F64" s="1"/>
      <c r="G64" s="1"/>
      <c r="H64" s="1"/>
      <c r="I64" s="1"/>
      <c r="M64" s="2"/>
      <c r="N64" s="2"/>
      <c r="O64" s="2"/>
      <c r="P64" s="2"/>
    </row>
    <row r="65" spans="1:16" ht="16" x14ac:dyDescent="0.2">
      <c r="A65" s="8"/>
      <c r="E65" s="1"/>
      <c r="F65" s="1"/>
      <c r="G65" s="1"/>
      <c r="H65" s="1"/>
      <c r="I65" s="1"/>
      <c r="M65" s="2"/>
      <c r="N65" s="2"/>
      <c r="O65" s="2"/>
      <c r="P65" s="2"/>
    </row>
    <row r="66" spans="1:16" ht="16" x14ac:dyDescent="0.2">
      <c r="A66" s="8"/>
      <c r="E66" s="1"/>
      <c r="F66" s="1"/>
      <c r="G66" s="1"/>
      <c r="H66" s="1"/>
      <c r="I66" s="1"/>
      <c r="M66" s="2"/>
      <c r="N66" s="2"/>
      <c r="O66" s="2"/>
      <c r="P66" s="2"/>
    </row>
    <row r="67" spans="1:16" ht="16" x14ac:dyDescent="0.2">
      <c r="A67" s="8"/>
      <c r="E67" s="1"/>
      <c r="F67" s="1"/>
      <c r="G67" s="1"/>
      <c r="H67" s="1"/>
      <c r="I67" s="1"/>
      <c r="M67" s="2"/>
      <c r="N67" s="2"/>
      <c r="O67" s="2"/>
      <c r="P67" s="2"/>
    </row>
    <row r="68" spans="1:16" ht="16" x14ac:dyDescent="0.2">
      <c r="A68" s="8"/>
      <c r="E68" s="1"/>
      <c r="F68" s="1"/>
      <c r="G68" s="1"/>
      <c r="H68" s="1"/>
      <c r="I68" s="1"/>
      <c r="M68" s="2"/>
      <c r="N68" s="2"/>
      <c r="O68" s="2"/>
      <c r="P68" s="2"/>
    </row>
    <row r="69" spans="1:16" ht="16" x14ac:dyDescent="0.2">
      <c r="A69" s="8"/>
      <c r="E69" s="1"/>
      <c r="F69" s="1"/>
      <c r="G69" s="1"/>
      <c r="H69" s="1"/>
      <c r="I69" s="1"/>
      <c r="M69" s="2"/>
      <c r="N69" s="2"/>
      <c r="O69" s="2"/>
      <c r="P69" s="2"/>
    </row>
    <row r="70" spans="1:16" ht="16" x14ac:dyDescent="0.2">
      <c r="A70" s="8"/>
      <c r="E70" s="1"/>
      <c r="F70" s="1"/>
      <c r="G70" s="1"/>
      <c r="H70" s="1"/>
      <c r="I70" s="1"/>
      <c r="M70" s="2"/>
      <c r="N70" s="2"/>
      <c r="O70" s="2"/>
      <c r="P70" s="2"/>
    </row>
    <row r="71" spans="1:16" ht="16" x14ac:dyDescent="0.2">
      <c r="A71" s="8"/>
      <c r="E71" s="1"/>
      <c r="F71" s="1"/>
      <c r="G71" s="1"/>
      <c r="H71" s="1"/>
      <c r="I71" s="1"/>
      <c r="M71" s="2"/>
      <c r="N71" s="2"/>
      <c r="O71" s="2"/>
      <c r="P71" s="2"/>
    </row>
    <row r="72" spans="1:16" ht="16" x14ac:dyDescent="0.2">
      <c r="A72" s="8"/>
      <c r="E72" s="1"/>
      <c r="F72" s="1"/>
      <c r="G72" s="1"/>
      <c r="H72" s="1"/>
      <c r="I72" s="1"/>
      <c r="M72" s="2"/>
      <c r="N72" s="2"/>
      <c r="O72" s="2"/>
      <c r="P72" s="2"/>
    </row>
    <row r="73" spans="1:16" ht="16" x14ac:dyDescent="0.2">
      <c r="A73" s="8"/>
      <c r="E73" s="1"/>
      <c r="F73" s="1"/>
      <c r="G73" s="1"/>
      <c r="H73" s="1"/>
      <c r="I73" s="1"/>
      <c r="M73" s="2"/>
      <c r="N73" s="2"/>
      <c r="O73" s="2"/>
      <c r="P73" s="2"/>
    </row>
    <row r="74" spans="1:16" ht="16" x14ac:dyDescent="0.2">
      <c r="A74" s="8"/>
      <c r="E74" s="1"/>
      <c r="F74" s="1"/>
      <c r="G74" s="1"/>
      <c r="H74" s="1"/>
      <c r="I74" s="1"/>
      <c r="M74" s="2"/>
      <c r="N74" s="2"/>
      <c r="O74" s="2"/>
      <c r="P74" s="2"/>
    </row>
    <row r="75" spans="1:16" ht="16" x14ac:dyDescent="0.2">
      <c r="A75" s="8"/>
      <c r="E75" s="1"/>
      <c r="F75" s="1"/>
      <c r="G75" s="1"/>
      <c r="H75" s="1"/>
      <c r="I75" s="1"/>
      <c r="M75" s="2"/>
      <c r="N75" s="2"/>
      <c r="O75" s="2"/>
      <c r="P75" s="2"/>
    </row>
    <row r="76" spans="1:16" ht="16" x14ac:dyDescent="0.2">
      <c r="A76" s="8"/>
      <c r="E76" s="1"/>
      <c r="F76" s="1"/>
      <c r="G76" s="1"/>
      <c r="H76" s="1"/>
      <c r="I76" s="1"/>
      <c r="M76" s="2"/>
      <c r="N76" s="2"/>
      <c r="O76" s="2"/>
      <c r="P76" s="2"/>
    </row>
    <row r="77" spans="1:16" ht="16" x14ac:dyDescent="0.2">
      <c r="A77" s="8"/>
      <c r="E77" s="1"/>
      <c r="F77" s="1"/>
      <c r="G77" s="1"/>
      <c r="H77" s="1"/>
      <c r="I77" s="1"/>
      <c r="M77" s="2"/>
      <c r="N77" s="2"/>
      <c r="O77" s="2"/>
      <c r="P77" s="2"/>
    </row>
    <row r="78" spans="1:16" ht="16" x14ac:dyDescent="0.2">
      <c r="A78" s="8"/>
      <c r="E78" s="1"/>
      <c r="F78" s="1"/>
      <c r="G78" s="1"/>
      <c r="H78" s="1"/>
      <c r="I78" s="1"/>
      <c r="M78" s="2"/>
      <c r="N78" s="2"/>
      <c r="O78" s="2"/>
      <c r="P78" s="2"/>
    </row>
    <row r="79" spans="1:16" ht="16" x14ac:dyDescent="0.2">
      <c r="A79" s="8"/>
      <c r="E79" s="1"/>
      <c r="F79" s="1"/>
      <c r="G79" s="1"/>
      <c r="H79" s="1"/>
      <c r="I79" s="1"/>
      <c r="M79" s="2"/>
      <c r="N79" s="2"/>
      <c r="O79" s="2"/>
      <c r="P79" s="2"/>
    </row>
    <row r="80" spans="1:16" ht="16" x14ac:dyDescent="0.2">
      <c r="A80" s="8"/>
      <c r="E80" s="1"/>
      <c r="F80" s="1"/>
      <c r="G80" s="1"/>
      <c r="H80" s="1"/>
      <c r="I80" s="1"/>
      <c r="M80" s="2"/>
      <c r="N80" s="2"/>
      <c r="O80" s="2"/>
      <c r="P80" s="2"/>
    </row>
    <row r="81" spans="1:16" ht="16" x14ac:dyDescent="0.2">
      <c r="A81" s="8"/>
      <c r="E81" s="1"/>
      <c r="F81" s="1"/>
      <c r="G81" s="1"/>
      <c r="H81" s="1"/>
      <c r="I81" s="1"/>
      <c r="M81" s="2"/>
      <c r="N81" s="2"/>
      <c r="O81" s="2"/>
      <c r="P81" s="2"/>
    </row>
    <row r="82" spans="1:16" ht="16" x14ac:dyDescent="0.2">
      <c r="A82" s="8"/>
      <c r="E82" s="1"/>
      <c r="F82" s="1"/>
      <c r="G82" s="1"/>
      <c r="H82" s="1"/>
      <c r="I82" s="1"/>
      <c r="M82" s="2"/>
      <c r="N82" s="2"/>
      <c r="O82" s="2"/>
      <c r="P82" s="2"/>
    </row>
    <row r="83" spans="1:16" ht="16" x14ac:dyDescent="0.2">
      <c r="A83" s="8"/>
      <c r="E83" s="1"/>
      <c r="F83" s="1"/>
      <c r="G83" s="1"/>
      <c r="H83" s="1"/>
      <c r="I83" s="1"/>
      <c r="M83" s="2"/>
      <c r="N83" s="2"/>
      <c r="O83" s="2"/>
      <c r="P83" s="2"/>
    </row>
    <row r="84" spans="1:16" ht="16" x14ac:dyDescent="0.2">
      <c r="A84" s="8"/>
      <c r="E84" s="1"/>
      <c r="F84" s="1"/>
      <c r="G84" s="1"/>
      <c r="H84" s="1"/>
      <c r="I84" s="1"/>
      <c r="M84" s="2"/>
      <c r="N84" s="2"/>
      <c r="O84" s="2"/>
      <c r="P84" s="2"/>
    </row>
    <row r="85" spans="1:16" ht="16" x14ac:dyDescent="0.2">
      <c r="A85" s="8"/>
      <c r="E85" s="1"/>
      <c r="F85" s="1"/>
      <c r="G85" s="1"/>
      <c r="H85" s="1"/>
      <c r="I85" s="1"/>
      <c r="M85" s="2"/>
      <c r="N85" s="2"/>
      <c r="O85" s="2"/>
      <c r="P85" s="2"/>
    </row>
    <row r="86" spans="1:16" ht="16" x14ac:dyDescent="0.2">
      <c r="A86" s="8"/>
      <c r="E86" s="1"/>
      <c r="F86" s="1"/>
      <c r="G86" s="1"/>
      <c r="H86" s="1"/>
      <c r="I86" s="1"/>
      <c r="M86" s="2"/>
      <c r="N86" s="2"/>
      <c r="O86" s="2"/>
      <c r="P86" s="2"/>
    </row>
    <row r="87" spans="1:16" ht="16" x14ac:dyDescent="0.2">
      <c r="A87" s="8"/>
      <c r="E87" s="1"/>
      <c r="F87" s="1"/>
      <c r="G87" s="1"/>
      <c r="H87" s="1"/>
      <c r="I87" s="1"/>
      <c r="M87" s="2"/>
      <c r="N87" s="2"/>
      <c r="O87" s="2"/>
      <c r="P87" s="2"/>
    </row>
    <row r="88" spans="1:16" ht="16" x14ac:dyDescent="0.2">
      <c r="A88" s="8"/>
      <c r="E88" s="1"/>
      <c r="F88" s="1"/>
      <c r="G88" s="1"/>
      <c r="H88" s="1"/>
      <c r="I88" s="1"/>
      <c r="M88" s="2"/>
      <c r="N88" s="2"/>
      <c r="O88" s="2"/>
      <c r="P88" s="2"/>
    </row>
    <row r="89" spans="1:16" ht="16" x14ac:dyDescent="0.2">
      <c r="A89" s="8"/>
      <c r="E89" s="1"/>
      <c r="F89" s="1"/>
      <c r="G89" s="1"/>
      <c r="H89" s="1"/>
      <c r="I89" s="1"/>
      <c r="M89" s="2"/>
      <c r="N89" s="2"/>
      <c r="O89" s="2"/>
      <c r="P89" s="2"/>
    </row>
    <row r="90" spans="1:16" ht="16" x14ac:dyDescent="0.2">
      <c r="A90" s="8"/>
      <c r="E90" s="1"/>
      <c r="F90" s="1"/>
      <c r="G90" s="1"/>
      <c r="H90" s="1"/>
      <c r="I90" s="1"/>
      <c r="M90" s="2"/>
      <c r="N90" s="2"/>
      <c r="O90" s="2"/>
      <c r="P90" s="2"/>
    </row>
    <row r="91" spans="1:16" ht="16" x14ac:dyDescent="0.2">
      <c r="A91" s="8"/>
      <c r="E91" s="1"/>
      <c r="F91" s="1"/>
      <c r="G91" s="1"/>
      <c r="H91" s="1"/>
      <c r="I91" s="1"/>
      <c r="M91" s="2"/>
      <c r="N91" s="2"/>
      <c r="O91" s="2"/>
      <c r="P91" s="2"/>
    </row>
    <row r="92" spans="1:16" ht="16" x14ac:dyDescent="0.2">
      <c r="A92" s="8"/>
      <c r="E92" s="1"/>
      <c r="F92" s="1"/>
      <c r="G92" s="1"/>
      <c r="H92" s="1"/>
      <c r="I92" s="1"/>
      <c r="M92" s="2"/>
      <c r="N92" s="2"/>
      <c r="O92" s="2"/>
      <c r="P92" s="2"/>
    </row>
    <row r="93" spans="1:16" ht="16" x14ac:dyDescent="0.2">
      <c r="A93" s="8"/>
      <c r="E93" s="1"/>
      <c r="F93" s="1"/>
      <c r="G93" s="1"/>
      <c r="H93" s="1"/>
      <c r="I93" s="1"/>
      <c r="M93" s="2"/>
      <c r="N93" s="2"/>
      <c r="O93" s="2"/>
      <c r="P93" s="2"/>
    </row>
    <row r="94" spans="1:16" ht="16" x14ac:dyDescent="0.2">
      <c r="A94" s="8"/>
      <c r="E94" s="1"/>
      <c r="F94" s="1"/>
      <c r="G94" s="1"/>
      <c r="H94" s="1"/>
      <c r="I94" s="1"/>
      <c r="M94" s="2"/>
      <c r="N94" s="2"/>
      <c r="O94" s="2"/>
      <c r="P94" s="2"/>
    </row>
    <row r="95" spans="1:16" ht="16" x14ac:dyDescent="0.2">
      <c r="A95" s="8"/>
      <c r="E95" s="1"/>
      <c r="F95" s="1"/>
      <c r="G95" s="1"/>
      <c r="H95" s="1"/>
      <c r="I95" s="1"/>
      <c r="M95" s="2"/>
      <c r="N95" s="2"/>
      <c r="O95" s="2"/>
      <c r="P95" s="2"/>
    </row>
    <row r="96" spans="1:16" ht="16" x14ac:dyDescent="0.2">
      <c r="A96" s="8"/>
      <c r="E96" s="1"/>
      <c r="F96" s="1"/>
      <c r="G96" s="1"/>
      <c r="H96" s="1"/>
      <c r="I96" s="1"/>
      <c r="M96" s="2"/>
      <c r="N96" s="2"/>
      <c r="O96" s="2"/>
      <c r="P96" s="2"/>
    </row>
    <row r="97" spans="1:16" ht="16" x14ac:dyDescent="0.2">
      <c r="A97" s="8"/>
      <c r="E97" s="1"/>
      <c r="F97" s="1"/>
      <c r="G97" s="1"/>
      <c r="H97" s="1"/>
      <c r="I97" s="1"/>
      <c r="M97" s="2"/>
      <c r="N97" s="2"/>
      <c r="O97" s="2"/>
      <c r="P97" s="2"/>
    </row>
    <row r="98" spans="1:16" ht="16" x14ac:dyDescent="0.2">
      <c r="A98" s="8"/>
      <c r="E98" s="1"/>
      <c r="F98" s="1"/>
      <c r="G98" s="1"/>
      <c r="H98" s="1"/>
      <c r="I98" s="1"/>
      <c r="M98" s="2"/>
      <c r="N98" s="2"/>
      <c r="O98" s="2"/>
      <c r="P98" s="2"/>
    </row>
    <row r="99" spans="1:16" ht="16" x14ac:dyDescent="0.2">
      <c r="A99" s="8"/>
      <c r="E99" s="1"/>
      <c r="F99" s="1"/>
      <c r="G99" s="1"/>
      <c r="H99" s="1"/>
      <c r="I99" s="1"/>
      <c r="M99" s="2"/>
      <c r="N99" s="2"/>
      <c r="O99" s="2"/>
      <c r="P99" s="2"/>
    </row>
    <row r="100" spans="1:16" ht="16" x14ac:dyDescent="0.2">
      <c r="A100" s="8"/>
      <c r="E100" s="1"/>
      <c r="F100" s="1"/>
      <c r="G100" s="1"/>
      <c r="H100" s="1"/>
      <c r="I100" s="1"/>
      <c r="M100" s="2"/>
      <c r="N100" s="2"/>
      <c r="O100" s="2"/>
      <c r="P100" s="2"/>
    </row>
    <row r="101" spans="1:16" ht="16" x14ac:dyDescent="0.2">
      <c r="A101" s="8"/>
      <c r="E101" s="1"/>
      <c r="F101" s="1"/>
      <c r="G101" s="1"/>
      <c r="H101" s="1"/>
      <c r="I101" s="1"/>
      <c r="M101" s="2"/>
      <c r="N101" s="2"/>
      <c r="O101" s="2"/>
      <c r="P101" s="2"/>
    </row>
    <row r="102" spans="1:16" ht="16" x14ac:dyDescent="0.2">
      <c r="A102" s="8"/>
      <c r="E102" s="1"/>
      <c r="F102" s="1"/>
      <c r="G102" s="1"/>
      <c r="H102" s="1"/>
      <c r="I102" s="1"/>
      <c r="M102" s="2"/>
      <c r="N102" s="2"/>
      <c r="O102" s="2"/>
      <c r="P102" s="2"/>
    </row>
    <row r="103" spans="1:16" ht="16" x14ac:dyDescent="0.2">
      <c r="A103" s="8"/>
      <c r="E103" s="1"/>
      <c r="F103" s="1"/>
      <c r="G103" s="1"/>
      <c r="H103" s="1"/>
      <c r="I103" s="1"/>
      <c r="M103" s="2"/>
      <c r="N103" s="2"/>
      <c r="O103" s="2"/>
      <c r="P103" s="2"/>
    </row>
    <row r="104" spans="1:16" ht="16" x14ac:dyDescent="0.2">
      <c r="A104" s="8"/>
      <c r="E104" s="1"/>
      <c r="F104" s="1"/>
      <c r="G104" s="1"/>
      <c r="H104" s="1"/>
      <c r="I104" s="1"/>
      <c r="M104" s="2"/>
      <c r="N104" s="2"/>
      <c r="O104" s="2"/>
      <c r="P104" s="2"/>
    </row>
    <row r="105" spans="1:16" ht="16" x14ac:dyDescent="0.2">
      <c r="A105" s="8"/>
      <c r="E105" s="1"/>
      <c r="F105" s="1"/>
      <c r="G105" s="1"/>
      <c r="H105" s="1"/>
      <c r="I105" s="1"/>
      <c r="M105" s="2"/>
      <c r="N105" s="2"/>
      <c r="O105" s="2"/>
      <c r="P105" s="2"/>
    </row>
    <row r="106" spans="1:16" ht="16" x14ac:dyDescent="0.2">
      <c r="A106" s="8"/>
      <c r="E106" s="1"/>
      <c r="F106" s="1"/>
      <c r="G106" s="1"/>
      <c r="H106" s="1"/>
      <c r="I106" s="1"/>
      <c r="M106" s="2"/>
      <c r="N106" s="2"/>
      <c r="O106" s="2"/>
      <c r="P106" s="2"/>
    </row>
    <row r="107" spans="1:16" ht="16" x14ac:dyDescent="0.2">
      <c r="A107" s="8"/>
      <c r="E107" s="1"/>
      <c r="F107" s="1"/>
      <c r="G107" s="1"/>
      <c r="H107" s="1"/>
      <c r="I107" s="1"/>
      <c r="M107" s="2"/>
      <c r="N107" s="2"/>
      <c r="O107" s="2"/>
      <c r="P107" s="2"/>
    </row>
    <row r="108" spans="1:16" ht="16" x14ac:dyDescent="0.2">
      <c r="A108" s="8"/>
      <c r="E108" s="1"/>
      <c r="F108" s="1"/>
      <c r="G108" s="1"/>
      <c r="H108" s="1"/>
      <c r="I108" s="1"/>
      <c r="M108" s="2"/>
      <c r="N108" s="2"/>
      <c r="O108" s="2"/>
      <c r="P108" s="2"/>
    </row>
    <row r="109" spans="1:16" ht="16" x14ac:dyDescent="0.2">
      <c r="A109" s="8"/>
      <c r="E109" s="1"/>
      <c r="F109" s="1"/>
      <c r="G109" s="1"/>
      <c r="H109" s="1"/>
      <c r="I109" s="1"/>
      <c r="M109" s="2"/>
      <c r="N109" s="2"/>
      <c r="O109" s="2"/>
      <c r="P109" s="2"/>
    </row>
    <row r="110" spans="1:16" ht="16" x14ac:dyDescent="0.2">
      <c r="A110" s="8"/>
      <c r="E110" s="1"/>
      <c r="F110" s="1"/>
      <c r="G110" s="1"/>
      <c r="H110" s="1"/>
      <c r="I110" s="1"/>
      <c r="M110" s="2"/>
      <c r="N110" s="2"/>
      <c r="O110" s="2"/>
      <c r="P110" s="2"/>
    </row>
    <row r="111" spans="1:16" ht="16" x14ac:dyDescent="0.2">
      <c r="A111" s="8"/>
      <c r="E111" s="1"/>
      <c r="F111" s="1"/>
      <c r="G111" s="1"/>
      <c r="H111" s="1"/>
      <c r="I111" s="1"/>
      <c r="M111" s="2"/>
      <c r="N111" s="2"/>
      <c r="O111" s="2"/>
      <c r="P111" s="2"/>
    </row>
    <row r="112" spans="1:16" ht="16" x14ac:dyDescent="0.2">
      <c r="A112" s="8"/>
      <c r="E112" s="1"/>
      <c r="F112" s="1"/>
      <c r="G112" s="1"/>
      <c r="H112" s="1"/>
      <c r="I112" s="1"/>
      <c r="M112" s="2"/>
      <c r="N112" s="2"/>
      <c r="O112" s="2"/>
      <c r="P112" s="2"/>
    </row>
    <row r="113" spans="1:16" ht="16" x14ac:dyDescent="0.2">
      <c r="A113" s="8"/>
      <c r="E113" s="1"/>
      <c r="F113" s="1"/>
      <c r="G113" s="1"/>
      <c r="H113" s="1"/>
      <c r="I113" s="1"/>
      <c r="M113" s="2"/>
      <c r="N113" s="2"/>
      <c r="O113" s="2"/>
      <c r="P113" s="2"/>
    </row>
    <row r="114" spans="1:16" ht="16" x14ac:dyDescent="0.2">
      <c r="A114" s="8"/>
      <c r="E114" s="1"/>
      <c r="F114" s="1"/>
      <c r="G114" s="1"/>
      <c r="H114" s="1"/>
      <c r="I114" s="1"/>
      <c r="M114" s="2"/>
      <c r="N114" s="2"/>
      <c r="O114" s="2"/>
      <c r="P114" s="2"/>
    </row>
    <row r="115" spans="1:16" ht="16" x14ac:dyDescent="0.2">
      <c r="A115" s="8"/>
      <c r="E115" s="1"/>
      <c r="F115" s="1"/>
      <c r="G115" s="1"/>
      <c r="H115" s="1"/>
      <c r="I115" s="1"/>
      <c r="M115" s="2"/>
      <c r="N115" s="2"/>
      <c r="O115" s="2"/>
      <c r="P115" s="2"/>
    </row>
    <row r="116" spans="1:16" ht="16" x14ac:dyDescent="0.2">
      <c r="A116" s="8"/>
      <c r="E116" s="1"/>
      <c r="F116" s="1"/>
      <c r="G116" s="1"/>
      <c r="H116" s="1"/>
      <c r="I116" s="1"/>
      <c r="M116" s="2"/>
      <c r="N116" s="2"/>
      <c r="O116" s="2"/>
      <c r="P116" s="2"/>
    </row>
    <row r="117" spans="1:16" ht="16" x14ac:dyDescent="0.2">
      <c r="A117" s="8"/>
      <c r="E117" s="1"/>
      <c r="F117" s="1"/>
      <c r="G117" s="1"/>
      <c r="H117" s="1"/>
      <c r="I117" s="1"/>
      <c r="M117" s="2"/>
      <c r="N117" s="2"/>
      <c r="O117" s="2"/>
      <c r="P117" s="2"/>
    </row>
    <row r="118" spans="1:16" ht="16" x14ac:dyDescent="0.2">
      <c r="A118" s="8"/>
      <c r="E118" s="1"/>
      <c r="F118" s="1"/>
      <c r="G118" s="1"/>
      <c r="H118" s="1"/>
      <c r="I118" s="1"/>
      <c r="M118" s="2"/>
      <c r="N118" s="2"/>
      <c r="O118" s="2"/>
      <c r="P118" s="2"/>
    </row>
    <row r="119" spans="1:16" ht="16" x14ac:dyDescent="0.2">
      <c r="A119" s="8"/>
      <c r="E119" s="1"/>
      <c r="F119" s="1"/>
      <c r="G119" s="1"/>
      <c r="H119" s="1"/>
      <c r="I119" s="1"/>
      <c r="M119" s="2"/>
      <c r="N119" s="2"/>
      <c r="O119" s="2"/>
      <c r="P119" s="2"/>
    </row>
    <row r="120" spans="1:16" ht="16" x14ac:dyDescent="0.2">
      <c r="A120" s="8"/>
      <c r="E120" s="1"/>
      <c r="F120" s="1"/>
      <c r="G120" s="1"/>
      <c r="H120" s="1"/>
      <c r="I120" s="1"/>
      <c r="M120" s="2"/>
      <c r="N120" s="2"/>
      <c r="O120" s="2"/>
      <c r="P120" s="2"/>
    </row>
    <row r="121" spans="1:16" ht="16" x14ac:dyDescent="0.2">
      <c r="A121" s="8"/>
      <c r="E121" s="1"/>
      <c r="F121" s="1"/>
      <c r="G121" s="1"/>
      <c r="H121" s="1"/>
      <c r="I121" s="1"/>
      <c r="M121" s="2"/>
      <c r="N121" s="2"/>
      <c r="O121" s="2"/>
      <c r="P121" s="2"/>
    </row>
    <row r="122" spans="1:16" ht="16" x14ac:dyDescent="0.2">
      <c r="A122" s="8"/>
      <c r="E122" s="1"/>
      <c r="F122" s="1"/>
      <c r="G122" s="1"/>
      <c r="H122" s="1"/>
      <c r="I122" s="1"/>
      <c r="M122" s="2"/>
      <c r="N122" s="2"/>
      <c r="O122" s="2"/>
      <c r="P122" s="2"/>
    </row>
    <row r="123" spans="1:16" ht="16" x14ac:dyDescent="0.2">
      <c r="A123" s="8"/>
      <c r="E123" s="1"/>
      <c r="F123" s="1"/>
      <c r="G123" s="1"/>
      <c r="H123" s="1"/>
      <c r="I123" s="1"/>
      <c r="M123" s="2"/>
      <c r="N123" s="2"/>
      <c r="O123" s="2"/>
      <c r="P123" s="2"/>
    </row>
    <row r="124" spans="1:16" ht="16" x14ac:dyDescent="0.2">
      <c r="A124" s="8"/>
      <c r="E124" s="1"/>
      <c r="F124" s="1"/>
      <c r="G124" s="1"/>
      <c r="H124" s="1"/>
      <c r="I124" s="1"/>
      <c r="M124" s="2"/>
      <c r="N124" s="2"/>
      <c r="O124" s="2"/>
      <c r="P124" s="2"/>
    </row>
    <row r="125" spans="1:16" ht="16" x14ac:dyDescent="0.2">
      <c r="A125" s="8"/>
      <c r="E125" s="1"/>
      <c r="F125" s="1"/>
      <c r="G125" s="1"/>
      <c r="H125" s="1"/>
      <c r="I125" s="1"/>
      <c r="M125" s="2"/>
      <c r="N125" s="2"/>
      <c r="O125" s="2"/>
      <c r="P125" s="2"/>
    </row>
    <row r="126" spans="1:16" ht="16" x14ac:dyDescent="0.2">
      <c r="A126" s="8"/>
      <c r="E126" s="1"/>
      <c r="F126" s="1"/>
      <c r="G126" s="1"/>
      <c r="H126" s="1"/>
      <c r="I126" s="1"/>
      <c r="M126" s="2"/>
      <c r="N126" s="2"/>
      <c r="O126" s="2"/>
      <c r="P126" s="2"/>
    </row>
    <row r="127" spans="1:16" ht="16" x14ac:dyDescent="0.2">
      <c r="A127" s="8"/>
      <c r="E127" s="1"/>
      <c r="F127" s="1"/>
      <c r="G127" s="1"/>
      <c r="H127" s="1"/>
      <c r="I127" s="1"/>
      <c r="M127" s="2"/>
      <c r="N127" s="2"/>
      <c r="O127" s="2"/>
      <c r="P127" s="2"/>
    </row>
    <row r="128" spans="1:16" ht="16" x14ac:dyDescent="0.2">
      <c r="A128" s="8"/>
      <c r="E128" s="1"/>
      <c r="F128" s="1"/>
      <c r="G128" s="1"/>
      <c r="H128" s="1"/>
      <c r="I128" s="1"/>
      <c r="M128" s="2"/>
      <c r="N128" s="2"/>
      <c r="O128" s="2"/>
      <c r="P128" s="2"/>
    </row>
    <row r="129" spans="1:16" ht="16" x14ac:dyDescent="0.2">
      <c r="A129" s="8"/>
      <c r="E129" s="1"/>
      <c r="F129" s="1"/>
      <c r="G129" s="1"/>
      <c r="H129" s="1"/>
      <c r="I129" s="1"/>
      <c r="M129" s="2"/>
      <c r="N129" s="2"/>
      <c r="O129" s="2"/>
      <c r="P129" s="2"/>
    </row>
    <row r="130" spans="1:16" ht="16" x14ac:dyDescent="0.2">
      <c r="A130" s="8"/>
      <c r="E130" s="1"/>
      <c r="F130" s="1"/>
      <c r="G130" s="1"/>
      <c r="H130" s="1"/>
      <c r="I130" s="1"/>
      <c r="M130" s="2"/>
      <c r="N130" s="2"/>
      <c r="O130" s="2"/>
      <c r="P130" s="2"/>
    </row>
    <row r="131" spans="1:16" ht="16" x14ac:dyDescent="0.2">
      <c r="A131" s="8"/>
      <c r="E131" s="1"/>
      <c r="F131" s="1"/>
      <c r="G131" s="1"/>
      <c r="H131" s="1"/>
      <c r="I131" s="1"/>
      <c r="M131" s="2"/>
      <c r="N131" s="2"/>
      <c r="O131" s="2"/>
      <c r="P131" s="2"/>
    </row>
    <row r="132" spans="1:16" ht="16" x14ac:dyDescent="0.2">
      <c r="A132" s="8"/>
      <c r="E132" s="1"/>
      <c r="F132" s="1"/>
      <c r="G132" s="1"/>
      <c r="H132" s="1"/>
      <c r="I132" s="1"/>
      <c r="M132" s="2"/>
      <c r="N132" s="2"/>
      <c r="O132" s="2"/>
      <c r="P132" s="2"/>
    </row>
    <row r="133" spans="1:16" ht="16" x14ac:dyDescent="0.2">
      <c r="A133" s="8"/>
      <c r="E133" s="1"/>
      <c r="F133" s="1"/>
      <c r="G133" s="1"/>
      <c r="H133" s="1"/>
      <c r="I133" s="1"/>
      <c r="M133" s="2"/>
      <c r="N133" s="2"/>
      <c r="O133" s="2"/>
      <c r="P133" s="2"/>
    </row>
    <row r="134" spans="1:16" ht="16" x14ac:dyDescent="0.2">
      <c r="A134" s="8"/>
      <c r="E134" s="1"/>
      <c r="F134" s="1"/>
      <c r="G134" s="1"/>
      <c r="H134" s="1"/>
      <c r="I134" s="1"/>
      <c r="M134" s="2"/>
      <c r="N134" s="2"/>
      <c r="O134" s="2"/>
      <c r="P134" s="2"/>
    </row>
    <row r="135" spans="1:16" ht="16" x14ac:dyDescent="0.2">
      <c r="A135" s="8"/>
      <c r="E135" s="1"/>
      <c r="F135" s="1"/>
      <c r="G135" s="1"/>
      <c r="H135" s="1"/>
      <c r="I135" s="1"/>
      <c r="M135" s="2"/>
      <c r="N135" s="2"/>
      <c r="O135" s="2"/>
      <c r="P135" s="2"/>
    </row>
    <row r="136" spans="1:16" ht="16" x14ac:dyDescent="0.2">
      <c r="A136" s="8"/>
      <c r="E136" s="1"/>
      <c r="F136" s="1"/>
      <c r="G136" s="1"/>
      <c r="H136" s="1"/>
      <c r="I136" s="1"/>
      <c r="M136" s="2"/>
      <c r="N136" s="2"/>
      <c r="O136" s="2"/>
      <c r="P136" s="2"/>
    </row>
    <row r="137" spans="1:16" ht="16" x14ac:dyDescent="0.2">
      <c r="A137" s="8"/>
      <c r="E137" s="1"/>
      <c r="F137" s="1"/>
      <c r="G137" s="1"/>
      <c r="H137" s="1"/>
      <c r="I137" s="1"/>
      <c r="M137" s="2"/>
      <c r="N137" s="2"/>
      <c r="O137" s="2"/>
      <c r="P137" s="2"/>
    </row>
    <row r="138" spans="1:16" ht="16" x14ac:dyDescent="0.2">
      <c r="A138" s="8"/>
      <c r="E138" s="1"/>
      <c r="F138" s="1"/>
      <c r="G138" s="1"/>
      <c r="H138" s="1"/>
      <c r="I138" s="1"/>
      <c r="M138" s="2"/>
      <c r="N138" s="2"/>
      <c r="O138" s="2"/>
      <c r="P138" s="2"/>
    </row>
    <row r="139" spans="1:16" ht="16" x14ac:dyDescent="0.2">
      <c r="A139" s="8"/>
      <c r="E139" s="1"/>
      <c r="F139" s="1"/>
      <c r="G139" s="1"/>
      <c r="H139" s="1"/>
      <c r="I139" s="1"/>
      <c r="M139" s="2"/>
      <c r="N139" s="2"/>
      <c r="O139" s="2"/>
      <c r="P139" s="2"/>
    </row>
    <row r="140" spans="1:16" ht="16" x14ac:dyDescent="0.2">
      <c r="A140" s="8"/>
      <c r="E140" s="1"/>
      <c r="F140" s="1"/>
      <c r="G140" s="1"/>
      <c r="H140" s="1"/>
      <c r="I140" s="1"/>
      <c r="M140" s="2"/>
      <c r="N140" s="2"/>
      <c r="O140" s="2"/>
      <c r="P140" s="2"/>
    </row>
    <row r="141" spans="1:16" ht="16" x14ac:dyDescent="0.2">
      <c r="A141" s="8"/>
      <c r="E141" s="1"/>
      <c r="F141" s="1"/>
      <c r="G141" s="1"/>
      <c r="H141" s="1"/>
      <c r="I141" s="1"/>
      <c r="M141" s="2"/>
      <c r="N141" s="2"/>
      <c r="O141" s="2"/>
      <c r="P141" s="2"/>
    </row>
    <row r="142" spans="1:16" ht="16" x14ac:dyDescent="0.2">
      <c r="A142" s="8"/>
      <c r="E142" s="1"/>
      <c r="F142" s="1"/>
      <c r="G142" s="1"/>
      <c r="H142" s="1"/>
      <c r="I142" s="1"/>
      <c r="M142" s="2"/>
      <c r="N142" s="2"/>
      <c r="O142" s="2"/>
      <c r="P142" s="2"/>
    </row>
    <row r="143" spans="1:16" ht="16" x14ac:dyDescent="0.2">
      <c r="A143" s="8"/>
      <c r="E143" s="1"/>
      <c r="F143" s="1"/>
      <c r="G143" s="1"/>
      <c r="H143" s="1"/>
      <c r="I143" s="1"/>
      <c r="M143" s="2"/>
      <c r="N143" s="2"/>
      <c r="O143" s="2"/>
      <c r="P143" s="2"/>
    </row>
    <row r="144" spans="1:16" ht="16" x14ac:dyDescent="0.2">
      <c r="A144" s="8"/>
      <c r="E144" s="1"/>
      <c r="F144" s="1"/>
      <c r="G144" s="1"/>
      <c r="H144" s="1"/>
      <c r="I144" s="1"/>
      <c r="M144" s="2"/>
      <c r="N144" s="2"/>
      <c r="O144" s="2"/>
      <c r="P144" s="2"/>
    </row>
    <row r="145" spans="1:16" ht="16" x14ac:dyDescent="0.2">
      <c r="A145" s="8"/>
      <c r="E145" s="1"/>
      <c r="F145" s="1"/>
      <c r="G145" s="1"/>
      <c r="H145" s="1"/>
      <c r="I145" s="1"/>
      <c r="M145" s="2"/>
      <c r="N145" s="2"/>
      <c r="O145" s="2"/>
      <c r="P145" s="2"/>
    </row>
    <row r="146" spans="1:16" ht="16" x14ac:dyDescent="0.2">
      <c r="A146" s="8"/>
      <c r="E146" s="1"/>
      <c r="F146" s="1"/>
      <c r="G146" s="1"/>
      <c r="H146" s="1"/>
      <c r="I146" s="1"/>
      <c r="M146" s="2"/>
      <c r="N146" s="2"/>
      <c r="O146" s="2"/>
      <c r="P146" s="2"/>
    </row>
    <row r="147" spans="1:16" ht="16" x14ac:dyDescent="0.2">
      <c r="A147" s="8"/>
      <c r="E147" s="1"/>
      <c r="F147" s="1"/>
      <c r="G147" s="1"/>
      <c r="H147" s="1"/>
      <c r="I147" s="1"/>
      <c r="M147" s="2"/>
      <c r="N147" s="2"/>
      <c r="O147" s="2"/>
      <c r="P147" s="2"/>
    </row>
    <row r="148" spans="1:16" ht="16" x14ac:dyDescent="0.2">
      <c r="A148" s="8"/>
      <c r="E148" s="1"/>
      <c r="F148" s="1"/>
      <c r="G148" s="1"/>
      <c r="H148" s="1"/>
      <c r="I148" s="1"/>
      <c r="M148" s="2"/>
      <c r="N148" s="2"/>
      <c r="O148" s="2"/>
      <c r="P148" s="2"/>
    </row>
    <row r="149" spans="1:16" ht="16" x14ac:dyDescent="0.2">
      <c r="A149" s="8"/>
      <c r="E149" s="1"/>
      <c r="F149" s="1"/>
      <c r="G149" s="1"/>
      <c r="H149" s="1"/>
      <c r="I149" s="1"/>
      <c r="M149" s="2"/>
      <c r="N149" s="2"/>
      <c r="O149" s="2"/>
      <c r="P149" s="2"/>
    </row>
    <row r="150" spans="1:16" ht="16" x14ac:dyDescent="0.2">
      <c r="A150" s="8"/>
      <c r="E150" s="1"/>
      <c r="F150" s="1"/>
      <c r="G150" s="1"/>
      <c r="H150" s="1"/>
      <c r="I150" s="1"/>
      <c r="M150" s="2"/>
      <c r="N150" s="2"/>
      <c r="O150" s="2"/>
      <c r="P150" s="2"/>
    </row>
    <row r="151" spans="1:16" ht="16" x14ac:dyDescent="0.2">
      <c r="A151" s="8"/>
      <c r="E151" s="1"/>
      <c r="F151" s="1"/>
      <c r="G151" s="1"/>
      <c r="H151" s="1"/>
      <c r="I151" s="1"/>
      <c r="M151" s="2"/>
      <c r="N151" s="2"/>
      <c r="O151" s="2"/>
      <c r="P151" s="2"/>
    </row>
    <row r="152" spans="1:16" ht="16" x14ac:dyDescent="0.2">
      <c r="A152" s="8"/>
      <c r="E152" s="1"/>
      <c r="F152" s="1"/>
      <c r="G152" s="1"/>
      <c r="H152" s="1"/>
      <c r="I152" s="1"/>
      <c r="M152" s="2"/>
      <c r="N152" s="2"/>
      <c r="O152" s="2"/>
      <c r="P152" s="2"/>
    </row>
    <row r="153" spans="1:16" ht="16" x14ac:dyDescent="0.2">
      <c r="A153" s="8"/>
      <c r="E153" s="1"/>
      <c r="F153" s="1"/>
      <c r="G153" s="1"/>
      <c r="H153" s="1"/>
      <c r="I153" s="1"/>
      <c r="M153" s="2"/>
      <c r="N153" s="2"/>
      <c r="O153" s="2"/>
      <c r="P153" s="2"/>
    </row>
    <row r="154" spans="1:16" ht="16" x14ac:dyDescent="0.2">
      <c r="A154" s="8"/>
      <c r="E154" s="1"/>
      <c r="F154" s="1"/>
      <c r="G154" s="1"/>
      <c r="H154" s="1"/>
      <c r="I154" s="1"/>
      <c r="M154" s="2"/>
      <c r="N154" s="2"/>
      <c r="O154" s="2"/>
      <c r="P154" s="2"/>
    </row>
    <row r="155" spans="1:16" ht="16" x14ac:dyDescent="0.2">
      <c r="A155" s="8"/>
      <c r="E155" s="1"/>
      <c r="F155" s="1"/>
      <c r="G155" s="1"/>
      <c r="H155" s="1"/>
      <c r="I155" s="1"/>
      <c r="M155" s="2"/>
      <c r="N155" s="2"/>
      <c r="O155" s="2"/>
      <c r="P155" s="2"/>
    </row>
    <row r="156" spans="1:16" ht="16" x14ac:dyDescent="0.2">
      <c r="A156" s="8"/>
      <c r="E156" s="1"/>
      <c r="F156" s="1"/>
      <c r="G156" s="1"/>
      <c r="H156" s="1"/>
      <c r="I156" s="1"/>
      <c r="M156" s="2"/>
      <c r="N156" s="2"/>
      <c r="O156" s="2"/>
      <c r="P156" s="2"/>
    </row>
    <row r="157" spans="1:16" ht="16" x14ac:dyDescent="0.2">
      <c r="A157" s="8"/>
      <c r="E157" s="1"/>
      <c r="F157" s="1"/>
      <c r="G157" s="1"/>
      <c r="H157" s="1"/>
      <c r="I157" s="1"/>
      <c r="M157" s="2"/>
      <c r="N157" s="2"/>
      <c r="O157" s="2"/>
      <c r="P157" s="2"/>
    </row>
    <row r="158" spans="1:16" ht="16" x14ac:dyDescent="0.2">
      <c r="A158" s="8"/>
      <c r="E158" s="1"/>
      <c r="F158" s="1"/>
      <c r="G158" s="1"/>
      <c r="H158" s="1"/>
      <c r="I158" s="1"/>
      <c r="M158" s="2"/>
      <c r="N158" s="2"/>
      <c r="O158" s="2"/>
      <c r="P158" s="2"/>
    </row>
    <row r="159" spans="1:16" ht="16" x14ac:dyDescent="0.2">
      <c r="A159" s="8"/>
      <c r="E159" s="1"/>
      <c r="F159" s="1"/>
      <c r="G159" s="1"/>
      <c r="H159" s="1"/>
      <c r="I159" s="1"/>
      <c r="M159" s="2"/>
      <c r="N159" s="2"/>
      <c r="O159" s="2"/>
      <c r="P159" s="2"/>
    </row>
    <row r="160" spans="1:16" ht="16" x14ac:dyDescent="0.2">
      <c r="A160" s="8"/>
      <c r="E160" s="1"/>
      <c r="F160" s="1"/>
      <c r="G160" s="1"/>
      <c r="H160" s="1"/>
      <c r="I160" s="1"/>
      <c r="M160" s="2"/>
      <c r="N160" s="2"/>
      <c r="O160" s="2"/>
      <c r="P160" s="2"/>
    </row>
    <row r="161" spans="1:16" ht="16" x14ac:dyDescent="0.2">
      <c r="A161" s="8"/>
      <c r="E161" s="1"/>
      <c r="F161" s="1"/>
      <c r="G161" s="1"/>
      <c r="H161" s="1"/>
      <c r="I161" s="1"/>
      <c r="M161" s="2"/>
      <c r="N161" s="2"/>
      <c r="O161" s="2"/>
      <c r="P161" s="2"/>
    </row>
    <row r="162" spans="1:16" ht="16" x14ac:dyDescent="0.2">
      <c r="A162" s="8"/>
      <c r="E162" s="1"/>
      <c r="F162" s="1"/>
      <c r="G162" s="1"/>
      <c r="H162" s="1"/>
      <c r="I162" s="1"/>
      <c r="M162" s="2"/>
      <c r="N162" s="2"/>
      <c r="O162" s="2"/>
      <c r="P162" s="2"/>
    </row>
    <row r="163" spans="1:16" ht="16" x14ac:dyDescent="0.2">
      <c r="A163" s="8"/>
      <c r="E163" s="1"/>
      <c r="F163" s="1"/>
      <c r="G163" s="1"/>
      <c r="H163" s="1"/>
      <c r="I163" s="1"/>
      <c r="M163" s="2"/>
      <c r="N163" s="2"/>
      <c r="O163" s="2"/>
      <c r="P163" s="2"/>
    </row>
    <row r="164" spans="1:16" ht="16" x14ac:dyDescent="0.2">
      <c r="A164" s="8"/>
      <c r="E164" s="1"/>
      <c r="F164" s="1"/>
      <c r="G164" s="1"/>
      <c r="H164" s="1"/>
      <c r="I164" s="1"/>
      <c r="M164" s="2"/>
      <c r="N164" s="2"/>
      <c r="O164" s="2"/>
      <c r="P164" s="2"/>
    </row>
    <row r="165" spans="1:16" ht="16" x14ac:dyDescent="0.2">
      <c r="A165" s="8"/>
      <c r="E165" s="1"/>
      <c r="F165" s="1"/>
      <c r="G165" s="1"/>
      <c r="H165" s="1"/>
      <c r="I165" s="1"/>
      <c r="M165" s="2"/>
      <c r="N165" s="2"/>
      <c r="O165" s="2"/>
      <c r="P165" s="2"/>
    </row>
    <row r="166" spans="1:16" ht="16" x14ac:dyDescent="0.2">
      <c r="A166" s="8"/>
      <c r="E166" s="1"/>
      <c r="F166" s="1"/>
      <c r="G166" s="1"/>
      <c r="H166" s="1"/>
      <c r="I166" s="1"/>
      <c r="M166" s="2"/>
      <c r="N166" s="2"/>
      <c r="O166" s="2"/>
      <c r="P166" s="2"/>
    </row>
    <row r="167" spans="1:16" ht="16" x14ac:dyDescent="0.2">
      <c r="A167" s="8"/>
      <c r="E167" s="1"/>
      <c r="F167" s="1"/>
      <c r="G167" s="1"/>
      <c r="H167" s="1"/>
      <c r="I167" s="1"/>
      <c r="M167" s="2"/>
      <c r="N167" s="2"/>
      <c r="O167" s="2"/>
      <c r="P167" s="2"/>
    </row>
    <row r="168" spans="1:16" ht="16" x14ac:dyDescent="0.2">
      <c r="A168" s="8"/>
      <c r="E168" s="1"/>
      <c r="F168" s="1"/>
      <c r="G168" s="1"/>
      <c r="H168" s="1"/>
      <c r="I168" s="1"/>
      <c r="M168" s="2"/>
      <c r="N168" s="2"/>
      <c r="O168" s="2"/>
      <c r="P168" s="2"/>
    </row>
    <row r="169" spans="1:16" ht="16" x14ac:dyDescent="0.2">
      <c r="A169" s="8"/>
      <c r="E169" s="1"/>
      <c r="F169" s="1"/>
      <c r="G169" s="1"/>
      <c r="H169" s="1"/>
      <c r="I169" s="1"/>
      <c r="M169" s="2"/>
      <c r="N169" s="2"/>
      <c r="O169" s="2"/>
      <c r="P169" s="2"/>
    </row>
    <row r="170" spans="1:16" ht="16" x14ac:dyDescent="0.2">
      <c r="A170" s="8"/>
      <c r="E170" s="1"/>
      <c r="F170" s="1"/>
      <c r="G170" s="1"/>
      <c r="H170" s="1"/>
      <c r="I170" s="1"/>
      <c r="M170" s="2"/>
      <c r="N170" s="2"/>
      <c r="O170" s="2"/>
      <c r="P170" s="2"/>
    </row>
    <row r="171" spans="1:16" ht="16" x14ac:dyDescent="0.2">
      <c r="A171" s="8"/>
      <c r="E171" s="1"/>
      <c r="F171" s="1"/>
      <c r="G171" s="1"/>
      <c r="H171" s="1"/>
      <c r="I171" s="1"/>
      <c r="M171" s="2"/>
      <c r="N171" s="2"/>
      <c r="O171" s="2"/>
      <c r="P171" s="2"/>
    </row>
    <row r="172" spans="1:16" ht="16" x14ac:dyDescent="0.2">
      <c r="A172" s="8"/>
      <c r="E172" s="1"/>
      <c r="F172" s="1"/>
      <c r="G172" s="1"/>
      <c r="H172" s="1"/>
      <c r="I172" s="1"/>
      <c r="M172" s="2"/>
      <c r="N172" s="2"/>
      <c r="O172" s="2"/>
      <c r="P172" s="2"/>
    </row>
    <row r="173" spans="1:16" ht="16" x14ac:dyDescent="0.2">
      <c r="A173" s="8"/>
      <c r="E173" s="1"/>
      <c r="F173" s="1"/>
      <c r="G173" s="1"/>
      <c r="H173" s="1"/>
      <c r="I173" s="1"/>
      <c r="M173" s="2"/>
      <c r="N173" s="2"/>
      <c r="O173" s="2"/>
      <c r="P173" s="2"/>
    </row>
    <row r="174" spans="1:16" ht="16" x14ac:dyDescent="0.2">
      <c r="A174" s="8"/>
      <c r="B174" s="41"/>
      <c r="E174" s="1"/>
      <c r="F174" s="1"/>
      <c r="G174" s="1"/>
      <c r="H174" s="1"/>
      <c r="I174" s="1"/>
      <c r="M174" s="2"/>
      <c r="N174" s="2"/>
      <c r="O174" s="2"/>
      <c r="P174" s="2"/>
    </row>
    <row r="175" spans="1:16" ht="16" x14ac:dyDescent="0.2">
      <c r="A175" s="8"/>
      <c r="B175" s="41"/>
      <c r="E175" s="1"/>
      <c r="F175" s="1"/>
      <c r="G175" s="1"/>
      <c r="H175" s="1"/>
      <c r="I175" s="1"/>
      <c r="M175" s="2"/>
      <c r="N175" s="2"/>
      <c r="O175" s="2"/>
      <c r="P175" s="2"/>
    </row>
    <row r="176" spans="1:16" ht="16" x14ac:dyDescent="0.2">
      <c r="A176" s="8"/>
      <c r="E176" s="1"/>
      <c r="F176" s="1"/>
      <c r="G176" s="1"/>
      <c r="H176" s="1"/>
      <c r="I176" s="1"/>
      <c r="M176" s="2"/>
      <c r="N176" s="2"/>
      <c r="O176" s="2"/>
      <c r="P176" s="2"/>
    </row>
    <row r="177" spans="1:16" ht="16" x14ac:dyDescent="0.2">
      <c r="A177" s="8"/>
      <c r="E177" s="1"/>
      <c r="F177" s="1"/>
      <c r="G177" s="1"/>
      <c r="H177" s="1"/>
      <c r="I177" s="1"/>
      <c r="M177" s="2"/>
      <c r="N177" s="2"/>
      <c r="O177" s="2"/>
      <c r="P177" s="2"/>
    </row>
    <row r="178" spans="1:16" ht="16" x14ac:dyDescent="0.2">
      <c r="A178" s="8"/>
      <c r="E178" s="1"/>
      <c r="F178" s="1"/>
      <c r="G178" s="1"/>
      <c r="H178" s="1"/>
      <c r="I178" s="1"/>
      <c r="M178" s="2"/>
      <c r="N178" s="2"/>
      <c r="O178" s="2"/>
      <c r="P178" s="2"/>
    </row>
    <row r="179" spans="1:16" ht="16" x14ac:dyDescent="0.2">
      <c r="A179" s="8"/>
      <c r="E179" s="1"/>
      <c r="F179" s="1"/>
      <c r="G179" s="1"/>
      <c r="H179" s="1"/>
      <c r="I179" s="1"/>
      <c r="M179" s="2"/>
      <c r="N179" s="2"/>
      <c r="O179" s="2"/>
      <c r="P179" s="2"/>
    </row>
  </sheetData>
  <sortState xmlns:xlrd2="http://schemas.microsoft.com/office/spreadsheetml/2017/richdata2" ref="A2:V39">
    <sortCondition ref="A10:A39"/>
  </sortState>
  <phoneticPr fontId="16" type="noConversion"/>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sheetPr>
    <pageSetUpPr fitToPage="1"/>
  </sheetPr>
  <dimension ref="A1:I211"/>
  <sheetViews>
    <sheetView topLeftCell="A34" workbookViewId="0">
      <selection activeCell="A57" sqref="A57:I84"/>
    </sheetView>
  </sheetViews>
  <sheetFormatPr baseColWidth="10" defaultColWidth="11" defaultRowHeight="16" x14ac:dyDescent="0.2"/>
  <cols>
    <col min="1" max="1" width="35.5" customWidth="1"/>
    <col min="2" max="2" width="9.5" style="4" customWidth="1"/>
    <col min="3" max="3" width="10" customWidth="1"/>
    <col min="4" max="4" width="12" customWidth="1"/>
    <col min="5" max="5" width="10.1640625" customWidth="1"/>
    <col min="6" max="6" width="10.33203125" customWidth="1"/>
    <col min="7" max="7" width="10.6640625" customWidth="1"/>
    <col min="8" max="8" width="10.1640625" customWidth="1"/>
    <col min="9" max="9" width="33.1640625" customWidth="1"/>
  </cols>
  <sheetData>
    <row r="1" spans="1:9" s="25" customFormat="1" ht="92" customHeight="1" thickBot="1" x14ac:dyDescent="0.25">
      <c r="A1" s="26" t="s">
        <v>0</v>
      </c>
      <c r="B1" s="23" t="s">
        <v>11</v>
      </c>
      <c r="C1" s="23" t="s">
        <v>12</v>
      </c>
      <c r="D1" s="23" t="s">
        <v>13</v>
      </c>
      <c r="E1" s="23" t="s">
        <v>14</v>
      </c>
      <c r="F1" s="23" t="s">
        <v>15</v>
      </c>
      <c r="G1" s="24" t="s">
        <v>16</v>
      </c>
      <c r="H1" s="24" t="s">
        <v>17</v>
      </c>
      <c r="I1" s="23" t="s">
        <v>21</v>
      </c>
    </row>
    <row r="2" spans="1:9" x14ac:dyDescent="0.2">
      <c r="A2" s="16" t="str">
        <f>dilutions_calculations_sheet!A2</f>
        <v>TMP_C_POOL_20220523</v>
      </c>
      <c r="B2" s="17">
        <f>dilutions_calculations_sheet!L2</f>
        <v>1</v>
      </c>
      <c r="C2" s="18">
        <f>dilutions_calculations_sheet!M2</f>
        <v>580.73112751992505</v>
      </c>
      <c r="D2" s="18">
        <f>dilutions_calculations_sheet!N2</f>
        <v>419.26887248007495</v>
      </c>
      <c r="E2" s="19">
        <f>C2*0.792/1000</f>
        <v>0.4599390529957807</v>
      </c>
      <c r="F2" s="20">
        <f t="shared" ref="F2" si="0">D2*0.792/1000</f>
        <v>0.3320609470042194</v>
      </c>
      <c r="G2" s="21"/>
      <c r="H2" s="21"/>
      <c r="I2" s="22">
        <f>dilutions_calculations_sheet!V2</f>
        <v>0</v>
      </c>
    </row>
    <row r="3" spans="1:9" x14ac:dyDescent="0.2">
      <c r="A3" s="16" t="str">
        <f>dilutions_calculations_sheet!A3</f>
        <v>TMP_C_POOL_T3</v>
      </c>
      <c r="B3" s="17">
        <f>dilutions_calculations_sheet!L3</f>
        <v>1</v>
      </c>
      <c r="C3" s="18">
        <f>dilutions_calculations_sheet!M3</f>
        <v>462.24992590971391</v>
      </c>
      <c r="D3" s="18">
        <f>dilutions_calculations_sheet!N3</f>
        <v>537.75007409028603</v>
      </c>
      <c r="E3" s="19">
        <f t="shared" ref="E3:E26" si="1">C3*0.792/1000</f>
        <v>0.36610194132049345</v>
      </c>
      <c r="F3" s="20">
        <f t="shared" ref="F3:F26" si="2">D3*0.792/1000</f>
        <v>0.42589805867950659</v>
      </c>
      <c r="G3" s="21"/>
      <c r="H3" s="21"/>
      <c r="I3" s="22">
        <f>dilutions_calculations_sheet!V3</f>
        <v>0</v>
      </c>
    </row>
    <row r="4" spans="1:9" x14ac:dyDescent="0.2">
      <c r="A4" s="16" t="str">
        <f>dilutions_calculations_sheet!A4</f>
        <v>TMP_C_POOL_20220613</v>
      </c>
      <c r="B4" s="17">
        <f>dilutions_calculations_sheet!L4</f>
        <v>1</v>
      </c>
      <c r="C4" s="18">
        <f>dilutions_calculations_sheet!M4</f>
        <v>115.650571530721</v>
      </c>
      <c r="D4" s="18">
        <f>dilutions_calculations_sheet!N4</f>
        <v>884.34942846927902</v>
      </c>
      <c r="E4" s="19">
        <f t="shared" si="1"/>
        <v>9.1595252652331025E-2</v>
      </c>
      <c r="F4" s="20">
        <f t="shared" si="2"/>
        <v>0.70040474734766911</v>
      </c>
      <c r="G4" s="21"/>
      <c r="H4" s="21"/>
      <c r="I4" s="22">
        <f>dilutions_calculations_sheet!V4</f>
        <v>0</v>
      </c>
    </row>
    <row r="5" spans="1:9" x14ac:dyDescent="0.2">
      <c r="A5" s="16" t="str">
        <f>dilutions_calculations_sheet!A5</f>
        <v>TMP_C_POOL_20220615</v>
      </c>
      <c r="B5" s="17">
        <f>dilutions_calculations_sheet!L5</f>
        <v>1</v>
      </c>
      <c r="C5" s="18">
        <f>dilutions_calculations_sheet!M5</f>
        <v>191.64855533734683</v>
      </c>
      <c r="D5" s="18">
        <f>dilutions_calculations_sheet!N5</f>
        <v>808.35144466265319</v>
      </c>
      <c r="E5" s="19">
        <f t="shared" si="1"/>
        <v>0.15178565582717868</v>
      </c>
      <c r="F5" s="20">
        <f t="shared" si="2"/>
        <v>0.64021434417282141</v>
      </c>
      <c r="G5" s="21"/>
      <c r="H5" s="21"/>
      <c r="I5" s="22">
        <f>dilutions_calculations_sheet!V5</f>
        <v>0</v>
      </c>
    </row>
    <row r="6" spans="1:9" x14ac:dyDescent="0.2">
      <c r="A6" s="16" t="str">
        <f>dilutions_calculations_sheet!A6</f>
        <v>TMP_C_POOL_20220613_20220615</v>
      </c>
      <c r="B6" s="17">
        <f>dilutions_calculations_sheet!L6</f>
        <v>1</v>
      </c>
      <c r="C6" s="18">
        <f>dilutions_calculations_sheet!M6/2</f>
        <v>72.214489062506999</v>
      </c>
      <c r="D6" s="18">
        <f>dilutions_calculations_sheet!N6</f>
        <v>855.57102187498595</v>
      </c>
      <c r="E6" s="19">
        <f t="shared" si="1"/>
        <v>5.7193875337505543E-2</v>
      </c>
      <c r="F6" s="20">
        <f t="shared" si="2"/>
        <v>0.67761224932498887</v>
      </c>
      <c r="G6" s="21"/>
      <c r="H6" s="21"/>
      <c r="I6" s="22" t="s">
        <v>100</v>
      </c>
    </row>
    <row r="7" spans="1:9" x14ac:dyDescent="0.2">
      <c r="A7" s="16" t="str">
        <f>dilutions_calculations_sheet!A7</f>
        <v>TMP_C_POOL_20220718</v>
      </c>
      <c r="B7" s="17">
        <f>dilutions_calculations_sheet!L7</f>
        <v>1</v>
      </c>
      <c r="C7" s="18">
        <f>dilutions_calculations_sheet!M7</f>
        <v>332.76630609961512</v>
      </c>
      <c r="D7" s="18">
        <f>dilutions_calculations_sheet!N7</f>
        <v>667.23369390038488</v>
      </c>
      <c r="E7" s="19">
        <f t="shared" si="1"/>
        <v>0.26355091443089518</v>
      </c>
      <c r="F7" s="20">
        <f t="shared" si="2"/>
        <v>0.52844908556910475</v>
      </c>
      <c r="G7" s="21"/>
      <c r="H7" s="21"/>
      <c r="I7" s="22">
        <f>dilutions_calculations_sheet!V7</f>
        <v>0</v>
      </c>
    </row>
    <row r="8" spans="1:9" x14ac:dyDescent="0.2">
      <c r="A8" s="16" t="str">
        <f>dilutions_calculations_sheet!A8</f>
        <v>TMP_C_POOL_20220721</v>
      </c>
      <c r="B8" s="17">
        <f>dilutions_calculations_sheet!L8</f>
        <v>1</v>
      </c>
      <c r="C8" s="18">
        <f>dilutions_calculations_sheet!M8</f>
        <v>801.11043912702769</v>
      </c>
      <c r="D8" s="18">
        <f>dilutions_calculations_sheet!N8</f>
        <v>198.88956087297231</v>
      </c>
      <c r="E8" s="19">
        <f t="shared" si="1"/>
        <v>0.63447946778860587</v>
      </c>
      <c r="F8" s="20">
        <f t="shared" si="2"/>
        <v>0.15752053221139409</v>
      </c>
      <c r="G8" s="21"/>
      <c r="H8" s="21"/>
      <c r="I8" s="22">
        <f>dilutions_calculations_sheet!V8</f>
        <v>0</v>
      </c>
    </row>
    <row r="9" spans="1:9" x14ac:dyDescent="0.2">
      <c r="A9" s="16" t="str">
        <f>dilutions_calculations_sheet!A9</f>
        <v>TMP_C_POOL_20220718_20220721</v>
      </c>
      <c r="B9" s="17">
        <f>dilutions_calculations_sheet!L9</f>
        <v>1</v>
      </c>
      <c r="C9" s="18">
        <f>dilutions_calculations_sheet!M9/2</f>
        <v>228.85686174500876</v>
      </c>
      <c r="D9" s="18">
        <f>dilutions_calculations_sheet!N9</f>
        <v>542.28627650998249</v>
      </c>
      <c r="E9" s="19">
        <f t="shared" si="1"/>
        <v>0.18125463450204693</v>
      </c>
      <c r="F9" s="20">
        <f t="shared" si="2"/>
        <v>0.42949073099590618</v>
      </c>
      <c r="G9" s="21"/>
      <c r="H9" s="21"/>
      <c r="I9" s="22" t="s">
        <v>100</v>
      </c>
    </row>
    <row r="10" spans="1:9" x14ac:dyDescent="0.2">
      <c r="A10" s="16" t="str">
        <f>dilutions_calculations_sheet!A10</f>
        <v>TMP_C_POOL_20220808</v>
      </c>
      <c r="B10" s="17">
        <f>dilutions_calculations_sheet!L10</f>
        <v>1</v>
      </c>
      <c r="C10" s="18">
        <f>dilutions_calculations_sheet!M10</f>
        <v>158.14777327935224</v>
      </c>
      <c r="D10" s="18">
        <f>dilutions_calculations_sheet!N10</f>
        <v>841.85222672064776</v>
      </c>
      <c r="E10" s="19">
        <f t="shared" si="1"/>
        <v>0.12525303643724697</v>
      </c>
      <c r="F10" s="20">
        <f t="shared" si="2"/>
        <v>0.66674696356275309</v>
      </c>
      <c r="G10" s="21"/>
      <c r="H10" s="21"/>
      <c r="I10" s="22" t="str">
        <f>dilutions_calculations_sheet!V10</f>
        <v>elution volume not recorded</v>
      </c>
    </row>
    <row r="11" spans="1:9" x14ac:dyDescent="0.2">
      <c r="A11" s="16" t="str">
        <f>dilutions_calculations_sheet!A11</f>
        <v>TMP_C_POOL_20221128_20221201</v>
      </c>
      <c r="B11" s="17">
        <f>dilutions_calculations_sheet!L11</f>
        <v>1</v>
      </c>
      <c r="C11" s="18">
        <f>dilutions_calculations_sheet!M11</f>
        <v>152.93276223018165</v>
      </c>
      <c r="D11" s="18">
        <f>dilutions_calculations_sheet!N11</f>
        <v>847.06723776981835</v>
      </c>
      <c r="E11" s="19">
        <f t="shared" si="1"/>
        <v>0.12112274768630386</v>
      </c>
      <c r="F11" s="20">
        <f t="shared" si="2"/>
        <v>0.67087725231369622</v>
      </c>
      <c r="G11" s="21"/>
      <c r="H11" s="21"/>
      <c r="I11" s="22">
        <f>dilutions_calculations_sheet!V11</f>
        <v>0</v>
      </c>
    </row>
    <row r="12" spans="1:9" x14ac:dyDescent="0.2">
      <c r="A12" s="16" t="str">
        <f>dilutions_calculations_sheet!A12</f>
        <v>TMP_C_POOL_20230417</v>
      </c>
      <c r="B12" s="17">
        <f>dilutions_calculations_sheet!L12</f>
        <v>1</v>
      </c>
      <c r="C12" s="18">
        <f>dilutions_calculations_sheet!M12</f>
        <v>146.60623459001962</v>
      </c>
      <c r="D12" s="18">
        <f>dilutions_calculations_sheet!N12</f>
        <v>853.39376540998035</v>
      </c>
      <c r="E12" s="19">
        <f t="shared" si="1"/>
        <v>0.11611213779529556</v>
      </c>
      <c r="F12" s="20">
        <f t="shared" si="2"/>
        <v>0.67588786220470443</v>
      </c>
      <c r="G12" s="21"/>
      <c r="H12" s="21"/>
      <c r="I12" s="22" t="str">
        <f>dilutions_calculations_sheet!V12</f>
        <v>using estimated sample weight; missing post-spe bottle weight (and therefore actual mass SPE'd)</v>
      </c>
    </row>
    <row r="13" spans="1:9" x14ac:dyDescent="0.2">
      <c r="A13" s="16" t="str">
        <f>dilutions_calculations_sheet!A13</f>
        <v>TMP_C_POOL_20230515</v>
      </c>
      <c r="B13" s="17">
        <f>dilutions_calculations_sheet!L13</f>
        <v>1</v>
      </c>
      <c r="C13" s="18">
        <f>dilutions_calculations_sheet!M13</f>
        <v>350.41161604934359</v>
      </c>
      <c r="D13" s="18">
        <f>dilutions_calculations_sheet!N13</f>
        <v>649.58838395065641</v>
      </c>
      <c r="E13" s="19">
        <f t="shared" si="1"/>
        <v>0.27752599991108012</v>
      </c>
      <c r="F13" s="20">
        <f t="shared" si="2"/>
        <v>0.51447400008891986</v>
      </c>
      <c r="G13" s="21"/>
      <c r="H13" s="21"/>
      <c r="I13" s="22">
        <f>dilutions_calculations_sheet!V13</f>
        <v>0</v>
      </c>
    </row>
    <row r="14" spans="1:9" x14ac:dyDescent="0.2">
      <c r="A14" s="16" t="str">
        <f>dilutions_calculations_sheet!A14</f>
        <v>TMP_FW_POOL_20220523</v>
      </c>
      <c r="B14" s="17">
        <f>dilutions_calculations_sheet!L14</f>
        <v>1</v>
      </c>
      <c r="C14" s="18">
        <f>dilutions_calculations_sheet!M14</f>
        <v>809.69852704678374</v>
      </c>
      <c r="D14" s="18">
        <f>dilutions_calculations_sheet!N14</f>
        <v>190.30147295321626</v>
      </c>
      <c r="E14" s="19">
        <f t="shared" si="1"/>
        <v>0.64128123342105281</v>
      </c>
      <c r="F14" s="20">
        <f t="shared" si="2"/>
        <v>0.15071876657894728</v>
      </c>
      <c r="G14" s="21"/>
      <c r="H14" s="21"/>
      <c r="I14" s="22">
        <f>dilutions_calculations_sheet!V14</f>
        <v>0</v>
      </c>
    </row>
    <row r="15" spans="1:9" x14ac:dyDescent="0.2">
      <c r="A15" s="16" t="str">
        <f>dilutions_calculations_sheet!A15</f>
        <v>TMP_FW_POOL_PreW(T0)</v>
      </c>
      <c r="B15" s="17">
        <f>dilutions_calculations_sheet!L15</f>
        <v>1</v>
      </c>
      <c r="C15" s="18">
        <f>dilutions_calculations_sheet!M15</f>
        <v>675.52377846564684</v>
      </c>
      <c r="D15" s="18">
        <f>dilutions_calculations_sheet!N15</f>
        <v>324.47622153435316</v>
      </c>
      <c r="E15" s="19">
        <f t="shared" si="1"/>
        <v>0.53501483254479232</v>
      </c>
      <c r="F15" s="20">
        <f t="shared" si="2"/>
        <v>0.25698516745520772</v>
      </c>
      <c r="G15" s="21"/>
      <c r="H15" s="21"/>
      <c r="I15" s="22">
        <f>dilutions_calculations_sheet!V15</f>
        <v>0</v>
      </c>
    </row>
    <row r="16" spans="1:9" x14ac:dyDescent="0.2">
      <c r="A16" s="16" t="str">
        <f>dilutions_calculations_sheet!A16</f>
        <v>TMP_FW_POOL_T1</v>
      </c>
      <c r="B16" s="17">
        <f>dilutions_calculations_sheet!L16</f>
        <v>1</v>
      </c>
      <c r="C16" s="18">
        <f>dilutions_calculations_sheet!M16</f>
        <v>548.65901283432356</v>
      </c>
      <c r="D16" s="18">
        <f>dilutions_calculations_sheet!N16</f>
        <v>451.34098716567644</v>
      </c>
      <c r="E16" s="19">
        <f t="shared" si="1"/>
        <v>0.43453793816478431</v>
      </c>
      <c r="F16" s="20">
        <f t="shared" si="2"/>
        <v>0.35746206183521578</v>
      </c>
      <c r="G16" s="21"/>
      <c r="H16" s="21"/>
      <c r="I16" s="22">
        <f>dilutions_calculations_sheet!V16</f>
        <v>0</v>
      </c>
    </row>
    <row r="17" spans="1:9" x14ac:dyDescent="0.2">
      <c r="A17" s="16" t="str">
        <f>dilutions_calculations_sheet!A17</f>
        <v>TMP_FW_POOL_20220613</v>
      </c>
      <c r="B17" s="17">
        <f>dilutions_calculations_sheet!L17</f>
        <v>1</v>
      </c>
      <c r="C17" s="18">
        <f>dilutions_calculations_sheet!M17</f>
        <v>89.888666657699119</v>
      </c>
      <c r="D17" s="18">
        <f>dilutions_calculations_sheet!N17</f>
        <v>910.1113333423009</v>
      </c>
      <c r="E17" s="19">
        <f t="shared" si="1"/>
        <v>7.119182399289771E-2</v>
      </c>
      <c r="F17" s="20">
        <f t="shared" si="2"/>
        <v>0.72080817600710234</v>
      </c>
      <c r="G17" s="21"/>
      <c r="H17" s="21"/>
      <c r="I17" s="22">
        <f>dilutions_calculations_sheet!V17</f>
        <v>0</v>
      </c>
    </row>
    <row r="18" spans="1:9" x14ac:dyDescent="0.2">
      <c r="A18" s="16" t="str">
        <f>dilutions_calculations_sheet!A18</f>
        <v>TMP_FW_POOL_20220615</v>
      </c>
      <c r="B18" s="17">
        <f>dilutions_calculations_sheet!L18</f>
        <v>1</v>
      </c>
      <c r="C18" s="18">
        <f>dilutions_calculations_sheet!M18</f>
        <v>1276.1508499585943</v>
      </c>
      <c r="D18" s="18">
        <f>dilutions_calculations_sheet!N18</f>
        <v>-276.15084995859434</v>
      </c>
      <c r="E18" s="19">
        <f t="shared" si="1"/>
        <v>1.0107114731672069</v>
      </c>
      <c r="F18" s="20">
        <f t="shared" si="2"/>
        <v>-0.21871147316720671</v>
      </c>
      <c r="G18" s="21"/>
      <c r="H18" s="21"/>
      <c r="I18" s="22">
        <f>dilutions_calculations_sheet!V18</f>
        <v>0</v>
      </c>
    </row>
    <row r="19" spans="1:9" x14ac:dyDescent="0.2">
      <c r="A19" s="16" t="str">
        <f>dilutions_calculations_sheet!A19</f>
        <v>TMP_FW_POOL_20220613_20220615</v>
      </c>
      <c r="B19" s="17">
        <f>dilutions_calculations_sheet!L19</f>
        <v>1</v>
      </c>
      <c r="C19" s="18">
        <f>dilutions_calculations_sheet!M19/2</f>
        <v>97.210555682127833</v>
      </c>
      <c r="D19" s="18">
        <f>dilutions_calculations_sheet!N19</f>
        <v>805.57888863574431</v>
      </c>
      <c r="E19" s="19">
        <f t="shared" si="1"/>
        <v>7.6990760100245248E-2</v>
      </c>
      <c r="F19" s="20">
        <f t="shared" si="2"/>
        <v>0.63801847979950943</v>
      </c>
      <c r="G19" s="21"/>
      <c r="H19" s="21"/>
      <c r="I19" s="53" t="s">
        <v>100</v>
      </c>
    </row>
    <row r="20" spans="1:9" x14ac:dyDescent="0.2">
      <c r="A20" s="16" t="str">
        <f>dilutions_calculations_sheet!A20</f>
        <v>TMP_FW_POOL_20220718</v>
      </c>
      <c r="B20" s="17">
        <f>dilutions_calculations_sheet!L20</f>
        <v>1</v>
      </c>
      <c r="C20" s="18">
        <f>dilutions_calculations_sheet!M20</f>
        <v>507.73024698028888</v>
      </c>
      <c r="D20" s="18">
        <f>dilutions_calculations_sheet!N20</f>
        <v>492.26975301971112</v>
      </c>
      <c r="E20" s="19">
        <f t="shared" si="1"/>
        <v>0.40212235560838883</v>
      </c>
      <c r="F20" s="20">
        <f t="shared" si="2"/>
        <v>0.38987764439161121</v>
      </c>
      <c r="G20" s="21"/>
      <c r="H20" s="21"/>
      <c r="I20" s="22">
        <f>dilutions_calculations_sheet!V20</f>
        <v>0</v>
      </c>
    </row>
    <row r="21" spans="1:9" x14ac:dyDescent="0.2">
      <c r="A21" s="16" t="str">
        <f>dilutions_calculations_sheet!A21</f>
        <v>TMP_FW_POOL_20220721</v>
      </c>
      <c r="B21" s="17">
        <f>dilutions_calculations_sheet!L21</f>
        <v>1</v>
      </c>
      <c r="C21" s="18">
        <f>dilutions_calculations_sheet!M21</f>
        <v>1639.8139327638978</v>
      </c>
      <c r="D21" s="18">
        <f>dilutions_calculations_sheet!N21</f>
        <v>-639.81393276389781</v>
      </c>
      <c r="E21" s="19">
        <f t="shared" si="1"/>
        <v>1.2987326347490071</v>
      </c>
      <c r="F21" s="20">
        <f t="shared" si="2"/>
        <v>-0.50673263474900709</v>
      </c>
      <c r="G21" s="21"/>
      <c r="H21" s="21"/>
      <c r="I21" s="22">
        <f>dilutions_calculations_sheet!V21</f>
        <v>0</v>
      </c>
    </row>
    <row r="22" spans="1:9" x14ac:dyDescent="0.2">
      <c r="A22" s="16" t="str">
        <f>dilutions_calculations_sheet!A22</f>
        <v>TMP_FW_POOL_20220718_20220721</v>
      </c>
      <c r="B22" s="17">
        <f>dilutions_calculations_sheet!L22</f>
        <v>1</v>
      </c>
      <c r="C22" s="18">
        <f>dilutions_calculations_sheet!M22/2</f>
        <v>394.54917087802716</v>
      </c>
      <c r="D22" s="18">
        <f>dilutions_calculations_sheet!N22</f>
        <v>210.90165824394569</v>
      </c>
      <c r="E22" s="19">
        <f t="shared" si="1"/>
        <v>0.3124829433353975</v>
      </c>
      <c r="F22" s="20">
        <f t="shared" si="2"/>
        <v>0.16703411332920498</v>
      </c>
      <c r="G22" s="21"/>
      <c r="H22" s="21"/>
      <c r="I22" s="53" t="s">
        <v>100</v>
      </c>
    </row>
    <row r="23" spans="1:9" x14ac:dyDescent="0.2">
      <c r="A23" s="16" t="str">
        <f>dilutions_calculations_sheet!A23</f>
        <v>TMP_FW_POOL_20220808</v>
      </c>
      <c r="B23" s="17">
        <f>dilutions_calculations_sheet!L23</f>
        <v>1</v>
      </c>
      <c r="C23" s="18">
        <f>dilutions_calculations_sheet!M23</f>
        <v>204.16796653605363</v>
      </c>
      <c r="D23" s="18">
        <f>dilutions_calculations_sheet!N23</f>
        <v>795.83203346394635</v>
      </c>
      <c r="E23" s="19">
        <f t="shared" si="1"/>
        <v>0.16170102949655446</v>
      </c>
      <c r="F23" s="20">
        <f t="shared" si="2"/>
        <v>0.63029897050344552</v>
      </c>
      <c r="G23" s="21"/>
      <c r="H23" s="21"/>
      <c r="I23" s="22" t="str">
        <f>dilutions_calculations_sheet!V23</f>
        <v>elution volume not recorded</v>
      </c>
    </row>
    <row r="24" spans="1:9" x14ac:dyDescent="0.2">
      <c r="A24" s="16" t="str">
        <f>dilutions_calculations_sheet!A24</f>
        <v>TMP_FW_POOL_20221128_20221201</v>
      </c>
      <c r="B24" s="17">
        <f>dilutions_calculations_sheet!L24</f>
        <v>1</v>
      </c>
      <c r="C24" s="18">
        <f>dilutions_calculations_sheet!M24</f>
        <v>206.49185053045468</v>
      </c>
      <c r="D24" s="18">
        <f>dilutions_calculations_sheet!N24</f>
        <v>793.50814946954529</v>
      </c>
      <c r="E24" s="19">
        <f t="shared" si="1"/>
        <v>0.1635415456201201</v>
      </c>
      <c r="F24" s="20">
        <f t="shared" si="2"/>
        <v>0.62845845437987991</v>
      </c>
      <c r="G24" s="21"/>
      <c r="H24" s="21"/>
      <c r="I24" s="22">
        <f>dilutions_calculations_sheet!V24</f>
        <v>0</v>
      </c>
    </row>
    <row r="25" spans="1:9" x14ac:dyDescent="0.2">
      <c r="A25" s="16" t="str">
        <f>dilutions_calculations_sheet!A25</f>
        <v>TMP_FW_POOL_20230417</v>
      </c>
      <c r="B25" s="17">
        <f>dilutions_calculations_sheet!L25</f>
        <v>1</v>
      </c>
      <c r="C25" s="18">
        <f>dilutions_calculations_sheet!M25</f>
        <v>194.29494874920849</v>
      </c>
      <c r="D25" s="18">
        <f>dilutions_calculations_sheet!N25</f>
        <v>805.70505125079148</v>
      </c>
      <c r="E25" s="19">
        <f t="shared" si="1"/>
        <v>0.15388159940937313</v>
      </c>
      <c r="F25" s="20">
        <f t="shared" si="2"/>
        <v>0.63811840059062686</v>
      </c>
      <c r="G25" s="21"/>
      <c r="H25" s="21"/>
      <c r="I25" s="22" t="str">
        <f>dilutions_calculations_sheet!V25</f>
        <v>using estimated sample weight; missing post-spe bottle weight (and therefore actual mass SPE'd)</v>
      </c>
    </row>
    <row r="26" spans="1:9" x14ac:dyDescent="0.2">
      <c r="A26" s="16" t="str">
        <f>dilutions_calculations_sheet!A26</f>
        <v>TMP_FW_POOL_20230515</v>
      </c>
      <c r="B26" s="17">
        <f>dilutions_calculations_sheet!L26</f>
        <v>1</v>
      </c>
      <c r="C26" s="18">
        <f>dilutions_calculations_sheet!M26</f>
        <v>124.16460158733699</v>
      </c>
      <c r="D26" s="18">
        <f>dilutions_calculations_sheet!N26</f>
        <v>875.83539841266304</v>
      </c>
      <c r="E26" s="19">
        <f t="shared" si="1"/>
        <v>9.8338364457170896E-2</v>
      </c>
      <c r="F26" s="20">
        <f t="shared" si="2"/>
        <v>0.69366163554282911</v>
      </c>
      <c r="G26" s="21"/>
      <c r="H26" s="21"/>
      <c r="I26" s="22">
        <f>dilutions_calculations_sheet!V26</f>
        <v>0</v>
      </c>
    </row>
    <row r="27" spans="1:9" x14ac:dyDescent="0.2">
      <c r="A27" s="16"/>
      <c r="B27" s="17"/>
      <c r="C27" s="18"/>
      <c r="D27" s="18"/>
      <c r="E27" s="19"/>
      <c r="F27" s="20"/>
      <c r="G27" s="21"/>
      <c r="H27" s="21"/>
      <c r="I27" s="22"/>
    </row>
    <row r="28" spans="1:9" x14ac:dyDescent="0.2">
      <c r="A28" s="16"/>
      <c r="B28" s="17"/>
      <c r="C28" s="18"/>
      <c r="D28" s="18"/>
      <c r="E28" s="19"/>
      <c r="F28" s="20"/>
      <c r="G28" s="21"/>
      <c r="H28" s="21"/>
      <c r="I28" s="22"/>
    </row>
    <row r="29" spans="1:9" ht="91" thickBot="1" x14ac:dyDescent="0.25">
      <c r="A29" s="26" t="s">
        <v>0</v>
      </c>
      <c r="B29" s="23" t="s">
        <v>11</v>
      </c>
      <c r="C29" s="23" t="s">
        <v>12</v>
      </c>
      <c r="D29" s="23" t="s">
        <v>13</v>
      </c>
      <c r="E29" s="23" t="s">
        <v>14</v>
      </c>
      <c r="F29" s="23" t="s">
        <v>15</v>
      </c>
      <c r="G29" s="24" t="s">
        <v>16</v>
      </c>
      <c r="H29" s="24" t="s">
        <v>17</v>
      </c>
      <c r="I29" s="23" t="s">
        <v>21</v>
      </c>
    </row>
    <row r="30" spans="1:9" x14ac:dyDescent="0.2">
      <c r="A30" s="16" t="str">
        <f>dilutions_calculations_sheet!A27</f>
        <v>TMP_SW_POOL_20220523</v>
      </c>
      <c r="B30" s="17">
        <f>dilutions_calculations_sheet!L27</f>
        <v>1</v>
      </c>
      <c r="C30" s="18">
        <f>dilutions_calculations_sheet!M27</f>
        <v>524.02609222859223</v>
      </c>
      <c r="D30" s="18">
        <f>dilutions_calculations_sheet!N27</f>
        <v>475.97390777140777</v>
      </c>
      <c r="E30" s="19">
        <f t="shared" ref="E30" si="3">C30*0.792/1000</f>
        <v>0.41502866504504504</v>
      </c>
      <c r="F30" s="20">
        <f t="shared" ref="F30" si="4">D30*0.792/1000</f>
        <v>0.37697133495495494</v>
      </c>
      <c r="G30" s="21"/>
      <c r="H30" s="21"/>
      <c r="I30" s="22">
        <f>dilutions_calculations_sheet!V27</f>
        <v>0</v>
      </c>
    </row>
    <row r="31" spans="1:9" x14ac:dyDescent="0.2">
      <c r="A31" s="16" t="str">
        <f>dilutions_calculations_sheet!A28</f>
        <v>TMP_SW_POOL_T1</v>
      </c>
      <c r="B31" s="17">
        <f>dilutions_calculations_sheet!L28</f>
        <v>1</v>
      </c>
      <c r="C31" s="18">
        <f>dilutions_calculations_sheet!M28</f>
        <v>571.18537678118139</v>
      </c>
      <c r="D31" s="18">
        <f>dilutions_calculations_sheet!N28</f>
        <v>428.81462321881861</v>
      </c>
      <c r="E31" s="19">
        <f t="shared" ref="E31:E43" si="5">C31*0.792/1000</f>
        <v>0.45237881841069566</v>
      </c>
      <c r="F31" s="20">
        <f t="shared" ref="F31:F43" si="6">D31*0.792/1000</f>
        <v>0.33962118158930432</v>
      </c>
      <c r="G31" s="21"/>
      <c r="H31" s="21"/>
      <c r="I31" s="22">
        <f>dilutions_calculations_sheet!V28</f>
        <v>0</v>
      </c>
    </row>
    <row r="32" spans="1:9" x14ac:dyDescent="0.2">
      <c r="A32" s="16" t="str">
        <f>dilutions_calculations_sheet!A29</f>
        <v>TMP_SW_POOL_20220613</v>
      </c>
      <c r="B32" s="17">
        <f>dilutions_calculations_sheet!L29</f>
        <v>1</v>
      </c>
      <c r="C32" s="18">
        <f>dilutions_calculations_sheet!M29</f>
        <v>98.55077478583155</v>
      </c>
      <c r="D32" s="18">
        <f>dilutions_calculations_sheet!N29</f>
        <v>901.44922521416845</v>
      </c>
      <c r="E32" s="19">
        <f t="shared" si="5"/>
        <v>7.8052213630378592E-2</v>
      </c>
      <c r="F32" s="20">
        <f t="shared" si="6"/>
        <v>0.71394778636962142</v>
      </c>
      <c r="G32" s="21"/>
      <c r="H32" s="21"/>
      <c r="I32" s="22">
        <f>dilutions_calculations_sheet!V29</f>
        <v>0</v>
      </c>
    </row>
    <row r="33" spans="1:9" x14ac:dyDescent="0.2">
      <c r="A33" s="16" t="str">
        <f>dilutions_calculations_sheet!A30</f>
        <v>TMP_SW_POOL_20220615</v>
      </c>
      <c r="B33" s="17">
        <f>dilutions_calculations_sheet!L30</f>
        <v>1</v>
      </c>
      <c r="C33" s="18">
        <f>dilutions_calculations_sheet!M30</f>
        <v>801.1727976106846</v>
      </c>
      <c r="D33" s="18">
        <f>dilutions_calculations_sheet!N30</f>
        <v>198.8272023893154</v>
      </c>
      <c r="E33" s="19">
        <f t="shared" si="5"/>
        <v>0.63452885570766226</v>
      </c>
      <c r="F33" s="20">
        <f t="shared" si="6"/>
        <v>0.1574711442923378</v>
      </c>
      <c r="G33" s="21"/>
      <c r="H33" s="21"/>
      <c r="I33" s="22">
        <f>dilutions_calculations_sheet!V30</f>
        <v>0</v>
      </c>
    </row>
    <row r="34" spans="1:9" x14ac:dyDescent="0.2">
      <c r="A34" s="16" t="str">
        <f>dilutions_calculations_sheet!A31</f>
        <v>TMP_SW_POOL_20220613_20220615</v>
      </c>
      <c r="B34" s="17">
        <f>dilutions_calculations_sheet!L31</f>
        <v>1</v>
      </c>
      <c r="C34" s="18">
        <f>dilutions_calculations_sheet!M31/2</f>
        <v>94.717243745811203</v>
      </c>
      <c r="D34" s="18">
        <f>dilutions_calculations_sheet!N31</f>
        <v>810.56551250837765</v>
      </c>
      <c r="E34" s="19">
        <f t="shared" si="5"/>
        <v>7.5016057046682474E-2</v>
      </c>
      <c r="F34" s="20">
        <f t="shared" si="6"/>
        <v>0.64196788590663512</v>
      </c>
      <c r="G34" s="21"/>
      <c r="H34" s="21"/>
      <c r="I34" s="53" t="s">
        <v>100</v>
      </c>
    </row>
    <row r="35" spans="1:9" x14ac:dyDescent="0.2">
      <c r="A35" s="16" t="str">
        <f>dilutions_calculations_sheet!A32</f>
        <v>TMP_SW_POOL_20220718</v>
      </c>
      <c r="B35" s="17">
        <f>dilutions_calculations_sheet!L32</f>
        <v>1</v>
      </c>
      <c r="C35" s="18">
        <f>dilutions_calculations_sheet!M32</f>
        <v>521.58642989343127</v>
      </c>
      <c r="D35" s="18">
        <f>dilutions_calculations_sheet!N32</f>
        <v>478.41357010656873</v>
      </c>
      <c r="E35" s="19">
        <f t="shared" si="5"/>
        <v>0.41309645247559756</v>
      </c>
      <c r="F35" s="20">
        <f t="shared" si="6"/>
        <v>0.37890354752440242</v>
      </c>
      <c r="G35" s="21"/>
      <c r="H35" s="21"/>
      <c r="I35" s="22">
        <f>dilutions_calculations_sheet!V32</f>
        <v>0</v>
      </c>
    </row>
    <row r="36" spans="1:9" x14ac:dyDescent="0.2">
      <c r="A36" s="16" t="str">
        <f>dilutions_calculations_sheet!A33</f>
        <v>TMP_SW_POOL_20220721</v>
      </c>
      <c r="B36" s="17">
        <f>dilutions_calculations_sheet!L33</f>
        <v>1</v>
      </c>
      <c r="C36" s="18">
        <f>dilutions_calculations_sheet!M33</f>
        <v>493.68870983479189</v>
      </c>
      <c r="D36" s="18">
        <f>dilutions_calculations_sheet!N33</f>
        <v>506.31129016520811</v>
      </c>
      <c r="E36" s="19">
        <f t="shared" si="5"/>
        <v>0.39100145818915516</v>
      </c>
      <c r="F36" s="20">
        <f t="shared" si="6"/>
        <v>0.40099854181084482</v>
      </c>
      <c r="G36" s="21"/>
      <c r="H36" s="21"/>
      <c r="I36" s="22">
        <f>dilutions_calculations_sheet!V33</f>
        <v>0</v>
      </c>
    </row>
    <row r="37" spans="1:9" x14ac:dyDescent="0.2">
      <c r="A37" s="16" t="str">
        <f>dilutions_calculations_sheet!A34</f>
        <v>TMP_SW_POOL_20220718_20220721</v>
      </c>
      <c r="B37" s="17">
        <f>dilutions_calculations_sheet!L34</f>
        <v>1</v>
      </c>
      <c r="C37" s="18">
        <f>dilutions_calculations_sheet!M34/2</f>
        <v>250.73615144453154</v>
      </c>
      <c r="D37" s="18">
        <f>dilutions_calculations_sheet!N34</f>
        <v>498.52769711093691</v>
      </c>
      <c r="E37" s="19">
        <f t="shared" si="5"/>
        <v>0.19858303194406898</v>
      </c>
      <c r="F37" s="20">
        <f t="shared" si="6"/>
        <v>0.39483393611186207</v>
      </c>
      <c r="G37" s="21"/>
      <c r="H37" s="21"/>
      <c r="I37" s="53" t="s">
        <v>100</v>
      </c>
    </row>
    <row r="38" spans="1:9" x14ac:dyDescent="0.2">
      <c r="A38" s="16" t="str">
        <f>dilutions_calculations_sheet!A35</f>
        <v>TMP_SW_POOL_20220808</v>
      </c>
      <c r="B38" s="17">
        <f>dilutions_calculations_sheet!L35</f>
        <v>1</v>
      </c>
      <c r="C38" s="18">
        <f>dilutions_calculations_sheet!M35</f>
        <v>91.2500741863103</v>
      </c>
      <c r="D38" s="18">
        <f>dilutions_calculations_sheet!N35</f>
        <v>908.74992581368974</v>
      </c>
      <c r="E38" s="19">
        <f t="shared" si="5"/>
        <v>7.2270058755557753E-2</v>
      </c>
      <c r="F38" s="20">
        <f t="shared" si="6"/>
        <v>0.71972994124444234</v>
      </c>
      <c r="G38" s="21"/>
      <c r="H38" s="21"/>
      <c r="I38" s="22" t="str">
        <f>dilutions_calculations_sheet!V35</f>
        <v>elution volume not recorded</v>
      </c>
    </row>
    <row r="39" spans="1:9" x14ac:dyDescent="0.2">
      <c r="A39" s="16" t="str">
        <f>dilutions_calculations_sheet!A36</f>
        <v>TMP_SW_POOL_20221128_20221201</v>
      </c>
      <c r="B39" s="17">
        <f>dilutions_calculations_sheet!L36</f>
        <v>1</v>
      </c>
      <c r="C39" s="18">
        <f>dilutions_calculations_sheet!M36</f>
        <v>59.898261752030571</v>
      </c>
      <c r="D39" s="18">
        <f>dilutions_calculations_sheet!N36</f>
        <v>940.10173824796948</v>
      </c>
      <c r="E39" s="19">
        <f t="shared" si="5"/>
        <v>4.7439423307608218E-2</v>
      </c>
      <c r="F39" s="20">
        <f t="shared" si="6"/>
        <v>0.74456057669239195</v>
      </c>
      <c r="G39" s="21"/>
      <c r="H39" s="21"/>
      <c r="I39" s="22">
        <f>dilutions_calculations_sheet!V36</f>
        <v>0</v>
      </c>
    </row>
    <row r="40" spans="1:9" x14ac:dyDescent="0.2">
      <c r="A40" s="16" t="str">
        <f>dilutions_calculations_sheet!A37</f>
        <v>TMP_SW_POOL_20230417</v>
      </c>
      <c r="B40" s="17">
        <f>dilutions_calculations_sheet!L37</f>
        <v>1</v>
      </c>
      <c r="C40" s="18">
        <f>dilutions_calculations_sheet!M37</f>
        <v>97.429178468960814</v>
      </c>
      <c r="D40" s="18">
        <f>dilutions_calculations_sheet!N37</f>
        <v>902.5708215310392</v>
      </c>
      <c r="E40" s="19">
        <f t="shared" si="5"/>
        <v>7.7163909347416959E-2</v>
      </c>
      <c r="F40" s="20">
        <f t="shared" si="6"/>
        <v>0.71483609065258302</v>
      </c>
      <c r="G40" s="21"/>
      <c r="H40" s="21"/>
      <c r="I40" s="22" t="str">
        <f>dilutions_calculations_sheet!V37</f>
        <v>using estimated sample weight; missing post-spe bottle weight (and therefore actual mass SPE'd)</v>
      </c>
    </row>
    <row r="41" spans="1:9" x14ac:dyDescent="0.2">
      <c r="A41" s="16" t="str">
        <f>dilutions_calculations_sheet!A38</f>
        <v>TMP_SW_POOL_20230515</v>
      </c>
      <c r="B41" s="17">
        <f>dilutions_calculations_sheet!L38</f>
        <v>1</v>
      </c>
      <c r="C41" s="18">
        <f>dilutions_calculations_sheet!M38</f>
        <v>104.74220327027236</v>
      </c>
      <c r="D41" s="18">
        <f>dilutions_calculations_sheet!N38</f>
        <v>895.2577967297276</v>
      </c>
      <c r="E41" s="19">
        <f t="shared" si="5"/>
        <v>8.2955824990055702E-2</v>
      </c>
      <c r="F41" s="20">
        <f t="shared" si="6"/>
        <v>0.70904417500994432</v>
      </c>
      <c r="G41" s="21"/>
      <c r="H41" s="21"/>
      <c r="I41" s="22">
        <f>dilutions_calculations_sheet!V38</f>
        <v>0</v>
      </c>
    </row>
    <row r="42" spans="1:9" x14ac:dyDescent="0.2">
      <c r="A42" s="16" t="str">
        <f>dilutions_calculations_sheet!A39</f>
        <v>TMP_SW_SOURCE_HR5</v>
      </c>
      <c r="B42" s="17">
        <f>dilutions_calculations_sheet!L39</f>
        <v>1</v>
      </c>
      <c r="C42" s="18">
        <f>dilutions_calculations_sheet!M39</f>
        <v>153.82137677207996</v>
      </c>
      <c r="D42" s="18">
        <f>dilutions_calculations_sheet!N39</f>
        <v>846.17862322792007</v>
      </c>
      <c r="E42" s="19">
        <f t="shared" si="5"/>
        <v>0.12182653040348734</v>
      </c>
      <c r="F42" s="20">
        <f t="shared" si="6"/>
        <v>0.67017346959651269</v>
      </c>
      <c r="G42" s="21"/>
      <c r="H42" s="21"/>
      <c r="I42" s="22" t="str">
        <f>dilutions_calculations_sheet!V39</f>
        <v>elution volume not recorded</v>
      </c>
    </row>
    <row r="43" spans="1:9" x14ac:dyDescent="0.2">
      <c r="A43" s="16" t="str">
        <f>dilutions_calculations_sheet!A40</f>
        <v>TMP_SPE_BLANK_1</v>
      </c>
      <c r="B43" s="17">
        <v>1</v>
      </c>
      <c r="C43" s="18">
        <v>1000</v>
      </c>
      <c r="D43" s="18">
        <f>dilutions_calculations_sheet!N40</f>
        <v>0</v>
      </c>
      <c r="E43" s="19">
        <f t="shared" si="5"/>
        <v>0.79200000000000004</v>
      </c>
      <c r="F43" s="20">
        <f t="shared" si="6"/>
        <v>0</v>
      </c>
      <c r="G43" s="21"/>
      <c r="H43" s="21"/>
      <c r="I43" s="22">
        <f>dilutions_calculations_sheet!V40</f>
        <v>0</v>
      </c>
    </row>
    <row r="44" spans="1:9" x14ac:dyDescent="0.2">
      <c r="A44" s="16"/>
      <c r="B44" s="17"/>
      <c r="C44" s="18"/>
      <c r="D44" s="18"/>
      <c r="E44" s="19"/>
      <c r="F44" s="20"/>
      <c r="G44" s="21"/>
      <c r="H44" s="21"/>
      <c r="I44" s="22"/>
    </row>
    <row r="45" spans="1:9" x14ac:dyDescent="0.2">
      <c r="A45" s="16"/>
      <c r="B45" s="17"/>
      <c r="C45" s="18"/>
      <c r="D45" s="18"/>
      <c r="E45" s="19"/>
      <c r="F45" s="20"/>
      <c r="G45" s="21"/>
      <c r="H45" s="21"/>
      <c r="I45" s="22"/>
    </row>
    <row r="46" spans="1:9" x14ac:dyDescent="0.2">
      <c r="A46" s="16"/>
      <c r="B46" s="17"/>
      <c r="C46" s="18"/>
      <c r="D46" s="18"/>
      <c r="E46" s="19"/>
      <c r="F46" s="20"/>
      <c r="G46" s="21"/>
      <c r="H46" s="21"/>
      <c r="I46" s="22"/>
    </row>
    <row r="47" spans="1:9" x14ac:dyDescent="0.2">
      <c r="A47" s="16"/>
      <c r="B47" s="17"/>
      <c r="C47" s="18"/>
      <c r="D47" s="18"/>
      <c r="E47" s="19"/>
      <c r="F47" s="20"/>
      <c r="G47" s="21"/>
      <c r="H47" s="21"/>
      <c r="I47" s="22"/>
    </row>
    <row r="48" spans="1:9" x14ac:dyDescent="0.2">
      <c r="A48" s="16"/>
      <c r="B48" s="17"/>
      <c r="C48" s="18"/>
      <c r="D48" s="18"/>
      <c r="E48" s="19"/>
      <c r="F48" s="20"/>
      <c r="G48" s="21"/>
      <c r="H48" s="21"/>
      <c r="I48" s="22"/>
    </row>
    <row r="49" spans="1:9" x14ac:dyDescent="0.2">
      <c r="A49" s="16"/>
      <c r="B49" s="17"/>
      <c r="C49" s="18"/>
      <c r="D49" s="18"/>
      <c r="E49" s="19"/>
      <c r="F49" s="20"/>
      <c r="G49" s="21"/>
      <c r="H49" s="21"/>
      <c r="I49" s="22"/>
    </row>
    <row r="50" spans="1:9" x14ac:dyDescent="0.2">
      <c r="A50" s="16"/>
      <c r="B50" s="17"/>
      <c r="C50" s="18"/>
      <c r="D50" s="18"/>
      <c r="E50" s="19"/>
      <c r="F50" s="20"/>
      <c r="G50" s="21"/>
      <c r="H50" s="21"/>
      <c r="I50" s="22"/>
    </row>
    <row r="51" spans="1:9" x14ac:dyDescent="0.2">
      <c r="A51" s="16"/>
      <c r="B51" s="17"/>
      <c r="C51" s="18"/>
      <c r="D51" s="18"/>
      <c r="E51" s="19"/>
      <c r="F51" s="20"/>
      <c r="G51" s="21"/>
      <c r="H51" s="21"/>
      <c r="I51" s="22"/>
    </row>
    <row r="52" spans="1:9" x14ac:dyDescent="0.2">
      <c r="A52" s="16"/>
      <c r="B52" s="17"/>
      <c r="C52" s="18"/>
      <c r="D52" s="18"/>
      <c r="E52" s="19"/>
      <c r="F52" s="20"/>
      <c r="G52" s="21"/>
      <c r="H52" s="21"/>
      <c r="I52" s="22"/>
    </row>
    <row r="53" spans="1:9" x14ac:dyDescent="0.2">
      <c r="A53" s="16"/>
      <c r="B53" s="17"/>
      <c r="C53" s="18"/>
      <c r="D53" s="18"/>
      <c r="E53" s="19"/>
      <c r="F53" s="20"/>
      <c r="G53" s="21"/>
      <c r="H53" s="21"/>
      <c r="I53" s="22"/>
    </row>
    <row r="54" spans="1:9" x14ac:dyDescent="0.2">
      <c r="A54" s="16"/>
      <c r="B54" s="17"/>
      <c r="C54" s="18"/>
      <c r="D54" s="18"/>
      <c r="E54" s="19"/>
      <c r="F54" s="20"/>
      <c r="G54" s="21"/>
      <c r="H54" s="21"/>
      <c r="I54" s="22"/>
    </row>
    <row r="55" spans="1:9" x14ac:dyDescent="0.2">
      <c r="A55" s="16"/>
      <c r="B55" s="17"/>
      <c r="C55" s="18"/>
      <c r="D55" s="18"/>
      <c r="E55" s="19"/>
      <c r="F55" s="20"/>
      <c r="G55" s="21"/>
      <c r="H55" s="21"/>
      <c r="I55" s="22"/>
    </row>
    <row r="56" spans="1:9" x14ac:dyDescent="0.2">
      <c r="A56" s="16"/>
      <c r="B56" s="17"/>
      <c r="C56" s="18"/>
      <c r="D56" s="18"/>
      <c r="E56" s="19"/>
      <c r="F56" s="20"/>
      <c r="G56" s="21"/>
      <c r="H56" s="21"/>
      <c r="I56" s="22"/>
    </row>
    <row r="57" spans="1:9" ht="91" thickBot="1" x14ac:dyDescent="0.25">
      <c r="A57" s="26" t="s">
        <v>0</v>
      </c>
      <c r="B57" s="23" t="s">
        <v>11</v>
      </c>
      <c r="C57" s="23" t="s">
        <v>12</v>
      </c>
      <c r="D57" s="23" t="s">
        <v>13</v>
      </c>
      <c r="E57" s="23" t="s">
        <v>14</v>
      </c>
      <c r="F57" s="23" t="s">
        <v>15</v>
      </c>
      <c r="G57" s="24" t="s">
        <v>16</v>
      </c>
      <c r="H57" s="24" t="s">
        <v>17</v>
      </c>
      <c r="I57" s="23" t="s">
        <v>21</v>
      </c>
    </row>
    <row r="58" spans="1:9" x14ac:dyDescent="0.2">
      <c r="A58" s="16" t="str">
        <f>dilutions_calculations_sheet!A10</f>
        <v>TMP_C_POOL_20220808</v>
      </c>
      <c r="B58" s="17">
        <f>dilutions_calculations_sheet!L10</f>
        <v>1</v>
      </c>
      <c r="C58" s="18">
        <f>dilutions_calculations_sheet!M10</f>
        <v>158.14777327935224</v>
      </c>
      <c r="D58" s="18">
        <f>dilutions_calculations_sheet!N10</f>
        <v>841.85222672064776</v>
      </c>
      <c r="E58" s="19">
        <f t="shared" ref="E58" si="7">C58*0.792/1000</f>
        <v>0.12525303643724697</v>
      </c>
      <c r="F58" s="20">
        <f t="shared" ref="F58" si="8">D58*0.792/1000</f>
        <v>0.66674696356275309</v>
      </c>
      <c r="G58" s="21"/>
      <c r="H58" s="21"/>
      <c r="I58" s="22"/>
    </row>
    <row r="59" spans="1:9" x14ac:dyDescent="0.2">
      <c r="A59" s="16" t="str">
        <f>dilutions_calculations_sheet!A23</f>
        <v>TMP_FW_POOL_20220808</v>
      </c>
      <c r="B59" s="17">
        <f>dilutions_calculations_sheet!L23</f>
        <v>1</v>
      </c>
      <c r="C59" s="18">
        <f>dilutions_calculations_sheet!M23</f>
        <v>204.16796653605363</v>
      </c>
      <c r="D59" s="18">
        <f>dilutions_calculations_sheet!N23</f>
        <v>795.83203346394635</v>
      </c>
      <c r="E59" s="19">
        <f t="shared" ref="E59:E60" si="9">C59*0.792/1000</f>
        <v>0.16170102949655446</v>
      </c>
      <c r="F59" s="20">
        <f t="shared" ref="F59:F60" si="10">D59*0.792/1000</f>
        <v>0.63029897050344552</v>
      </c>
      <c r="G59" s="21"/>
      <c r="H59" s="21"/>
      <c r="I59" s="22"/>
    </row>
    <row r="60" spans="1:9" x14ac:dyDescent="0.2">
      <c r="A60" s="16" t="str">
        <f>dilutions_calculations_sheet!A35</f>
        <v>TMP_SW_POOL_20220808</v>
      </c>
      <c r="B60" s="17">
        <f>dilutions_calculations_sheet!L35</f>
        <v>1</v>
      </c>
      <c r="C60" s="18">
        <f>dilutions_calculations_sheet!M35</f>
        <v>91.2500741863103</v>
      </c>
      <c r="D60" s="18">
        <f>dilutions_calculations_sheet!N35</f>
        <v>908.74992581368974</v>
      </c>
      <c r="E60" s="19">
        <f t="shared" si="9"/>
        <v>7.2270058755557753E-2</v>
      </c>
      <c r="F60" s="20">
        <f t="shared" si="10"/>
        <v>0.71972994124444234</v>
      </c>
      <c r="G60" s="21"/>
      <c r="H60" s="21"/>
      <c r="I60" s="22"/>
    </row>
    <row r="61" spans="1:9" x14ac:dyDescent="0.2">
      <c r="A61" s="16"/>
      <c r="B61" s="17"/>
      <c r="C61" s="18"/>
      <c r="D61" s="18"/>
      <c r="E61" s="19"/>
      <c r="F61" s="20"/>
      <c r="G61" s="21"/>
      <c r="H61" s="21"/>
      <c r="I61" s="22"/>
    </row>
    <row r="62" spans="1:9" x14ac:dyDescent="0.2">
      <c r="A62" s="16"/>
      <c r="B62" s="17"/>
      <c r="C62" s="18"/>
      <c r="D62" s="18"/>
      <c r="E62" s="19"/>
      <c r="F62" s="20"/>
      <c r="G62" s="21"/>
      <c r="H62" s="21"/>
      <c r="I62" s="22"/>
    </row>
    <row r="63" spans="1:9" x14ac:dyDescent="0.2">
      <c r="A63" s="16"/>
      <c r="B63" s="17"/>
      <c r="C63" s="18"/>
      <c r="D63" s="18"/>
      <c r="E63" s="19"/>
      <c r="F63" s="20"/>
      <c r="G63" s="21"/>
      <c r="H63" s="21"/>
      <c r="I63" s="22"/>
    </row>
    <row r="64" spans="1:9" x14ac:dyDescent="0.2">
      <c r="A64" s="16"/>
      <c r="B64" s="17"/>
      <c r="C64" s="18"/>
      <c r="D64" s="18"/>
      <c r="E64" s="19"/>
      <c r="F64" s="20"/>
      <c r="G64" s="21"/>
      <c r="H64" s="21"/>
      <c r="I64" s="22"/>
    </row>
    <row r="65" spans="1:9" x14ac:dyDescent="0.2">
      <c r="A65" s="16"/>
      <c r="B65" s="17"/>
      <c r="C65" s="18"/>
      <c r="D65" s="18"/>
      <c r="E65" s="19"/>
      <c r="F65" s="20"/>
      <c r="G65" s="21"/>
      <c r="H65" s="21"/>
      <c r="I65" s="22"/>
    </row>
    <row r="66" spans="1:9" x14ac:dyDescent="0.2">
      <c r="A66" s="16"/>
      <c r="B66" s="17"/>
      <c r="C66" s="18"/>
      <c r="D66" s="18"/>
      <c r="E66" s="19"/>
      <c r="F66" s="20"/>
      <c r="G66" s="21"/>
      <c r="H66" s="21"/>
      <c r="I66" s="22"/>
    </row>
    <row r="67" spans="1:9" x14ac:dyDescent="0.2">
      <c r="A67" s="16"/>
      <c r="B67" s="17"/>
      <c r="C67" s="18"/>
      <c r="D67" s="18"/>
      <c r="E67" s="19"/>
      <c r="F67" s="20"/>
      <c r="G67" s="21"/>
      <c r="H67" s="21"/>
      <c r="I67" s="22"/>
    </row>
    <row r="68" spans="1:9" x14ac:dyDescent="0.2">
      <c r="A68" s="16"/>
      <c r="B68" s="17"/>
      <c r="C68" s="18"/>
      <c r="D68" s="18"/>
      <c r="E68" s="19"/>
      <c r="F68" s="20"/>
      <c r="G68" s="21"/>
      <c r="H68" s="21"/>
      <c r="I68" s="22"/>
    </row>
    <row r="69" spans="1:9" x14ac:dyDescent="0.2">
      <c r="A69" s="16"/>
      <c r="B69" s="17"/>
      <c r="C69" s="18"/>
      <c r="D69" s="18"/>
      <c r="E69" s="19"/>
      <c r="F69" s="20"/>
      <c r="G69" s="21"/>
      <c r="H69" s="21"/>
      <c r="I69" s="22"/>
    </row>
    <row r="70" spans="1:9" x14ac:dyDescent="0.2">
      <c r="A70" s="16"/>
      <c r="B70" s="17"/>
      <c r="C70" s="18"/>
      <c r="D70" s="18"/>
      <c r="E70" s="19"/>
      <c r="F70" s="20"/>
      <c r="G70" s="21"/>
      <c r="H70" s="21"/>
      <c r="I70" s="22"/>
    </row>
    <row r="71" spans="1:9" x14ac:dyDescent="0.2">
      <c r="A71" s="16"/>
      <c r="B71" s="17"/>
      <c r="C71" s="18"/>
      <c r="D71" s="18"/>
      <c r="E71" s="19"/>
      <c r="F71" s="20"/>
      <c r="G71" s="21"/>
      <c r="H71" s="21"/>
      <c r="I71" s="22"/>
    </row>
    <row r="72" spans="1:9" x14ac:dyDescent="0.2">
      <c r="A72" s="16"/>
      <c r="B72" s="17"/>
      <c r="C72" s="18"/>
      <c r="D72" s="18"/>
      <c r="E72" s="19"/>
      <c r="F72" s="20"/>
      <c r="G72" s="21"/>
      <c r="H72" s="21"/>
      <c r="I72" s="22"/>
    </row>
    <row r="73" spans="1:9" x14ac:dyDescent="0.2">
      <c r="A73" s="16"/>
      <c r="B73" s="17"/>
      <c r="C73" s="18"/>
      <c r="D73" s="18"/>
      <c r="E73" s="19"/>
      <c r="F73" s="20"/>
      <c r="G73" s="21"/>
      <c r="H73" s="21"/>
      <c r="I73" s="22"/>
    </row>
    <row r="74" spans="1:9" x14ac:dyDescent="0.2">
      <c r="A74" s="16"/>
      <c r="B74" s="17"/>
      <c r="C74" s="18"/>
      <c r="D74" s="18"/>
      <c r="E74" s="19"/>
      <c r="F74" s="20"/>
      <c r="G74" s="21"/>
      <c r="H74" s="21"/>
      <c r="I74" s="22"/>
    </row>
    <row r="75" spans="1:9" x14ac:dyDescent="0.2">
      <c r="A75" s="16"/>
      <c r="B75" s="17"/>
      <c r="C75" s="18"/>
      <c r="D75" s="18"/>
      <c r="E75" s="19"/>
      <c r="F75" s="20"/>
      <c r="G75" s="21"/>
      <c r="H75" s="21"/>
      <c r="I75" s="22"/>
    </row>
    <row r="76" spans="1:9" x14ac:dyDescent="0.2">
      <c r="A76" s="16"/>
      <c r="B76" s="17"/>
      <c r="C76" s="18"/>
      <c r="D76" s="18"/>
      <c r="E76" s="19"/>
      <c r="F76" s="20"/>
      <c r="G76" s="21"/>
      <c r="H76" s="21"/>
      <c r="I76" s="22"/>
    </row>
    <row r="77" spans="1:9" x14ac:dyDescent="0.2">
      <c r="A77" s="16"/>
      <c r="B77" s="17"/>
      <c r="C77" s="18"/>
      <c r="D77" s="18"/>
      <c r="E77" s="19"/>
      <c r="F77" s="20"/>
      <c r="G77" s="21"/>
      <c r="H77" s="21"/>
      <c r="I77" s="22"/>
    </row>
    <row r="78" spans="1:9" x14ac:dyDescent="0.2">
      <c r="A78" s="16"/>
      <c r="B78" s="17"/>
      <c r="C78" s="18"/>
      <c r="D78" s="18"/>
      <c r="E78" s="19"/>
      <c r="F78" s="20"/>
      <c r="G78" s="21"/>
      <c r="H78" s="21"/>
      <c r="I78" s="22"/>
    </row>
    <row r="79" spans="1:9" x14ac:dyDescent="0.2">
      <c r="A79" s="16"/>
      <c r="B79" s="17"/>
      <c r="C79" s="18"/>
      <c r="D79" s="18"/>
      <c r="E79" s="19"/>
      <c r="F79" s="20"/>
      <c r="G79" s="21"/>
      <c r="H79" s="21"/>
      <c r="I79" s="22"/>
    </row>
    <row r="80" spans="1:9" x14ac:dyDescent="0.2">
      <c r="A80" s="16"/>
      <c r="B80" s="17"/>
      <c r="C80" s="18"/>
      <c r="D80" s="18"/>
      <c r="E80" s="19"/>
      <c r="F80" s="20"/>
      <c r="G80" s="21"/>
      <c r="H80" s="21"/>
      <c r="I80" s="22"/>
    </row>
    <row r="81" spans="1:9" x14ac:dyDescent="0.2">
      <c r="A81" s="16"/>
      <c r="B81" s="17"/>
      <c r="C81" s="18"/>
      <c r="D81" s="18"/>
      <c r="E81" s="19"/>
      <c r="F81" s="20"/>
      <c r="G81" s="21"/>
      <c r="H81" s="21"/>
      <c r="I81" s="22"/>
    </row>
    <row r="82" spans="1:9" x14ac:dyDescent="0.2">
      <c r="A82" s="16"/>
      <c r="B82" s="17"/>
      <c r="C82" s="18"/>
      <c r="D82" s="18"/>
      <c r="E82" s="19"/>
      <c r="F82" s="20"/>
      <c r="G82" s="21"/>
      <c r="H82" s="21"/>
      <c r="I82" s="22"/>
    </row>
    <row r="83" spans="1:9" x14ac:dyDescent="0.2">
      <c r="A83" s="16"/>
      <c r="B83" s="17"/>
      <c r="C83" s="18"/>
      <c r="D83" s="18"/>
      <c r="E83" s="19"/>
      <c r="F83" s="20"/>
      <c r="G83" s="21"/>
      <c r="H83" s="21"/>
      <c r="I83" s="22"/>
    </row>
    <row r="84" spans="1:9" x14ac:dyDescent="0.2">
      <c r="A84" s="16"/>
      <c r="B84" s="17"/>
      <c r="C84" s="18"/>
      <c r="D84" s="18"/>
      <c r="E84" s="19"/>
      <c r="F84" s="20"/>
      <c r="G84" s="21"/>
      <c r="H84" s="21"/>
      <c r="I84" s="22"/>
    </row>
    <row r="85" spans="1:9" ht="91" thickBot="1" x14ac:dyDescent="0.25">
      <c r="A85" s="26" t="s">
        <v>0</v>
      </c>
      <c r="B85" s="23" t="s">
        <v>11</v>
      </c>
      <c r="C85" s="23" t="s">
        <v>12</v>
      </c>
      <c r="D85" s="23" t="s">
        <v>13</v>
      </c>
      <c r="E85" s="23" t="s">
        <v>14</v>
      </c>
      <c r="F85" s="23" t="s">
        <v>15</v>
      </c>
      <c r="G85" s="24" t="s">
        <v>16</v>
      </c>
      <c r="H85" s="24" t="s">
        <v>17</v>
      </c>
      <c r="I85" s="23" t="s">
        <v>21</v>
      </c>
    </row>
    <row r="86" spans="1:9" x14ac:dyDescent="0.2">
      <c r="A86" s="16"/>
      <c r="B86" s="17"/>
      <c r="C86" s="18"/>
      <c r="D86" s="18"/>
      <c r="E86" s="19"/>
      <c r="F86" s="20"/>
      <c r="G86" s="21"/>
      <c r="H86" s="21"/>
      <c r="I86" s="15"/>
    </row>
    <row r="87" spans="1:9" x14ac:dyDescent="0.2">
      <c r="A87" s="16"/>
      <c r="B87" s="17"/>
      <c r="C87" s="18"/>
      <c r="D87" s="18"/>
      <c r="E87" s="19"/>
      <c r="F87" s="20"/>
      <c r="G87" s="21"/>
      <c r="H87" s="21"/>
      <c r="I87" s="15"/>
    </row>
    <row r="88" spans="1:9" x14ac:dyDescent="0.2">
      <c r="A88" s="16"/>
      <c r="B88" s="17"/>
      <c r="C88" s="18"/>
      <c r="D88" s="18"/>
      <c r="E88" s="19"/>
      <c r="F88" s="20"/>
      <c r="G88" s="21"/>
      <c r="H88" s="21"/>
      <c r="I88" s="15"/>
    </row>
    <row r="89" spans="1:9" x14ac:dyDescent="0.2">
      <c r="A89" s="16"/>
      <c r="B89" s="17"/>
      <c r="C89" s="18"/>
      <c r="D89" s="18"/>
      <c r="E89" s="19"/>
      <c r="F89" s="20"/>
      <c r="G89" s="21"/>
      <c r="H89" s="21"/>
      <c r="I89" s="15"/>
    </row>
    <row r="90" spans="1:9" x14ac:dyDescent="0.2">
      <c r="A90" s="16"/>
      <c r="B90" s="17"/>
      <c r="C90" s="18"/>
      <c r="D90" s="18"/>
      <c r="E90" s="19"/>
      <c r="F90" s="20"/>
      <c r="G90" s="21"/>
      <c r="H90" s="21"/>
      <c r="I90" s="15"/>
    </row>
    <row r="91" spans="1:9" x14ac:dyDescent="0.2">
      <c r="A91" s="16"/>
      <c r="B91" s="17"/>
      <c r="C91" s="18"/>
      <c r="D91" s="18"/>
      <c r="E91" s="19"/>
      <c r="F91" s="20"/>
      <c r="G91" s="21"/>
      <c r="H91" s="21"/>
      <c r="I91" s="15"/>
    </row>
    <row r="92" spans="1:9" x14ac:dyDescent="0.2">
      <c r="A92" s="16"/>
      <c r="B92" s="17"/>
      <c r="C92" s="18"/>
      <c r="D92" s="18"/>
      <c r="E92" s="19"/>
      <c r="F92" s="20"/>
      <c r="G92" s="21"/>
      <c r="H92" s="21"/>
      <c r="I92" s="15"/>
    </row>
    <row r="93" spans="1:9" x14ac:dyDescent="0.2">
      <c r="A93" s="16"/>
      <c r="B93" s="17"/>
      <c r="C93" s="18"/>
      <c r="D93" s="18"/>
      <c r="E93" s="19"/>
      <c r="F93" s="20"/>
      <c r="G93" s="21"/>
      <c r="H93" s="21"/>
      <c r="I93" s="15"/>
    </row>
    <row r="94" spans="1:9" x14ac:dyDescent="0.2">
      <c r="A94" s="16"/>
      <c r="B94" s="17"/>
      <c r="C94" s="18"/>
      <c r="D94" s="18"/>
      <c r="E94" s="19"/>
      <c r="F94" s="20"/>
      <c r="G94" s="21"/>
      <c r="H94" s="21"/>
      <c r="I94" s="15"/>
    </row>
    <row r="95" spans="1:9" x14ac:dyDescent="0.2">
      <c r="A95" s="16"/>
      <c r="B95" s="17"/>
      <c r="C95" s="18"/>
      <c r="D95" s="18"/>
      <c r="E95" s="19"/>
      <c r="F95" s="20"/>
      <c r="G95" s="21"/>
      <c r="H95" s="21"/>
      <c r="I95" s="15"/>
    </row>
    <row r="96" spans="1:9" x14ac:dyDescent="0.2">
      <c r="A96" s="16"/>
      <c r="B96" s="17"/>
      <c r="C96" s="18"/>
      <c r="D96" s="18"/>
      <c r="E96" s="19"/>
      <c r="F96" s="20"/>
      <c r="G96" s="21"/>
      <c r="H96" s="21"/>
      <c r="I96" s="15"/>
    </row>
    <row r="97" spans="1:9" x14ac:dyDescent="0.2">
      <c r="A97" s="16"/>
      <c r="B97" s="17"/>
      <c r="C97" s="18"/>
      <c r="D97" s="18"/>
      <c r="E97" s="19"/>
      <c r="F97" s="20"/>
      <c r="G97" s="21"/>
      <c r="H97" s="21"/>
      <c r="I97" s="15"/>
    </row>
    <row r="98" spans="1:9" x14ac:dyDescent="0.2">
      <c r="A98" s="16"/>
      <c r="B98" s="17"/>
      <c r="C98" s="18"/>
      <c r="D98" s="18"/>
      <c r="E98" s="19"/>
      <c r="F98" s="20"/>
      <c r="G98" s="21"/>
      <c r="H98" s="21"/>
      <c r="I98" s="15"/>
    </row>
    <row r="99" spans="1:9" x14ac:dyDescent="0.2">
      <c r="A99" s="16"/>
      <c r="B99" s="17"/>
      <c r="C99" s="18"/>
      <c r="D99" s="18"/>
      <c r="E99" s="19"/>
      <c r="F99" s="20"/>
      <c r="G99" s="21"/>
      <c r="H99" s="21"/>
      <c r="I99" s="15"/>
    </row>
    <row r="100" spans="1:9" x14ac:dyDescent="0.2">
      <c r="A100" s="16"/>
      <c r="B100" s="17"/>
      <c r="C100" s="18"/>
      <c r="D100" s="18"/>
      <c r="E100" s="19"/>
      <c r="F100" s="20"/>
      <c r="G100" s="21"/>
      <c r="H100" s="21"/>
      <c r="I100" s="15"/>
    </row>
    <row r="101" spans="1:9" x14ac:dyDescent="0.2">
      <c r="A101" s="16"/>
      <c r="B101" s="17"/>
      <c r="C101" s="18"/>
      <c r="D101" s="18"/>
      <c r="E101" s="19"/>
      <c r="F101" s="20"/>
      <c r="G101" s="21"/>
      <c r="H101" s="21"/>
      <c r="I101" s="15"/>
    </row>
    <row r="102" spans="1:9" x14ac:dyDescent="0.2">
      <c r="A102" s="16"/>
      <c r="B102" s="17"/>
      <c r="C102" s="18"/>
      <c r="D102" s="18"/>
      <c r="E102" s="19"/>
      <c r="F102" s="20"/>
      <c r="G102" s="21"/>
      <c r="H102" s="21"/>
      <c r="I102" s="15"/>
    </row>
    <row r="103" spans="1:9" x14ac:dyDescent="0.2">
      <c r="A103" s="16"/>
      <c r="B103" s="17"/>
      <c r="C103" s="18"/>
      <c r="D103" s="18"/>
      <c r="E103" s="19"/>
      <c r="F103" s="20"/>
      <c r="G103" s="21"/>
      <c r="H103" s="21"/>
      <c r="I103" s="15"/>
    </row>
    <row r="104" spans="1:9" x14ac:dyDescent="0.2">
      <c r="A104" s="16"/>
      <c r="B104" s="17"/>
      <c r="C104" s="18"/>
      <c r="D104" s="18"/>
      <c r="E104" s="19"/>
      <c r="F104" s="20"/>
      <c r="G104" s="21"/>
      <c r="H104" s="21"/>
      <c r="I104" s="15"/>
    </row>
    <row r="105" spans="1:9" x14ac:dyDescent="0.2">
      <c r="A105" s="16"/>
      <c r="B105" s="17"/>
      <c r="C105" s="18"/>
      <c r="D105" s="18"/>
      <c r="E105" s="19"/>
      <c r="F105" s="20"/>
      <c r="G105" s="21"/>
      <c r="H105" s="21"/>
      <c r="I105" s="15"/>
    </row>
    <row r="106" spans="1:9" x14ac:dyDescent="0.2">
      <c r="A106" s="16"/>
      <c r="B106" s="17"/>
      <c r="C106" s="18"/>
      <c r="D106" s="18"/>
      <c r="E106" s="19"/>
      <c r="F106" s="20"/>
      <c r="G106" s="21"/>
      <c r="H106" s="21"/>
      <c r="I106" s="15"/>
    </row>
    <row r="107" spans="1:9" x14ac:dyDescent="0.2">
      <c r="A107" s="16"/>
      <c r="B107" s="17"/>
      <c r="C107" s="18"/>
      <c r="D107" s="18"/>
      <c r="E107" s="19"/>
      <c r="F107" s="20"/>
      <c r="G107" s="21"/>
      <c r="H107" s="21"/>
      <c r="I107" s="15"/>
    </row>
    <row r="108" spans="1:9" x14ac:dyDescent="0.2">
      <c r="C108" s="2"/>
      <c r="D108" s="2"/>
      <c r="E108" s="2"/>
      <c r="F108" s="2"/>
    </row>
    <row r="109" spans="1:9" x14ac:dyDescent="0.2">
      <c r="C109" s="2"/>
      <c r="D109" s="2"/>
      <c r="E109" s="2"/>
      <c r="F109" s="2"/>
    </row>
    <row r="110" spans="1:9" x14ac:dyDescent="0.2">
      <c r="C110" s="2"/>
      <c r="D110" s="2"/>
      <c r="E110" s="2"/>
      <c r="F110" s="2"/>
    </row>
    <row r="111" spans="1:9" x14ac:dyDescent="0.2">
      <c r="C111" s="2"/>
      <c r="D111" s="2"/>
      <c r="E111" s="2"/>
      <c r="F111" s="2"/>
    </row>
    <row r="112" spans="1:9" x14ac:dyDescent="0.2">
      <c r="C112" s="2"/>
      <c r="D112" s="2"/>
      <c r="E112" s="2"/>
      <c r="F112" s="2"/>
    </row>
    <row r="113" spans="3:6" x14ac:dyDescent="0.2">
      <c r="C113" s="2"/>
      <c r="D113" s="2"/>
      <c r="E113" s="2"/>
      <c r="F113" s="2"/>
    </row>
    <row r="114" spans="3:6" x14ac:dyDescent="0.2">
      <c r="C114" s="2"/>
      <c r="D114" s="2"/>
      <c r="E114" s="2"/>
      <c r="F114" s="2"/>
    </row>
    <row r="115" spans="3:6" x14ac:dyDescent="0.2">
      <c r="C115" s="2"/>
      <c r="D115" s="2"/>
      <c r="E115" s="2"/>
      <c r="F115" s="2"/>
    </row>
    <row r="116" spans="3:6" x14ac:dyDescent="0.2">
      <c r="C116" s="2"/>
      <c r="D116" s="2"/>
      <c r="E116" s="2"/>
      <c r="F116" s="2"/>
    </row>
    <row r="117" spans="3:6" x14ac:dyDescent="0.2">
      <c r="C117" s="2"/>
      <c r="D117" s="2"/>
      <c r="E117" s="2"/>
      <c r="F117" s="2"/>
    </row>
    <row r="118" spans="3:6" x14ac:dyDescent="0.2">
      <c r="C118" s="2"/>
      <c r="D118" s="2"/>
      <c r="E118" s="2"/>
      <c r="F118" s="2"/>
    </row>
    <row r="119" spans="3:6" x14ac:dyDescent="0.2">
      <c r="C119" s="2"/>
      <c r="D119" s="2"/>
      <c r="E119" s="2"/>
      <c r="F119" s="2"/>
    </row>
    <row r="120" spans="3:6" x14ac:dyDescent="0.2">
      <c r="C120" s="2"/>
      <c r="D120" s="2"/>
      <c r="E120" s="2"/>
      <c r="F120" s="2"/>
    </row>
    <row r="121" spans="3:6" x14ac:dyDescent="0.2">
      <c r="C121" s="2"/>
      <c r="D121" s="2"/>
      <c r="E121" s="2"/>
      <c r="F121" s="2"/>
    </row>
    <row r="122" spans="3:6" x14ac:dyDescent="0.2">
      <c r="C122" s="2"/>
      <c r="D122" s="2"/>
      <c r="E122" s="2"/>
      <c r="F122" s="2"/>
    </row>
    <row r="123" spans="3:6" x14ac:dyDescent="0.2">
      <c r="C123" s="2"/>
      <c r="D123" s="2"/>
      <c r="E123" s="2"/>
      <c r="F123" s="2"/>
    </row>
    <row r="124" spans="3:6" x14ac:dyDescent="0.2">
      <c r="C124" s="2"/>
      <c r="D124" s="2"/>
      <c r="E124" s="2"/>
      <c r="F124" s="2"/>
    </row>
    <row r="125" spans="3:6" x14ac:dyDescent="0.2">
      <c r="C125" s="2"/>
      <c r="D125" s="2"/>
      <c r="E125" s="2"/>
      <c r="F125" s="2"/>
    </row>
    <row r="126" spans="3:6" x14ac:dyDescent="0.2">
      <c r="C126" s="2"/>
      <c r="D126" s="2"/>
      <c r="E126" s="2"/>
      <c r="F126" s="2"/>
    </row>
    <row r="127" spans="3:6" x14ac:dyDescent="0.2">
      <c r="C127" s="2"/>
      <c r="D127" s="2"/>
      <c r="E127" s="2"/>
      <c r="F127" s="2"/>
    </row>
    <row r="128" spans="3:6" x14ac:dyDescent="0.2">
      <c r="C128" s="2"/>
      <c r="D128" s="2"/>
      <c r="E128" s="2"/>
      <c r="F128" s="2"/>
    </row>
    <row r="129" spans="3:6" x14ac:dyDescent="0.2">
      <c r="C129" s="2"/>
      <c r="D129" s="2"/>
      <c r="E129" s="2"/>
      <c r="F129" s="2"/>
    </row>
    <row r="130" spans="3:6" x14ac:dyDescent="0.2">
      <c r="C130" s="2"/>
      <c r="D130" s="2"/>
      <c r="E130" s="2"/>
      <c r="F130" s="2"/>
    </row>
    <row r="131" spans="3:6" x14ac:dyDescent="0.2">
      <c r="C131" s="2"/>
      <c r="D131" s="2"/>
      <c r="E131" s="2"/>
      <c r="F131" s="2"/>
    </row>
    <row r="132" spans="3:6" x14ac:dyDescent="0.2">
      <c r="C132" s="2"/>
      <c r="D132" s="2"/>
      <c r="E132" s="2"/>
      <c r="F132" s="2"/>
    </row>
    <row r="133" spans="3:6" x14ac:dyDescent="0.2">
      <c r="C133" s="2"/>
      <c r="D133" s="2"/>
      <c r="E133" s="2"/>
      <c r="F133" s="2"/>
    </row>
    <row r="134" spans="3:6" x14ac:dyDescent="0.2">
      <c r="C134" s="2"/>
      <c r="D134" s="2"/>
      <c r="E134" s="2"/>
      <c r="F134" s="2"/>
    </row>
    <row r="135" spans="3:6" x14ac:dyDescent="0.2">
      <c r="C135" s="2"/>
      <c r="D135" s="2"/>
      <c r="E135" s="2"/>
      <c r="F135" s="2"/>
    </row>
    <row r="136" spans="3:6" x14ac:dyDescent="0.2">
      <c r="C136" s="2"/>
      <c r="D136" s="2"/>
      <c r="E136" s="2"/>
      <c r="F136" s="2"/>
    </row>
    <row r="137" spans="3:6" x14ac:dyDescent="0.2">
      <c r="C137" s="2"/>
      <c r="D137" s="2"/>
      <c r="E137" s="2"/>
      <c r="F137" s="2"/>
    </row>
    <row r="138" spans="3:6" x14ac:dyDescent="0.2">
      <c r="C138" s="2"/>
      <c r="D138" s="2"/>
      <c r="E138" s="2"/>
      <c r="F138" s="2"/>
    </row>
    <row r="139" spans="3:6" x14ac:dyDescent="0.2">
      <c r="C139" s="2"/>
      <c r="D139" s="2"/>
      <c r="E139" s="2"/>
      <c r="F139" s="2"/>
    </row>
    <row r="140" spans="3:6" x14ac:dyDescent="0.2">
      <c r="C140" s="2"/>
      <c r="D140" s="2"/>
      <c r="E140" s="2"/>
      <c r="F140" s="2"/>
    </row>
    <row r="141" spans="3:6" x14ac:dyDescent="0.2">
      <c r="C141" s="2"/>
      <c r="D141" s="2"/>
      <c r="E141" s="2"/>
      <c r="F141" s="2"/>
    </row>
    <row r="142" spans="3:6" x14ac:dyDescent="0.2">
      <c r="C142" s="2"/>
      <c r="D142" s="2"/>
      <c r="E142" s="2"/>
      <c r="F142" s="2"/>
    </row>
    <row r="143" spans="3:6" x14ac:dyDescent="0.2">
      <c r="C143" s="2"/>
      <c r="D143" s="2"/>
      <c r="E143" s="2"/>
      <c r="F143" s="2"/>
    </row>
    <row r="144" spans="3:6" x14ac:dyDescent="0.2">
      <c r="C144" s="2"/>
      <c r="D144" s="2"/>
      <c r="E144" s="2"/>
      <c r="F144" s="2"/>
    </row>
    <row r="145" spans="3:6" x14ac:dyDescent="0.2">
      <c r="C145" s="2"/>
      <c r="D145" s="2"/>
      <c r="E145" s="2"/>
      <c r="F145" s="2"/>
    </row>
    <row r="146" spans="3:6" x14ac:dyDescent="0.2">
      <c r="C146" s="2"/>
      <c r="D146" s="2"/>
      <c r="E146" s="2"/>
      <c r="F146" s="2"/>
    </row>
    <row r="147" spans="3:6" x14ac:dyDescent="0.2">
      <c r="C147" s="2"/>
      <c r="D147" s="2"/>
      <c r="E147" s="2"/>
      <c r="F147" s="2"/>
    </row>
    <row r="148" spans="3:6" x14ac:dyDescent="0.2">
      <c r="C148" s="2"/>
      <c r="D148" s="2"/>
      <c r="E148" s="2"/>
      <c r="F148" s="2"/>
    </row>
    <row r="149" spans="3:6" x14ac:dyDescent="0.2">
      <c r="C149" s="2"/>
      <c r="D149" s="2"/>
      <c r="E149" s="2"/>
      <c r="F149" s="2"/>
    </row>
    <row r="150" spans="3:6" x14ac:dyDescent="0.2">
      <c r="C150" s="2"/>
      <c r="D150" s="2"/>
      <c r="E150" s="2"/>
      <c r="F150" s="2"/>
    </row>
    <row r="151" spans="3:6" x14ac:dyDescent="0.2">
      <c r="C151" s="2"/>
      <c r="D151" s="2"/>
      <c r="E151" s="2"/>
      <c r="F151" s="2"/>
    </row>
    <row r="152" spans="3:6" x14ac:dyDescent="0.2">
      <c r="C152" s="2"/>
      <c r="D152" s="2"/>
      <c r="E152" s="2"/>
      <c r="F152" s="2"/>
    </row>
    <row r="153" spans="3:6" x14ac:dyDescent="0.2">
      <c r="C153" s="2"/>
      <c r="D153" s="2"/>
      <c r="E153" s="2"/>
      <c r="F153" s="2"/>
    </row>
    <row r="154" spans="3:6" x14ac:dyDescent="0.2">
      <c r="C154" s="2"/>
      <c r="D154" s="2"/>
      <c r="E154" s="2"/>
      <c r="F154" s="2"/>
    </row>
    <row r="155" spans="3:6" x14ac:dyDescent="0.2">
      <c r="C155" s="2"/>
      <c r="D155" s="2"/>
      <c r="E155" s="2"/>
      <c r="F155" s="2"/>
    </row>
    <row r="156" spans="3:6" x14ac:dyDescent="0.2">
      <c r="C156" s="2"/>
      <c r="D156" s="2"/>
      <c r="E156" s="2"/>
      <c r="F156" s="2"/>
    </row>
    <row r="157" spans="3:6" x14ac:dyDescent="0.2">
      <c r="C157" s="2"/>
      <c r="D157" s="2"/>
      <c r="E157" s="2"/>
      <c r="F157" s="2"/>
    </row>
    <row r="158" spans="3:6" x14ac:dyDescent="0.2">
      <c r="C158" s="2"/>
      <c r="D158" s="2"/>
      <c r="E158" s="2"/>
      <c r="F158" s="2"/>
    </row>
    <row r="159" spans="3:6" x14ac:dyDescent="0.2">
      <c r="C159" s="2"/>
      <c r="D159" s="2"/>
      <c r="E159" s="2"/>
      <c r="F159" s="2"/>
    </row>
    <row r="160" spans="3:6" x14ac:dyDescent="0.2">
      <c r="C160" s="2"/>
      <c r="D160" s="2"/>
      <c r="E160" s="2"/>
      <c r="F160" s="2"/>
    </row>
    <row r="161" spans="3:6" x14ac:dyDescent="0.2">
      <c r="C161" s="2"/>
      <c r="D161" s="2"/>
      <c r="E161" s="2"/>
      <c r="F161" s="2"/>
    </row>
    <row r="162" spans="3:6" x14ac:dyDescent="0.2">
      <c r="C162" s="2"/>
      <c r="D162" s="2"/>
      <c r="E162" s="2"/>
      <c r="F162" s="2"/>
    </row>
    <row r="163" spans="3:6" x14ac:dyDescent="0.2">
      <c r="C163" s="2"/>
      <c r="D163" s="2"/>
      <c r="E163" s="2"/>
      <c r="F163" s="2"/>
    </row>
    <row r="164" spans="3:6" x14ac:dyDescent="0.2">
      <c r="C164" s="2"/>
      <c r="D164" s="2"/>
      <c r="E164" s="2"/>
      <c r="F164" s="2"/>
    </row>
    <row r="165" spans="3:6" x14ac:dyDescent="0.2">
      <c r="C165" s="2"/>
      <c r="D165" s="2"/>
      <c r="E165" s="2"/>
      <c r="F165" s="2"/>
    </row>
    <row r="166" spans="3:6" x14ac:dyDescent="0.2">
      <c r="C166" s="2"/>
      <c r="D166" s="2"/>
      <c r="E166" s="2"/>
      <c r="F166" s="2"/>
    </row>
    <row r="167" spans="3:6" x14ac:dyDescent="0.2">
      <c r="C167" s="2"/>
      <c r="D167" s="2"/>
      <c r="E167" s="2"/>
      <c r="F167" s="2"/>
    </row>
    <row r="168" spans="3:6" x14ac:dyDescent="0.2">
      <c r="C168" s="2"/>
      <c r="D168" s="2"/>
      <c r="E168" s="2"/>
      <c r="F168" s="2"/>
    </row>
    <row r="169" spans="3:6" x14ac:dyDescent="0.2">
      <c r="C169" s="2"/>
      <c r="D169" s="2"/>
      <c r="E169" s="2"/>
      <c r="F169" s="2"/>
    </row>
    <row r="170" spans="3:6" x14ac:dyDescent="0.2">
      <c r="C170" s="2"/>
      <c r="D170" s="2"/>
      <c r="E170" s="2"/>
      <c r="F170" s="2"/>
    </row>
    <row r="171" spans="3:6" x14ac:dyDescent="0.2">
      <c r="C171" s="2"/>
      <c r="D171" s="2"/>
      <c r="E171" s="2"/>
      <c r="F171" s="2"/>
    </row>
    <row r="172" spans="3:6" x14ac:dyDescent="0.2">
      <c r="C172" s="2"/>
      <c r="D172" s="2"/>
      <c r="E172" s="2"/>
      <c r="F172" s="2"/>
    </row>
    <row r="173" spans="3:6" x14ac:dyDescent="0.2">
      <c r="C173" s="2"/>
      <c r="D173" s="2"/>
      <c r="E173" s="2"/>
      <c r="F173" s="2"/>
    </row>
    <row r="174" spans="3:6" x14ac:dyDescent="0.2">
      <c r="C174" s="2"/>
      <c r="D174" s="2"/>
      <c r="E174" s="2"/>
      <c r="F174" s="2"/>
    </row>
    <row r="175" spans="3:6" x14ac:dyDescent="0.2">
      <c r="C175" s="2"/>
      <c r="D175" s="2"/>
      <c r="E175" s="2"/>
      <c r="F175" s="2"/>
    </row>
    <row r="176" spans="3:6" x14ac:dyDescent="0.2">
      <c r="C176" s="2"/>
      <c r="D176" s="2"/>
      <c r="E176" s="2"/>
      <c r="F176" s="2"/>
    </row>
    <row r="177" spans="3:6" x14ac:dyDescent="0.2">
      <c r="C177" s="2"/>
      <c r="D177" s="2"/>
      <c r="E177" s="2"/>
      <c r="F177" s="2"/>
    </row>
    <row r="178" spans="3:6" x14ac:dyDescent="0.2">
      <c r="C178" s="2"/>
      <c r="D178" s="2"/>
      <c r="E178" s="2"/>
      <c r="F178" s="2"/>
    </row>
    <row r="179" spans="3:6" x14ac:dyDescent="0.2">
      <c r="C179" s="2"/>
      <c r="D179" s="2"/>
      <c r="E179" s="2"/>
      <c r="F179" s="2"/>
    </row>
    <row r="180" spans="3:6" x14ac:dyDescent="0.2">
      <c r="C180" s="2"/>
      <c r="D180" s="2"/>
      <c r="E180" s="2"/>
      <c r="F180" s="2"/>
    </row>
    <row r="181" spans="3:6" x14ac:dyDescent="0.2">
      <c r="C181" s="2"/>
      <c r="D181" s="2"/>
      <c r="E181" s="2"/>
      <c r="F181" s="2"/>
    </row>
    <row r="182" spans="3:6" x14ac:dyDescent="0.2">
      <c r="C182" s="2"/>
      <c r="D182" s="2"/>
      <c r="E182" s="2"/>
      <c r="F182" s="2"/>
    </row>
    <row r="183" spans="3:6" x14ac:dyDescent="0.2">
      <c r="C183" s="2"/>
      <c r="D183" s="2"/>
      <c r="E183" s="2"/>
      <c r="F183" s="2"/>
    </row>
    <row r="184" spans="3:6" x14ac:dyDescent="0.2">
      <c r="C184" s="2"/>
      <c r="D184" s="2"/>
      <c r="E184" s="2"/>
      <c r="F184" s="2"/>
    </row>
    <row r="185" spans="3:6" x14ac:dyDescent="0.2">
      <c r="C185" s="2"/>
      <c r="D185" s="2"/>
      <c r="E185" s="2"/>
      <c r="F185" s="2"/>
    </row>
    <row r="186" spans="3:6" x14ac:dyDescent="0.2">
      <c r="C186" s="2"/>
      <c r="D186" s="2"/>
      <c r="E186" s="2"/>
      <c r="F186" s="2"/>
    </row>
    <row r="187" spans="3:6" x14ac:dyDescent="0.2">
      <c r="C187" s="2"/>
      <c r="D187" s="2"/>
      <c r="E187" s="2"/>
      <c r="F187" s="2"/>
    </row>
    <row r="188" spans="3:6" x14ac:dyDescent="0.2">
      <c r="C188" s="2"/>
      <c r="D188" s="2"/>
      <c r="E188" s="2"/>
      <c r="F188" s="2"/>
    </row>
    <row r="189" spans="3:6" x14ac:dyDescent="0.2">
      <c r="C189" s="2"/>
      <c r="D189" s="2"/>
      <c r="E189" s="2"/>
      <c r="F189" s="2"/>
    </row>
    <row r="190" spans="3:6" x14ac:dyDescent="0.2">
      <c r="C190" s="2"/>
      <c r="D190" s="2"/>
      <c r="E190" s="2"/>
      <c r="F190" s="2"/>
    </row>
    <row r="191" spans="3:6" x14ac:dyDescent="0.2">
      <c r="C191" s="2"/>
      <c r="D191" s="2"/>
      <c r="E191" s="2"/>
      <c r="F191" s="2"/>
    </row>
    <row r="192" spans="3:6" x14ac:dyDescent="0.2">
      <c r="C192" s="2"/>
      <c r="D192" s="2"/>
      <c r="E192" s="2"/>
      <c r="F192" s="2"/>
    </row>
    <row r="193" spans="3:6" x14ac:dyDescent="0.2">
      <c r="C193" s="2"/>
      <c r="D193" s="2"/>
      <c r="E193" s="2"/>
      <c r="F193" s="2"/>
    </row>
    <row r="194" spans="3:6" x14ac:dyDescent="0.2">
      <c r="C194" s="2"/>
      <c r="D194" s="2"/>
      <c r="E194" s="2"/>
      <c r="F194" s="2"/>
    </row>
    <row r="195" spans="3:6" x14ac:dyDescent="0.2">
      <c r="C195" s="2"/>
      <c r="D195" s="2"/>
      <c r="E195" s="2"/>
      <c r="F195" s="2"/>
    </row>
    <row r="196" spans="3:6" x14ac:dyDescent="0.2">
      <c r="C196" s="2"/>
      <c r="D196" s="2"/>
      <c r="E196" s="2"/>
      <c r="F196" s="2"/>
    </row>
    <row r="197" spans="3:6" x14ac:dyDescent="0.2">
      <c r="C197" s="2"/>
      <c r="D197" s="2"/>
      <c r="E197" s="2"/>
      <c r="F197" s="2"/>
    </row>
    <row r="198" spans="3:6" x14ac:dyDescent="0.2">
      <c r="C198" s="2"/>
      <c r="D198" s="2"/>
      <c r="E198" s="2"/>
      <c r="F198" s="2"/>
    </row>
    <row r="199" spans="3:6" x14ac:dyDescent="0.2">
      <c r="C199" s="2"/>
      <c r="D199" s="2"/>
      <c r="E199" s="2"/>
      <c r="F199" s="2"/>
    </row>
    <row r="200" spans="3:6" x14ac:dyDescent="0.2">
      <c r="C200" s="2"/>
      <c r="D200" s="2"/>
      <c r="E200" s="2"/>
      <c r="F200" s="2"/>
    </row>
    <row r="201" spans="3:6" x14ac:dyDescent="0.2">
      <c r="C201" s="2"/>
      <c r="D201" s="2"/>
      <c r="E201" s="2"/>
      <c r="F201" s="2"/>
    </row>
    <row r="202" spans="3:6" x14ac:dyDescent="0.2">
      <c r="C202" s="2"/>
      <c r="D202" s="2"/>
      <c r="E202" s="2"/>
      <c r="F202" s="2"/>
    </row>
    <row r="203" spans="3:6" x14ac:dyDescent="0.2">
      <c r="C203" s="2"/>
      <c r="D203" s="2"/>
      <c r="E203" s="2"/>
      <c r="F203" s="2"/>
    </row>
    <row r="204" spans="3:6" x14ac:dyDescent="0.2">
      <c r="C204" s="2"/>
      <c r="D204" s="2"/>
      <c r="E204" s="2"/>
      <c r="F204" s="2"/>
    </row>
    <row r="205" spans="3:6" x14ac:dyDescent="0.2">
      <c r="C205" s="2"/>
      <c r="D205" s="2"/>
      <c r="E205" s="2"/>
      <c r="F205" s="2"/>
    </row>
    <row r="206" spans="3:6" x14ac:dyDescent="0.2">
      <c r="C206" s="2"/>
      <c r="D206" s="2"/>
      <c r="E206" s="2"/>
      <c r="F206" s="2"/>
    </row>
    <row r="207" spans="3:6" x14ac:dyDescent="0.2">
      <c r="C207" s="2"/>
      <c r="D207" s="2"/>
      <c r="E207" s="2"/>
      <c r="F207" s="2"/>
    </row>
    <row r="208" spans="3:6" x14ac:dyDescent="0.2">
      <c r="C208" s="2"/>
      <c r="D208" s="2"/>
      <c r="E208" s="2"/>
      <c r="F208" s="2"/>
    </row>
    <row r="209" spans="3:6" x14ac:dyDescent="0.2">
      <c r="C209" s="2"/>
      <c r="D209" s="2"/>
      <c r="E209" s="2"/>
      <c r="F209" s="2"/>
    </row>
    <row r="210" spans="3:6" x14ac:dyDescent="0.2">
      <c r="C210" s="2"/>
      <c r="D210" s="2"/>
      <c r="E210" s="2"/>
      <c r="F210" s="2"/>
    </row>
    <row r="211" spans="3:6" x14ac:dyDescent="0.2">
      <c r="C211" s="2"/>
      <c r="D211" s="2"/>
      <c r="E211" s="2"/>
      <c r="F211" s="2"/>
    </row>
  </sheetData>
  <pageMargins left="0.25" right="0.25" top="0.75" bottom="0.75" header="0.3" footer="0.3"/>
  <pageSetup scale="88" orientation="landscape"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5AE06-A736-B24A-8BAA-64C7D91377E6}">
  <sheetPr>
    <pageSetUpPr fitToPage="1"/>
  </sheetPr>
  <dimension ref="A1:I4"/>
  <sheetViews>
    <sheetView workbookViewId="0">
      <selection activeCell="F13" sqref="F13"/>
    </sheetView>
  </sheetViews>
  <sheetFormatPr baseColWidth="10" defaultRowHeight="16" x14ac:dyDescent="0.2"/>
  <cols>
    <col min="1" max="1" width="27.83203125" customWidth="1"/>
    <col min="4" max="4" width="18.33203125" customWidth="1"/>
  </cols>
  <sheetData>
    <row r="1" spans="1:9" ht="91" thickBot="1" x14ac:dyDescent="0.25">
      <c r="A1" s="66" t="s">
        <v>0</v>
      </c>
      <c r="B1" s="67" t="s">
        <v>11</v>
      </c>
      <c r="C1" s="67" t="s">
        <v>12</v>
      </c>
      <c r="D1" s="67" t="s">
        <v>13</v>
      </c>
      <c r="E1" s="67" t="s">
        <v>14</v>
      </c>
      <c r="F1" s="67" t="s">
        <v>15</v>
      </c>
      <c r="G1" s="68" t="s">
        <v>16</v>
      </c>
      <c r="H1" s="68" t="s">
        <v>17</v>
      </c>
      <c r="I1" s="67" t="s">
        <v>21</v>
      </c>
    </row>
    <row r="2" spans="1:9" x14ac:dyDescent="0.2">
      <c r="A2" s="69" t="s">
        <v>64</v>
      </c>
      <c r="B2" s="70"/>
      <c r="C2" s="71"/>
      <c r="D2" s="71" t="s">
        <v>104</v>
      </c>
      <c r="E2" s="72">
        <v>7.9000000000000001E-2</v>
      </c>
      <c r="F2" s="73" t="s">
        <v>105</v>
      </c>
      <c r="G2" s="74"/>
      <c r="H2" s="74" t="s">
        <v>51</v>
      </c>
      <c r="I2" s="75">
        <v>0</v>
      </c>
    </row>
    <row r="3" spans="1:9" x14ac:dyDescent="0.2">
      <c r="A3" s="69" t="s">
        <v>76</v>
      </c>
      <c r="B3" s="70"/>
      <c r="C3" s="71"/>
      <c r="D3" s="71" t="s">
        <v>104</v>
      </c>
      <c r="E3" s="72">
        <v>9.8001029496554454E-2</v>
      </c>
      <c r="F3" s="73" t="s">
        <v>105</v>
      </c>
      <c r="G3" s="74"/>
      <c r="H3" s="74" t="s">
        <v>51</v>
      </c>
      <c r="I3" s="75">
        <v>0</v>
      </c>
    </row>
    <row r="4" spans="1:9" x14ac:dyDescent="0.2">
      <c r="A4" s="69" t="s">
        <v>85</v>
      </c>
      <c r="B4" s="70"/>
      <c r="C4" s="71"/>
      <c r="D4" s="71" t="s">
        <v>104</v>
      </c>
      <c r="E4" s="72">
        <v>4.6100000000000002E-2</v>
      </c>
      <c r="F4" s="73" t="s">
        <v>105</v>
      </c>
      <c r="G4" s="74"/>
      <c r="H4" s="74" t="s">
        <v>51</v>
      </c>
      <c r="I4" s="75">
        <v>0</v>
      </c>
    </row>
  </sheetData>
  <pageMargins left="0.7" right="0.7" top="0.75" bottom="0.75" header="0.3" footer="0.3"/>
  <pageSetup scale="94"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AB63-A763-4847-9503-D1FF36A998F6}">
  <dimension ref="A1:D54"/>
  <sheetViews>
    <sheetView workbookViewId="0">
      <selection activeCell="A2" sqref="A2:A54"/>
    </sheetView>
  </sheetViews>
  <sheetFormatPr baseColWidth="10" defaultRowHeight="16" x14ac:dyDescent="0.2"/>
  <cols>
    <col min="1" max="1" width="38.1640625" customWidth="1"/>
    <col min="3" max="3" width="11" customWidth="1"/>
  </cols>
  <sheetData>
    <row r="1" spans="1:4" x14ac:dyDescent="0.2">
      <c r="A1" s="35" t="s">
        <v>52</v>
      </c>
      <c r="B1" s="35" t="s">
        <v>53</v>
      </c>
      <c r="C1" s="35" t="s">
        <v>54</v>
      </c>
      <c r="D1" t="s">
        <v>88</v>
      </c>
    </row>
    <row r="2" spans="1:4" x14ac:dyDescent="0.2">
      <c r="A2" t="s">
        <v>59</v>
      </c>
      <c r="B2" t="s">
        <v>55</v>
      </c>
    </row>
    <row r="3" spans="1:4" s="37" customFormat="1" x14ac:dyDescent="0.2">
      <c r="A3" t="s">
        <v>60</v>
      </c>
      <c r="B3" t="s">
        <v>55</v>
      </c>
      <c r="C3"/>
      <c r="D3"/>
    </row>
    <row r="4" spans="1:4" s="37" customFormat="1" x14ac:dyDescent="0.2">
      <c r="A4" s="37" t="s">
        <v>61</v>
      </c>
      <c r="B4" s="37" t="s">
        <v>58</v>
      </c>
    </row>
    <row r="5" spans="1:4" x14ac:dyDescent="0.2">
      <c r="A5" t="s">
        <v>62</v>
      </c>
      <c r="B5" t="s">
        <v>55</v>
      </c>
    </row>
    <row r="6" spans="1:4" x14ac:dyDescent="0.2">
      <c r="A6" t="s">
        <v>63</v>
      </c>
      <c r="B6" t="s">
        <v>55</v>
      </c>
    </row>
    <row r="7" spans="1:4" x14ac:dyDescent="0.2">
      <c r="A7" t="s">
        <v>64</v>
      </c>
      <c r="B7" t="s">
        <v>55</v>
      </c>
    </row>
    <row r="8" spans="1:4" x14ac:dyDescent="0.2">
      <c r="A8" t="s">
        <v>34</v>
      </c>
      <c r="B8" t="s">
        <v>55</v>
      </c>
    </row>
    <row r="9" spans="1:4" x14ac:dyDescent="0.2">
      <c r="A9" t="s">
        <v>65</v>
      </c>
      <c r="B9" t="s">
        <v>55</v>
      </c>
    </row>
    <row r="10" spans="1:4" x14ac:dyDescent="0.2">
      <c r="A10" t="s">
        <v>37</v>
      </c>
      <c r="B10" t="s">
        <v>55</v>
      </c>
    </row>
    <row r="11" spans="1:4" x14ac:dyDescent="0.2">
      <c r="A11" t="s">
        <v>40</v>
      </c>
      <c r="B11" t="s">
        <v>55</v>
      </c>
    </row>
    <row r="12" spans="1:4" x14ac:dyDescent="0.2">
      <c r="A12" t="s">
        <v>43</v>
      </c>
      <c r="B12" t="s">
        <v>55</v>
      </c>
    </row>
    <row r="13" spans="1:4" x14ac:dyDescent="0.2">
      <c r="A13" t="s">
        <v>46</v>
      </c>
      <c r="B13" t="s">
        <v>55</v>
      </c>
    </row>
    <row r="14" spans="1:4" x14ac:dyDescent="0.2">
      <c r="A14" t="s">
        <v>66</v>
      </c>
      <c r="B14" t="s">
        <v>67</v>
      </c>
    </row>
    <row r="15" spans="1:4" x14ac:dyDescent="0.2">
      <c r="A15" t="s">
        <v>68</v>
      </c>
      <c r="B15" t="s">
        <v>67</v>
      </c>
    </row>
    <row r="16" spans="1:4" x14ac:dyDescent="0.2">
      <c r="A16" t="s">
        <v>69</v>
      </c>
      <c r="B16" t="s">
        <v>55</v>
      </c>
    </row>
    <row r="17" spans="1:2" x14ac:dyDescent="0.2">
      <c r="A17" t="s">
        <v>32</v>
      </c>
      <c r="B17" t="s">
        <v>55</v>
      </c>
    </row>
    <row r="18" spans="1:2" x14ac:dyDescent="0.2">
      <c r="A18" t="s">
        <v>70</v>
      </c>
      <c r="B18" t="s">
        <v>71</v>
      </c>
    </row>
    <row r="19" spans="1:2" x14ac:dyDescent="0.2">
      <c r="A19" t="s">
        <v>72</v>
      </c>
      <c r="B19" t="s">
        <v>55</v>
      </c>
    </row>
    <row r="20" spans="1:2" x14ac:dyDescent="0.2">
      <c r="A20" t="s">
        <v>73</v>
      </c>
      <c r="B20" t="s">
        <v>55</v>
      </c>
    </row>
    <row r="21" spans="1:2" x14ac:dyDescent="0.2">
      <c r="A21" t="s">
        <v>74</v>
      </c>
      <c r="B21" t="s">
        <v>55</v>
      </c>
    </row>
    <row r="22" spans="1:2" x14ac:dyDescent="0.2">
      <c r="A22" t="s">
        <v>75</v>
      </c>
      <c r="B22" t="s">
        <v>55</v>
      </c>
    </row>
    <row r="23" spans="1:2" x14ac:dyDescent="0.2">
      <c r="A23" t="s">
        <v>76</v>
      </c>
      <c r="B23" t="s">
        <v>55</v>
      </c>
    </row>
    <row r="24" spans="1:2" x14ac:dyDescent="0.2">
      <c r="A24" t="s">
        <v>35</v>
      </c>
      <c r="B24" t="s">
        <v>55</v>
      </c>
    </row>
    <row r="25" spans="1:2" x14ac:dyDescent="0.2">
      <c r="A25" t="s">
        <v>77</v>
      </c>
      <c r="B25" t="s">
        <v>55</v>
      </c>
    </row>
    <row r="26" spans="1:2" x14ac:dyDescent="0.2">
      <c r="A26" t="s">
        <v>38</v>
      </c>
      <c r="B26" t="s">
        <v>55</v>
      </c>
    </row>
    <row r="27" spans="1:2" x14ac:dyDescent="0.2">
      <c r="A27" t="s">
        <v>41</v>
      </c>
      <c r="B27" t="s">
        <v>55</v>
      </c>
    </row>
    <row r="28" spans="1:2" x14ac:dyDescent="0.2">
      <c r="A28" t="s">
        <v>44</v>
      </c>
      <c r="B28" t="s">
        <v>55</v>
      </c>
    </row>
    <row r="29" spans="1:2" x14ac:dyDescent="0.2">
      <c r="A29" t="s">
        <v>47</v>
      </c>
      <c r="B29" t="s">
        <v>55</v>
      </c>
    </row>
    <row r="30" spans="1:2" x14ac:dyDescent="0.2">
      <c r="A30" t="s">
        <v>78</v>
      </c>
      <c r="B30" t="s">
        <v>67</v>
      </c>
    </row>
    <row r="31" spans="1:2" x14ac:dyDescent="0.2">
      <c r="A31" t="s">
        <v>79</v>
      </c>
      <c r="B31" t="s">
        <v>55</v>
      </c>
    </row>
    <row r="32" spans="1:2" x14ac:dyDescent="0.2">
      <c r="A32" t="s">
        <v>50</v>
      </c>
      <c r="B32" t="s">
        <v>55</v>
      </c>
    </row>
    <row r="33" spans="1:2" x14ac:dyDescent="0.2">
      <c r="A33" t="s">
        <v>26</v>
      </c>
      <c r="B33" t="s">
        <v>55</v>
      </c>
    </row>
    <row r="34" spans="1:2" x14ac:dyDescent="0.2">
      <c r="A34" t="s">
        <v>31</v>
      </c>
      <c r="B34" t="s">
        <v>55</v>
      </c>
    </row>
    <row r="35" spans="1:2" x14ac:dyDescent="0.2">
      <c r="A35" s="36" t="s">
        <v>24</v>
      </c>
      <c r="B35" t="s">
        <v>55</v>
      </c>
    </row>
    <row r="36" spans="1:2" x14ac:dyDescent="0.2">
      <c r="A36" t="s">
        <v>56</v>
      </c>
      <c r="B36" t="s">
        <v>55</v>
      </c>
    </row>
    <row r="37" spans="1:2" x14ac:dyDescent="0.2">
      <c r="A37" t="s">
        <v>80</v>
      </c>
      <c r="B37" t="s">
        <v>71</v>
      </c>
    </row>
    <row r="38" spans="1:2" x14ac:dyDescent="0.2">
      <c r="A38" t="s">
        <v>81</v>
      </c>
      <c r="B38" t="s">
        <v>55</v>
      </c>
    </row>
    <row r="39" spans="1:2" x14ac:dyDescent="0.2">
      <c r="A39" t="s">
        <v>82</v>
      </c>
      <c r="B39" t="s">
        <v>55</v>
      </c>
    </row>
    <row r="40" spans="1:2" x14ac:dyDescent="0.2">
      <c r="A40" t="s">
        <v>83</v>
      </c>
      <c r="B40" t="s">
        <v>55</v>
      </c>
    </row>
    <row r="41" spans="1:2" x14ac:dyDescent="0.2">
      <c r="A41" t="s">
        <v>84</v>
      </c>
      <c r="B41" t="s">
        <v>55</v>
      </c>
    </row>
    <row r="42" spans="1:2" x14ac:dyDescent="0.2">
      <c r="A42" t="s">
        <v>85</v>
      </c>
      <c r="B42" t="s">
        <v>55</v>
      </c>
    </row>
    <row r="43" spans="1:2" x14ac:dyDescent="0.2">
      <c r="A43" t="s">
        <v>36</v>
      </c>
      <c r="B43" t="s">
        <v>55</v>
      </c>
    </row>
    <row r="44" spans="1:2" x14ac:dyDescent="0.2">
      <c r="A44" t="s">
        <v>86</v>
      </c>
      <c r="B44" t="s">
        <v>55</v>
      </c>
    </row>
    <row r="45" spans="1:2" x14ac:dyDescent="0.2">
      <c r="A45" t="s">
        <v>39</v>
      </c>
      <c r="B45" t="s">
        <v>55</v>
      </c>
    </row>
    <row r="46" spans="1:2" x14ac:dyDescent="0.2">
      <c r="A46" t="s">
        <v>42</v>
      </c>
      <c r="B46" t="s">
        <v>55</v>
      </c>
    </row>
    <row r="47" spans="1:2" x14ac:dyDescent="0.2">
      <c r="A47" t="s">
        <v>45</v>
      </c>
      <c r="B47" t="s">
        <v>55</v>
      </c>
    </row>
    <row r="48" spans="1:2" x14ac:dyDescent="0.2">
      <c r="A48" t="s">
        <v>48</v>
      </c>
      <c r="B48" t="s">
        <v>55</v>
      </c>
    </row>
    <row r="49" spans="1:4" x14ac:dyDescent="0.2">
      <c r="A49" t="s">
        <v>87</v>
      </c>
      <c r="B49" t="s">
        <v>55</v>
      </c>
    </row>
    <row r="50" spans="1:4" x14ac:dyDescent="0.2">
      <c r="A50" t="s">
        <v>49</v>
      </c>
      <c r="B50" t="s">
        <v>55</v>
      </c>
    </row>
    <row r="51" spans="1:4" x14ac:dyDescent="0.2">
      <c r="A51" t="s">
        <v>30</v>
      </c>
      <c r="B51" t="s">
        <v>55</v>
      </c>
    </row>
    <row r="52" spans="1:4" x14ac:dyDescent="0.2">
      <c r="A52" t="s">
        <v>33</v>
      </c>
      <c r="B52" t="s">
        <v>55</v>
      </c>
    </row>
    <row r="53" spans="1:4" x14ac:dyDescent="0.2">
      <c r="A53" t="s">
        <v>28</v>
      </c>
      <c r="B53" t="s">
        <v>55</v>
      </c>
    </row>
    <row r="54" spans="1:4" x14ac:dyDescent="0.2">
      <c r="A54" s="37" t="s">
        <v>57</v>
      </c>
      <c r="B54" s="37" t="s">
        <v>58</v>
      </c>
      <c r="C54" s="37"/>
      <c r="D54" s="37"/>
    </row>
  </sheetData>
  <sortState xmlns:xlrd2="http://schemas.microsoft.com/office/spreadsheetml/2017/richdata2" ref="A2:B54">
    <sortCondition ref="B2:B54"/>
  </sortState>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0B431-61EE-B546-A32A-A6F9F1DF954D}">
  <dimension ref="A1:D65"/>
  <sheetViews>
    <sheetView tabSelected="1" workbookViewId="0">
      <selection sqref="A1:B65"/>
    </sheetView>
  </sheetViews>
  <sheetFormatPr baseColWidth="10" defaultRowHeight="16" x14ac:dyDescent="0.2"/>
  <cols>
    <col min="1" max="1" width="17.5" customWidth="1"/>
    <col min="2" max="2" width="35.5" customWidth="1"/>
    <col min="3" max="3" width="13.83203125" style="38" customWidth="1"/>
  </cols>
  <sheetData>
    <row r="1" spans="1:4" ht="34" x14ac:dyDescent="0.2">
      <c r="A1" s="49" t="s">
        <v>106</v>
      </c>
      <c r="B1" s="50" t="s">
        <v>0</v>
      </c>
      <c r="C1" s="77" t="s">
        <v>174</v>
      </c>
    </row>
    <row r="2" spans="1:4" x14ac:dyDescent="0.2">
      <c r="A2" s="36" t="s">
        <v>107</v>
      </c>
      <c r="B2" s="36" t="s">
        <v>24</v>
      </c>
      <c r="C2" s="38">
        <f>dilutions_first_round!U9</f>
        <v>50.110737916720815</v>
      </c>
      <c r="D2" t="str">
        <f>dilutions_first_round!A9</f>
        <v>TMP_FW_SOURCE_HR0</v>
      </c>
    </row>
    <row r="3" spans="1:4" x14ac:dyDescent="0.2">
      <c r="A3" s="36" t="s">
        <v>108</v>
      </c>
      <c r="B3" s="36" t="s">
        <v>56</v>
      </c>
    </row>
    <row r="4" spans="1:4" x14ac:dyDescent="0.2">
      <c r="A4" s="36" t="s">
        <v>109</v>
      </c>
      <c r="B4" s="36" t="s">
        <v>26</v>
      </c>
    </row>
    <row r="5" spans="1:4" x14ac:dyDescent="0.2">
      <c r="A5" s="76" t="s">
        <v>110</v>
      </c>
      <c r="B5" s="76" t="s">
        <v>27</v>
      </c>
    </row>
    <row r="6" spans="1:4" x14ac:dyDescent="0.2">
      <c r="A6" s="36" t="s">
        <v>111</v>
      </c>
      <c r="B6" s="36" t="s">
        <v>28</v>
      </c>
    </row>
    <row r="7" spans="1:4" x14ac:dyDescent="0.2">
      <c r="A7" s="76" t="s">
        <v>112</v>
      </c>
      <c r="B7" s="76" t="s">
        <v>29</v>
      </c>
    </row>
    <row r="8" spans="1:4" x14ac:dyDescent="0.2">
      <c r="A8" s="36" t="s">
        <v>113</v>
      </c>
      <c r="B8" s="36" t="s">
        <v>30</v>
      </c>
    </row>
    <row r="9" spans="1:4" x14ac:dyDescent="0.2">
      <c r="A9" s="36" t="s">
        <v>114</v>
      </c>
      <c r="B9" s="36" t="s">
        <v>31</v>
      </c>
    </row>
    <row r="10" spans="1:4" x14ac:dyDescent="0.2">
      <c r="A10" s="36" t="s">
        <v>115</v>
      </c>
      <c r="B10" s="36" t="s">
        <v>32</v>
      </c>
    </row>
    <row r="11" spans="1:4" x14ac:dyDescent="0.2">
      <c r="A11" s="36" t="s">
        <v>116</v>
      </c>
      <c r="B11" s="36" t="s">
        <v>33</v>
      </c>
      <c r="C11" s="38">
        <f>dilutions_first_round!U13</f>
        <v>52.180684864950209</v>
      </c>
      <c r="D11" t="str">
        <f>dilutions_first_round!A13</f>
        <v>TMP_SW_POOL_T4</v>
      </c>
    </row>
    <row r="12" spans="1:4" x14ac:dyDescent="0.2">
      <c r="A12" s="36" t="s">
        <v>117</v>
      </c>
      <c r="B12" s="36" t="s">
        <v>34</v>
      </c>
      <c r="C12" s="38">
        <f>dilutions_first_round!U3</f>
        <v>46.240782150251214</v>
      </c>
      <c r="D12" t="str">
        <f>dilutions_first_round!A3</f>
        <v>TMP_C_POOL_20220912_20220915</v>
      </c>
    </row>
    <row r="13" spans="1:4" x14ac:dyDescent="0.2">
      <c r="A13" s="36" t="s">
        <v>118</v>
      </c>
      <c r="B13" s="36" t="s">
        <v>35</v>
      </c>
      <c r="C13" s="38">
        <f>dilutions_first_round!U4</f>
        <v>50.786082087702589</v>
      </c>
      <c r="D13" t="str">
        <f>dilutions_first_round!A4</f>
        <v>TMP_C_POOL_20221019_20221024</v>
      </c>
    </row>
    <row r="14" spans="1:4" x14ac:dyDescent="0.2">
      <c r="A14" s="36" t="s">
        <v>119</v>
      </c>
      <c r="B14" s="36" t="s">
        <v>36</v>
      </c>
    </row>
    <row r="15" spans="1:4" x14ac:dyDescent="0.2">
      <c r="A15" s="36" t="s">
        <v>120</v>
      </c>
      <c r="B15" s="36" t="s">
        <v>89</v>
      </c>
    </row>
    <row r="16" spans="1:4" x14ac:dyDescent="0.2">
      <c r="A16" s="36" t="s">
        <v>121</v>
      </c>
      <c r="B16" s="36" t="s">
        <v>90</v>
      </c>
    </row>
    <row r="17" spans="1:3" x14ac:dyDescent="0.2">
      <c r="A17" s="36" t="s">
        <v>122</v>
      </c>
      <c r="B17" s="36" t="s">
        <v>86</v>
      </c>
    </row>
    <row r="18" spans="1:3" x14ac:dyDescent="0.2">
      <c r="A18" s="36" t="s">
        <v>123</v>
      </c>
      <c r="B18" s="36" t="s">
        <v>40</v>
      </c>
    </row>
    <row r="19" spans="1:3" x14ac:dyDescent="0.2">
      <c r="A19" s="45" t="s">
        <v>124</v>
      </c>
      <c r="B19" s="45" t="s">
        <v>41</v>
      </c>
    </row>
    <row r="20" spans="1:3" x14ac:dyDescent="0.2">
      <c r="A20" s="36" t="s">
        <v>125</v>
      </c>
      <c r="B20" s="52" t="s">
        <v>42</v>
      </c>
    </row>
    <row r="21" spans="1:3" x14ac:dyDescent="0.2">
      <c r="A21" s="36" t="s">
        <v>126</v>
      </c>
      <c r="B21" s="45" t="s">
        <v>49</v>
      </c>
    </row>
    <row r="22" spans="1:3" x14ac:dyDescent="0.2">
      <c r="A22" s="76" t="s">
        <v>127</v>
      </c>
      <c r="B22" s="76" t="s">
        <v>103</v>
      </c>
    </row>
    <row r="23" spans="1:3" x14ac:dyDescent="0.2">
      <c r="A23" s="36" t="s">
        <v>128</v>
      </c>
      <c r="B23" s="45" t="s">
        <v>50</v>
      </c>
    </row>
    <row r="24" spans="1:3" x14ac:dyDescent="0.2">
      <c r="A24" s="76" t="s">
        <v>130</v>
      </c>
      <c r="B24" s="76" t="s">
        <v>129</v>
      </c>
    </row>
    <row r="25" spans="1:3" x14ac:dyDescent="0.2">
      <c r="A25" s="36" t="s">
        <v>131</v>
      </c>
      <c r="B25" s="36" t="s">
        <v>59</v>
      </c>
    </row>
    <row r="26" spans="1:3" x14ac:dyDescent="0.2">
      <c r="A26" s="36" t="s">
        <v>132</v>
      </c>
      <c r="B26" s="36" t="s">
        <v>69</v>
      </c>
    </row>
    <row r="27" spans="1:3" x14ac:dyDescent="0.2">
      <c r="A27" s="36" t="s">
        <v>133</v>
      </c>
      <c r="B27" s="36" t="s">
        <v>60</v>
      </c>
    </row>
    <row r="28" spans="1:3" x14ac:dyDescent="0.2">
      <c r="A28" s="36" t="s">
        <v>134</v>
      </c>
      <c r="B28" s="36" t="s">
        <v>61</v>
      </c>
    </row>
    <row r="29" spans="1:3" x14ac:dyDescent="0.2">
      <c r="A29" s="36" t="s">
        <v>136</v>
      </c>
      <c r="B29" s="36" t="s">
        <v>135</v>
      </c>
    </row>
    <row r="30" spans="1:3" x14ac:dyDescent="0.2">
      <c r="A30" s="36" t="s">
        <v>137</v>
      </c>
      <c r="B30" s="36" t="s">
        <v>62</v>
      </c>
    </row>
    <row r="31" spans="1:3" x14ac:dyDescent="0.2">
      <c r="A31" s="36" t="s">
        <v>138</v>
      </c>
      <c r="B31" s="36" t="s">
        <v>63</v>
      </c>
    </row>
    <row r="32" spans="1:3" s="45" customFormat="1" x14ac:dyDescent="0.2">
      <c r="A32" s="36" t="s">
        <v>171</v>
      </c>
      <c r="B32" s="36" t="s">
        <v>92</v>
      </c>
      <c r="C32" s="46"/>
    </row>
    <row r="33" spans="1:2" x14ac:dyDescent="0.2">
      <c r="A33" s="36" t="s">
        <v>139</v>
      </c>
      <c r="B33" s="36" t="s">
        <v>64</v>
      </c>
    </row>
    <row r="34" spans="1:2" x14ac:dyDescent="0.2">
      <c r="A34" s="45" t="s">
        <v>140</v>
      </c>
      <c r="B34" s="45" t="s">
        <v>37</v>
      </c>
    </row>
    <row r="35" spans="1:2" x14ac:dyDescent="0.2">
      <c r="A35" s="36" t="s">
        <v>141</v>
      </c>
      <c r="B35" s="36" t="s">
        <v>43</v>
      </c>
    </row>
    <row r="36" spans="1:2" x14ac:dyDescent="0.2">
      <c r="A36" s="36" t="s">
        <v>142</v>
      </c>
      <c r="B36" s="36" t="s">
        <v>46</v>
      </c>
    </row>
    <row r="37" spans="1:2" x14ac:dyDescent="0.2">
      <c r="A37" s="36" t="s">
        <v>143</v>
      </c>
      <c r="B37" s="36" t="s">
        <v>70</v>
      </c>
    </row>
    <row r="38" spans="1:2" x14ac:dyDescent="0.2">
      <c r="A38" s="36" t="s">
        <v>144</v>
      </c>
      <c r="B38" s="36" t="s">
        <v>78</v>
      </c>
    </row>
    <row r="39" spans="1:2" x14ac:dyDescent="0.2">
      <c r="A39" s="45" t="s">
        <v>145</v>
      </c>
      <c r="B39" s="45" t="s">
        <v>79</v>
      </c>
    </row>
    <row r="40" spans="1:2" x14ac:dyDescent="0.2">
      <c r="A40" s="36" t="s">
        <v>146</v>
      </c>
      <c r="B40" s="36" t="s">
        <v>72</v>
      </c>
    </row>
    <row r="41" spans="1:2" x14ac:dyDescent="0.2">
      <c r="A41" s="36" t="s">
        <v>147</v>
      </c>
      <c r="B41" s="36" t="s">
        <v>73</v>
      </c>
    </row>
    <row r="42" spans="1:2" x14ac:dyDescent="0.2">
      <c r="A42" s="36" t="s">
        <v>148</v>
      </c>
      <c r="B42" s="36" t="s">
        <v>93</v>
      </c>
    </row>
    <row r="43" spans="1:2" x14ac:dyDescent="0.2">
      <c r="A43" s="36" t="s">
        <v>149</v>
      </c>
      <c r="B43" s="36" t="s">
        <v>74</v>
      </c>
    </row>
    <row r="44" spans="1:2" x14ac:dyDescent="0.2">
      <c r="A44" s="36" t="s">
        <v>150</v>
      </c>
      <c r="B44" s="36" t="s">
        <v>75</v>
      </c>
    </row>
    <row r="45" spans="1:2" x14ac:dyDescent="0.2">
      <c r="A45" s="49" t="s">
        <v>106</v>
      </c>
      <c r="B45" s="50" t="s">
        <v>0</v>
      </c>
    </row>
    <row r="46" spans="1:2" x14ac:dyDescent="0.2">
      <c r="A46" s="36" t="s">
        <v>151</v>
      </c>
      <c r="B46" s="36" t="s">
        <v>94</v>
      </c>
    </row>
    <row r="47" spans="1:2" x14ac:dyDescent="0.2">
      <c r="A47" s="36" t="s">
        <v>152</v>
      </c>
      <c r="B47" s="36" t="s">
        <v>76</v>
      </c>
    </row>
    <row r="48" spans="1:2" x14ac:dyDescent="0.2">
      <c r="A48" s="36" t="s">
        <v>153</v>
      </c>
      <c r="B48" s="36" t="s">
        <v>38</v>
      </c>
    </row>
    <row r="49" spans="1:3" x14ac:dyDescent="0.2">
      <c r="A49" s="36" t="s">
        <v>154</v>
      </c>
      <c r="B49" s="36" t="s">
        <v>44</v>
      </c>
    </row>
    <row r="50" spans="1:3" s="51" customFormat="1" x14ac:dyDescent="0.2">
      <c r="A50" s="36" t="s">
        <v>155</v>
      </c>
      <c r="B50" s="36" t="s">
        <v>47</v>
      </c>
      <c r="C50" s="78"/>
    </row>
    <row r="51" spans="1:3" x14ac:dyDescent="0.2">
      <c r="A51" s="36" t="s">
        <v>157</v>
      </c>
      <c r="B51" s="36" t="s">
        <v>80</v>
      </c>
    </row>
    <row r="52" spans="1:3" x14ac:dyDescent="0.2">
      <c r="A52" s="45" t="s">
        <v>156</v>
      </c>
      <c r="B52" s="36" t="s">
        <v>87</v>
      </c>
    </row>
    <row r="53" spans="1:3" x14ac:dyDescent="0.2">
      <c r="A53" s="36" t="s">
        <v>158</v>
      </c>
      <c r="B53" s="36" t="s">
        <v>81</v>
      </c>
    </row>
    <row r="54" spans="1:3" x14ac:dyDescent="0.2">
      <c r="A54" s="36" t="s">
        <v>159</v>
      </c>
      <c r="B54" s="36" t="s">
        <v>82</v>
      </c>
    </row>
    <row r="55" spans="1:3" x14ac:dyDescent="0.2">
      <c r="A55" s="36" t="s">
        <v>160</v>
      </c>
      <c r="B55" s="36" t="s">
        <v>95</v>
      </c>
    </row>
    <row r="56" spans="1:3" x14ac:dyDescent="0.2">
      <c r="A56" s="36" t="s">
        <v>161</v>
      </c>
      <c r="B56" s="36" t="s">
        <v>83</v>
      </c>
    </row>
    <row r="57" spans="1:3" x14ac:dyDescent="0.2">
      <c r="A57" s="36" t="s">
        <v>162</v>
      </c>
      <c r="B57" s="36" t="s">
        <v>84</v>
      </c>
    </row>
    <row r="58" spans="1:3" x14ac:dyDescent="0.2">
      <c r="A58" s="36" t="s">
        <v>163</v>
      </c>
      <c r="B58" s="36" t="s">
        <v>96</v>
      </c>
    </row>
    <row r="59" spans="1:3" x14ac:dyDescent="0.2">
      <c r="A59" s="36" t="s">
        <v>164</v>
      </c>
      <c r="B59" s="36" t="s">
        <v>85</v>
      </c>
    </row>
    <row r="60" spans="1:3" x14ac:dyDescent="0.2">
      <c r="A60" s="36" t="s">
        <v>165</v>
      </c>
      <c r="B60" s="36" t="s">
        <v>39</v>
      </c>
    </row>
    <row r="61" spans="1:3" x14ac:dyDescent="0.2">
      <c r="A61" s="36" t="s">
        <v>166</v>
      </c>
      <c r="B61" s="36" t="s">
        <v>45</v>
      </c>
    </row>
    <row r="62" spans="1:3" x14ac:dyDescent="0.2">
      <c r="A62" s="36" t="s">
        <v>167</v>
      </c>
      <c r="B62" s="36" t="s">
        <v>48</v>
      </c>
    </row>
    <row r="63" spans="1:3" x14ac:dyDescent="0.2">
      <c r="A63" s="36" t="s">
        <v>168</v>
      </c>
      <c r="B63" s="45" t="s">
        <v>57</v>
      </c>
    </row>
    <row r="64" spans="1:3" x14ac:dyDescent="0.2">
      <c r="A64" s="76" t="s">
        <v>169</v>
      </c>
      <c r="B64" s="54" t="s">
        <v>173</v>
      </c>
    </row>
    <row r="65" spans="1:2" x14ac:dyDescent="0.2">
      <c r="A65" s="76" t="s">
        <v>172</v>
      </c>
      <c r="B65" s="76" t="s">
        <v>170</v>
      </c>
    </row>
  </sheetData>
  <sortState xmlns:xlrd2="http://schemas.microsoft.com/office/spreadsheetml/2017/richdata2" ref="A2:B65">
    <sortCondition ref="A2:A65"/>
  </sortState>
  <phoneticPr fontId="16" type="noConversion"/>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2" ma:contentTypeDescription="Create a new document." ma:contentTypeScope="" ma:versionID="20fb1344a9bd32bc158d0d839934976b">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8d0bf3083e045cbe9fbed241fbca83e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61128-2575-47A4-B1A9-B2C6E3FB02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21F518-5840-4B9C-B7A7-C68FEFA76CF1}">
  <ds:schemaRefs>
    <ds:schemaRef ds:uri="http://purl.org/dc/terms/"/>
    <ds:schemaRef ds:uri="http://purl.org/dc/dcmitype/"/>
    <ds:schemaRef ds:uri="http://schemas.microsoft.com/office/infopath/2007/PartnerControls"/>
    <ds:schemaRef ds:uri="http://schemas.openxmlformats.org/package/2006/metadata/core-properties"/>
    <ds:schemaRef ds:uri="5cece13e-3376-4417-9525-be60b11a89a8"/>
    <ds:schemaRef ds:uri="http://purl.org/dc/elements/1.1/"/>
    <ds:schemaRef ds:uri="http://schemas.microsoft.com/office/2006/metadata/properties"/>
    <ds:schemaRef ds:uri="http://schemas.microsoft.com/office/2006/documentManagement/types"/>
    <ds:schemaRef ds:uri="482683a9-e61d-4853-b10b-3f4a908e17aa"/>
    <ds:schemaRef ds:uri="03570766-e33a-4164-8943-6d32a7ac417a"/>
    <ds:schemaRef ds:uri="http://www.w3.org/XML/1998/namespace"/>
  </ds:schemaRefs>
</ds:datastoreItem>
</file>

<file path=customXml/itemProps3.xml><?xml version="1.0" encoding="utf-8"?>
<ds:datastoreItem xmlns:ds="http://schemas.openxmlformats.org/officeDocument/2006/customXml" ds:itemID="{DB7F15B3-A81F-4A71-B0B7-DFC0AD11F1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dilutions_first_round</vt:lpstr>
      <vt:lpstr>dilutions_calculations_sheet</vt:lpstr>
      <vt:lpstr>print me lab dilution sheet</vt:lpstr>
      <vt:lpstr>additions</vt:lpstr>
      <vt:lpstr>EMSL list</vt:lpstr>
      <vt:lpstr>EMSL Key</vt:lpstr>
      <vt:lpstr>'print me lab dilution sheet'!Print_Area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Myers-Pigg, Allison N</cp:lastModifiedBy>
  <cp:revision/>
  <cp:lastPrinted>2023-09-11T22:08:25Z</cp:lastPrinted>
  <dcterms:created xsi:type="dcterms:W3CDTF">2022-08-18T21:01:11Z</dcterms:created>
  <dcterms:modified xsi:type="dcterms:W3CDTF">2023-09-20T22:00:49Z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