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E:\"/>
    </mc:Choice>
  </mc:AlternateContent>
  <xr:revisionPtr revIDLastSave="0" documentId="13_ncr:1_{189A1CD2-7B19-4F7F-A3E8-C1D8580AD92B}" xr6:coauthVersionLast="47" xr6:coauthVersionMax="47" xr10:uidLastSave="{00000000-0000-0000-0000-000000000000}"/>
  <bookViews>
    <workbookView xWindow="30610" yWindow="-110" windowWidth="38620" windowHeight="21100" firstSheet="1" activeTab="1" xr2:uid="{00000000-000D-0000-FFFF-FFFF00000000}"/>
  </bookViews>
  <sheets>
    <sheet name="Final Exam_Fall 2020" sheetId="3" r:id="rId1"/>
    <sheet name="Part 1,3" sheetId="13" r:id="rId2"/>
    <sheet name="Part 2,4,5,6" sheetId="7" r:id="rId3"/>
    <sheet name="Part III " sheetId="9" state="hidden" r:id="rId4"/>
    <sheet name="Fin Stat. and Calc. Part 1  (3)" sheetId="12" state="hidden" r:id="rId5"/>
    <sheet name="Fin Stat. and Calc. Part 1" sheetId="6" state="hidden" r:id="rId6"/>
    <sheet name="Sheet3" sheetId="10" state="hidden" r:id="rId7"/>
    <sheet name="Assignments" sheetId="2" state="hidden" r:id="rId8"/>
    <sheet name="Fin Stat. and Calc. Part 1 (2)" sheetId="11" state="hidden" r:id="rId9"/>
    <sheet name="Financial Statements " sheetId="5" state="hidden" r:id="rId10"/>
    <sheet name="Instructions" sheetId="4" state="hidden" r:id="rId11"/>
  </sheets>
  <definedNames>
    <definedName name="_xlnm.Print_Area" localSheetId="0">'Final Exam_Fall 2020'!$A$1:$B$33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3" i="13" l="1"/>
  <c r="F253" i="13"/>
  <c r="G253" i="13"/>
  <c r="H253" i="13"/>
  <c r="I253" i="13"/>
  <c r="D253" i="13"/>
  <c r="E248" i="13"/>
  <c r="F248" i="13"/>
  <c r="G248" i="13"/>
  <c r="H248" i="13"/>
  <c r="H250" i="13" s="1"/>
  <c r="I248" i="13"/>
  <c r="I250" i="13" s="1"/>
  <c r="D248" i="13"/>
  <c r="G250" i="13"/>
  <c r="E250" i="13"/>
  <c r="F250" i="13"/>
  <c r="E243" i="13"/>
  <c r="F243" i="13"/>
  <c r="G243" i="13"/>
  <c r="H243" i="13"/>
  <c r="I243" i="13"/>
  <c r="E238" i="13"/>
  <c r="F238" i="13"/>
  <c r="G238" i="13"/>
  <c r="H238" i="13"/>
  <c r="I238" i="13"/>
  <c r="D238" i="13"/>
  <c r="E233" i="13"/>
  <c r="F233" i="13"/>
  <c r="G233" i="13"/>
  <c r="H233" i="13"/>
  <c r="I233" i="13"/>
  <c r="D233" i="13"/>
  <c r="E239" i="13"/>
  <c r="F239" i="13"/>
  <c r="G239" i="13"/>
  <c r="H239" i="13"/>
  <c r="I239" i="13"/>
  <c r="E230" i="13"/>
  <c r="F230" i="13"/>
  <c r="G230" i="13"/>
  <c r="H230" i="13"/>
  <c r="I230" i="13"/>
  <c r="D230" i="13"/>
  <c r="E221" i="13"/>
  <c r="F221" i="13"/>
  <c r="G221" i="13"/>
  <c r="H221" i="13"/>
  <c r="I221" i="13"/>
  <c r="D221" i="13"/>
  <c r="J221" i="13" s="1"/>
  <c r="E220" i="13"/>
  <c r="F220" i="13"/>
  <c r="G220" i="13"/>
  <c r="H220" i="13"/>
  <c r="I220" i="13"/>
  <c r="D220" i="13"/>
  <c r="E205" i="13"/>
  <c r="F205" i="13"/>
  <c r="G205" i="13"/>
  <c r="H205" i="13"/>
  <c r="I205" i="13"/>
  <c r="D205" i="13"/>
  <c r="E204" i="13"/>
  <c r="F204" i="13"/>
  <c r="G204" i="13"/>
  <c r="H204" i="13"/>
  <c r="I204" i="13"/>
  <c r="D204" i="13"/>
  <c r="E203" i="13"/>
  <c r="F203" i="13"/>
  <c r="G203" i="13"/>
  <c r="H203" i="13"/>
  <c r="I203" i="13"/>
  <c r="D203" i="13"/>
  <c r="E186" i="13"/>
  <c r="G186" i="13"/>
  <c r="H186" i="13"/>
  <c r="I186" i="13"/>
  <c r="D186" i="13"/>
  <c r="E185" i="13"/>
  <c r="F185" i="13"/>
  <c r="G185" i="13"/>
  <c r="H185" i="13"/>
  <c r="I185" i="13"/>
  <c r="D185" i="13"/>
  <c r="E183" i="13"/>
  <c r="F183" i="13"/>
  <c r="G183" i="13"/>
  <c r="H183" i="13"/>
  <c r="I183" i="13"/>
  <c r="I196" i="13" s="1"/>
  <c r="H169" i="13"/>
  <c r="E168" i="13"/>
  <c r="F168" i="13"/>
  <c r="G168" i="13"/>
  <c r="H168" i="13"/>
  <c r="I168" i="13"/>
  <c r="D168" i="13"/>
  <c r="H167" i="13"/>
  <c r="E166" i="13"/>
  <c r="F166" i="13"/>
  <c r="G166" i="13"/>
  <c r="H166" i="13"/>
  <c r="I166" i="13"/>
  <c r="D166" i="13"/>
  <c r="E162" i="13"/>
  <c r="F162" i="13"/>
  <c r="G162" i="13"/>
  <c r="H162" i="13"/>
  <c r="H163" i="13" s="1"/>
  <c r="I162" i="13"/>
  <c r="D162" i="13"/>
  <c r="D183" i="13"/>
  <c r="G157" i="13"/>
  <c r="H157" i="13"/>
  <c r="I157" i="13"/>
  <c r="F157" i="13"/>
  <c r="G156" i="13"/>
  <c r="H156" i="13"/>
  <c r="I156" i="13"/>
  <c r="E152" i="13"/>
  <c r="F152" i="13"/>
  <c r="G152" i="13"/>
  <c r="H152" i="13"/>
  <c r="I152" i="13"/>
  <c r="E147" i="13"/>
  <c r="F147" i="13"/>
  <c r="G147" i="13"/>
  <c r="H147" i="13"/>
  <c r="I147" i="13"/>
  <c r="E143" i="13"/>
  <c r="F143" i="13"/>
  <c r="G143" i="13"/>
  <c r="H143" i="13"/>
  <c r="I143" i="13"/>
  <c r="E138" i="13"/>
  <c r="F138" i="13"/>
  <c r="G138" i="13"/>
  <c r="H138" i="13"/>
  <c r="I138" i="13"/>
  <c r="E134" i="13"/>
  <c r="F134" i="13"/>
  <c r="G134" i="13"/>
  <c r="H134" i="13"/>
  <c r="I134" i="13"/>
  <c r="E133" i="13"/>
  <c r="F133" i="13"/>
  <c r="G133" i="13"/>
  <c r="H133" i="13"/>
  <c r="I133" i="13"/>
  <c r="E128" i="13"/>
  <c r="F128" i="13"/>
  <c r="G128" i="13"/>
  <c r="H128" i="13"/>
  <c r="I128" i="13"/>
  <c r="G125" i="13"/>
  <c r="H125" i="13"/>
  <c r="I125" i="13"/>
  <c r="F125" i="13"/>
  <c r="G121" i="13"/>
  <c r="G226" i="13" s="1"/>
  <c r="H121" i="13"/>
  <c r="I121" i="13"/>
  <c r="I226" i="13" s="1"/>
  <c r="F121" i="13"/>
  <c r="F226" i="13" s="1"/>
  <c r="G117" i="13"/>
  <c r="G223" i="13" s="1"/>
  <c r="H117" i="13"/>
  <c r="I117" i="13"/>
  <c r="G113" i="13"/>
  <c r="H113" i="13"/>
  <c r="I113" i="13"/>
  <c r="I114" i="13" s="1"/>
  <c r="F113" i="13"/>
  <c r="D113" i="13"/>
  <c r="D38" i="13"/>
  <c r="E38" i="13"/>
  <c r="E201" i="13" s="1"/>
  <c r="D31" i="13"/>
  <c r="E31" i="13"/>
  <c r="D25" i="13"/>
  <c r="D182" i="13" s="1"/>
  <c r="E16" i="13"/>
  <c r="D16" i="13"/>
  <c r="D7" i="13"/>
  <c r="E181" i="13" s="1"/>
  <c r="E7" i="13"/>
  <c r="F7" i="13"/>
  <c r="G7" i="13"/>
  <c r="H7" i="13"/>
  <c r="I7" i="13"/>
  <c r="E104" i="13"/>
  <c r="F104" i="13"/>
  <c r="G104" i="13"/>
  <c r="H104" i="13"/>
  <c r="E94" i="13"/>
  <c r="F94" i="13"/>
  <c r="G94" i="13"/>
  <c r="D88" i="13"/>
  <c r="D184" i="13" s="1"/>
  <c r="D192" i="13" s="1"/>
  <c r="E88" i="13"/>
  <c r="E184" i="13" s="1"/>
  <c r="F88" i="13"/>
  <c r="F184" i="13" s="1"/>
  <c r="G88" i="13"/>
  <c r="G184" i="13" s="1"/>
  <c r="E74" i="13"/>
  <c r="F74" i="13"/>
  <c r="G74" i="13"/>
  <c r="E49" i="13"/>
  <c r="E52" i="13" s="1"/>
  <c r="G49" i="13"/>
  <c r="G52" i="13" s="1"/>
  <c r="H49" i="13"/>
  <c r="H52" i="13" s="1"/>
  <c r="F38" i="13"/>
  <c r="F173" i="13" s="1"/>
  <c r="G38" i="13"/>
  <c r="G173" i="13" s="1"/>
  <c r="H38" i="13"/>
  <c r="H173" i="13" s="1"/>
  <c r="F31" i="13"/>
  <c r="G31" i="13"/>
  <c r="H31" i="13"/>
  <c r="I31" i="13"/>
  <c r="F25" i="13"/>
  <c r="G25" i="13"/>
  <c r="H25" i="13"/>
  <c r="I25" i="13"/>
  <c r="E113" i="13"/>
  <c r="D104" i="13"/>
  <c r="I38" i="13"/>
  <c r="I173" i="13" s="1"/>
  <c r="I49" i="13"/>
  <c r="I202" i="13" s="1"/>
  <c r="H74" i="13"/>
  <c r="I74" i="13"/>
  <c r="H88" i="13"/>
  <c r="H184" i="13" s="1"/>
  <c r="I88" i="13"/>
  <c r="I184" i="13" s="1"/>
  <c r="F16" i="13"/>
  <c r="G16" i="13"/>
  <c r="H16" i="13"/>
  <c r="H19" i="13" s="1"/>
  <c r="H176" i="13" s="1"/>
  <c r="I16" i="13"/>
  <c r="J249" i="13"/>
  <c r="I199" i="13" l="1"/>
  <c r="F163" i="13"/>
  <c r="H199" i="13"/>
  <c r="G199" i="13"/>
  <c r="G114" i="13"/>
  <c r="G167" i="13"/>
  <c r="G196" i="13"/>
  <c r="F199" i="13"/>
  <c r="H122" i="13"/>
  <c r="H123" i="13" s="1"/>
  <c r="G169" i="13"/>
  <c r="E196" i="13"/>
  <c r="J220" i="13"/>
  <c r="I182" i="13"/>
  <c r="I192" i="13" s="1"/>
  <c r="G227" i="13"/>
  <c r="G228" i="13" s="1"/>
  <c r="F182" i="13"/>
  <c r="F192" i="13" s="1"/>
  <c r="H196" i="13"/>
  <c r="I167" i="13"/>
  <c r="I169" i="13"/>
  <c r="D199" i="13"/>
  <c r="I118" i="13"/>
  <c r="F39" i="13"/>
  <c r="H118" i="13"/>
  <c r="I163" i="13"/>
  <c r="H200" i="13"/>
  <c r="H209" i="13" s="1"/>
  <c r="F167" i="13"/>
  <c r="F169" i="13"/>
  <c r="I201" i="13"/>
  <c r="I211" i="13" s="1"/>
  <c r="G163" i="13"/>
  <c r="E169" i="13"/>
  <c r="G202" i="13"/>
  <c r="H226" i="13"/>
  <c r="D181" i="13"/>
  <c r="H182" i="13"/>
  <c r="H192" i="13" s="1"/>
  <c r="H201" i="13"/>
  <c r="H211" i="13" s="1"/>
  <c r="D39" i="13"/>
  <c r="H126" i="13"/>
  <c r="I181" i="13"/>
  <c r="G182" i="13"/>
  <c r="G190" i="13" s="1"/>
  <c r="G201" i="13"/>
  <c r="G211" i="13" s="1"/>
  <c r="E202" i="13"/>
  <c r="F201" i="13"/>
  <c r="D19" i="13"/>
  <c r="I122" i="13"/>
  <c r="I123" i="13" s="1"/>
  <c r="G181" i="13"/>
  <c r="H223" i="13"/>
  <c r="H181" i="13"/>
  <c r="I223" i="13"/>
  <c r="I227" i="13" s="1"/>
  <c r="I228" i="13" s="1"/>
  <c r="G19" i="13"/>
  <c r="E19" i="13"/>
  <c r="F181" i="13"/>
  <c r="I190" i="13"/>
  <c r="G122" i="13"/>
  <c r="G123" i="13" s="1"/>
  <c r="D173" i="13"/>
  <c r="F19" i="13"/>
  <c r="I19" i="13"/>
  <c r="D201" i="13"/>
  <c r="H202" i="13"/>
  <c r="H54" i="13"/>
  <c r="H56" i="13" s="1"/>
  <c r="G54" i="13"/>
  <c r="G56" i="13" s="1"/>
  <c r="I119" i="13"/>
  <c r="I130" i="13"/>
  <c r="I126" i="13"/>
  <c r="G130" i="13"/>
  <c r="H130" i="13"/>
  <c r="E54" i="13"/>
  <c r="E56" i="13" s="1"/>
  <c r="F114" i="13"/>
  <c r="G126" i="13"/>
  <c r="E173" i="13"/>
  <c r="I39" i="13"/>
  <c r="H119" i="13"/>
  <c r="I52" i="13"/>
  <c r="H114" i="13"/>
  <c r="G39" i="13"/>
  <c r="H39" i="13"/>
  <c r="G5" i="7"/>
  <c r="G13" i="7"/>
  <c r="F211" i="13" l="1"/>
  <c r="H190" i="13"/>
  <c r="H227" i="13"/>
  <c r="H228" i="13" s="1"/>
  <c r="H207" i="13"/>
  <c r="F190" i="13"/>
  <c r="H213" i="13"/>
  <c r="H172" i="13"/>
  <c r="H177" i="13" s="1"/>
  <c r="E172" i="13"/>
  <c r="E213" i="13"/>
  <c r="F200" i="13"/>
  <c r="F176" i="13"/>
  <c r="E200" i="13"/>
  <c r="E209" i="13" s="1"/>
  <c r="E176" i="13"/>
  <c r="D176" i="13"/>
  <c r="D200" i="13"/>
  <c r="D209" i="13" s="1"/>
  <c r="G192" i="13"/>
  <c r="G194" i="13"/>
  <c r="G188" i="13"/>
  <c r="F188" i="13"/>
  <c r="F194" i="13"/>
  <c r="I176" i="13"/>
  <c r="I200" i="13"/>
  <c r="I188" i="13"/>
  <c r="I194" i="13"/>
  <c r="H194" i="13"/>
  <c r="H188" i="13"/>
  <c r="G213" i="13"/>
  <c r="G172" i="13"/>
  <c r="G176" i="13"/>
  <c r="G200" i="13"/>
  <c r="D188" i="13"/>
  <c r="D194" i="13"/>
  <c r="H131" i="13"/>
  <c r="H136" i="13"/>
  <c r="I54" i="13"/>
  <c r="I56" i="13" s="1"/>
  <c r="I131" i="13"/>
  <c r="I136" i="13"/>
  <c r="G136" i="13"/>
  <c r="G131" i="13"/>
  <c r="G177" i="13" l="1"/>
  <c r="G215" i="13"/>
  <c r="G216" i="13"/>
  <c r="E216" i="13"/>
  <c r="E215" i="13"/>
  <c r="G209" i="13"/>
  <c r="G207" i="13"/>
  <c r="E177" i="13"/>
  <c r="I213" i="13"/>
  <c r="I172" i="13"/>
  <c r="I177" i="13" s="1"/>
  <c r="F209" i="13"/>
  <c r="F207" i="13"/>
  <c r="I209" i="13"/>
  <c r="I207" i="13"/>
  <c r="H215" i="13"/>
  <c r="H216" i="13"/>
  <c r="G141" i="13"/>
  <c r="G144" i="13" s="1"/>
  <c r="G139" i="13"/>
  <c r="I141" i="13"/>
  <c r="I144" i="13" s="1"/>
  <c r="I139" i="13"/>
  <c r="H141" i="13"/>
  <c r="H144" i="13" s="1"/>
  <c r="H139" i="13"/>
  <c r="F103" i="5"/>
  <c r="E103" i="5"/>
  <c r="D103" i="5"/>
  <c r="E100" i="5"/>
  <c r="F93" i="5"/>
  <c r="E93" i="5"/>
  <c r="D93" i="5"/>
  <c r="F87" i="5"/>
  <c r="E87" i="5"/>
  <c r="D87" i="5"/>
  <c r="F73" i="5"/>
  <c r="E73" i="5"/>
  <c r="D73" i="5"/>
  <c r="F63" i="5"/>
  <c r="F55" i="5"/>
  <c r="E55" i="5"/>
  <c r="D55" i="5"/>
  <c r="E48" i="5"/>
  <c r="E51" i="5" s="1"/>
  <c r="D48" i="5"/>
  <c r="D51" i="5" s="1"/>
  <c r="F44" i="5"/>
  <c r="F48" i="5" s="1"/>
  <c r="F51" i="5" s="1"/>
  <c r="G37" i="5"/>
  <c r="F37" i="5"/>
  <c r="E37" i="5"/>
  <c r="D37" i="5"/>
  <c r="D38" i="5" s="1"/>
  <c r="E30" i="5"/>
  <c r="E38" i="5" s="1"/>
  <c r="G25" i="5"/>
  <c r="G38" i="5" s="1"/>
  <c r="F25" i="5"/>
  <c r="F38" i="5" s="1"/>
  <c r="E25" i="5"/>
  <c r="D25" i="5"/>
  <c r="G16" i="5"/>
  <c r="G19" i="5" s="1"/>
  <c r="F16" i="5"/>
  <c r="F19" i="5" s="1"/>
  <c r="E16" i="5"/>
  <c r="E19" i="5" s="1"/>
  <c r="D16" i="5"/>
  <c r="G7" i="5"/>
  <c r="F7" i="5"/>
  <c r="E7" i="5"/>
  <c r="D7" i="5"/>
  <c r="D19" i="5" s="1"/>
  <c r="F194" i="11"/>
  <c r="F190" i="11"/>
  <c r="D190" i="11"/>
  <c r="F176" i="11"/>
  <c r="E176" i="11"/>
  <c r="D176" i="11"/>
  <c r="F175" i="11"/>
  <c r="D175" i="11"/>
  <c r="F174" i="11"/>
  <c r="E174" i="11"/>
  <c r="D174" i="11"/>
  <c r="F165" i="11"/>
  <c r="F164" i="11"/>
  <c r="F163" i="11"/>
  <c r="D163" i="11"/>
  <c r="F151" i="11"/>
  <c r="F150" i="11"/>
  <c r="E150" i="11"/>
  <c r="D150" i="11"/>
  <c r="D151" i="11" s="1"/>
  <c r="E145" i="11"/>
  <c r="D145" i="11"/>
  <c r="F144" i="11"/>
  <c r="F145" i="11" s="1"/>
  <c r="E144" i="11"/>
  <c r="D144" i="11"/>
  <c r="F140" i="11"/>
  <c r="E140" i="11"/>
  <c r="E151" i="11" s="1"/>
  <c r="D140" i="11"/>
  <c r="F139" i="11"/>
  <c r="E139" i="11"/>
  <c r="D139" i="11"/>
  <c r="D127" i="11"/>
  <c r="D128" i="11" s="1"/>
  <c r="E125" i="11"/>
  <c r="F124" i="11"/>
  <c r="E124" i="11"/>
  <c r="D124" i="11"/>
  <c r="D125" i="11" s="1"/>
  <c r="F120" i="11"/>
  <c r="E120" i="11"/>
  <c r="E121" i="11" s="1"/>
  <c r="E122" i="11" s="1"/>
  <c r="D120" i="11"/>
  <c r="E116" i="11"/>
  <c r="D116" i="11"/>
  <c r="E118" i="11" s="1"/>
  <c r="E113" i="11"/>
  <c r="F112" i="11"/>
  <c r="F113" i="11" s="1"/>
  <c r="E112" i="11"/>
  <c r="D112" i="11"/>
  <c r="F103" i="11"/>
  <c r="E103" i="11"/>
  <c r="D103" i="11"/>
  <c r="E100" i="11"/>
  <c r="F93" i="11"/>
  <c r="E93" i="11"/>
  <c r="D93" i="11"/>
  <c r="F87" i="11"/>
  <c r="E87" i="11"/>
  <c r="E175" i="11" s="1"/>
  <c r="D87" i="11"/>
  <c r="F73" i="11"/>
  <c r="E73" i="11"/>
  <c r="D73" i="11"/>
  <c r="F63" i="11"/>
  <c r="F55" i="11"/>
  <c r="F198" i="11" s="1"/>
  <c r="E55" i="11"/>
  <c r="E198" i="11" s="1"/>
  <c r="D55" i="11"/>
  <c r="D198" i="11" s="1"/>
  <c r="E51" i="11"/>
  <c r="F48" i="11"/>
  <c r="E48" i="11"/>
  <c r="E191" i="11" s="1"/>
  <c r="D48" i="11"/>
  <c r="D191" i="11" s="1"/>
  <c r="F44" i="11"/>
  <c r="F116" i="11" s="1"/>
  <c r="F118" i="11" s="1"/>
  <c r="F37" i="11"/>
  <c r="E37" i="11"/>
  <c r="D37" i="11"/>
  <c r="D164" i="11" s="1"/>
  <c r="D30" i="11"/>
  <c r="F25" i="11"/>
  <c r="F188" i="11" s="1"/>
  <c r="F196" i="11" s="1"/>
  <c r="E25" i="11"/>
  <c r="E188" i="11" s="1"/>
  <c r="D25" i="11"/>
  <c r="F19" i="11"/>
  <c r="F189" i="11" s="1"/>
  <c r="D19" i="11"/>
  <c r="F16" i="11"/>
  <c r="E16" i="11"/>
  <c r="E19" i="11" s="1"/>
  <c r="D16" i="11"/>
  <c r="F7" i="11"/>
  <c r="F172" i="11" s="1"/>
  <c r="E7" i="11"/>
  <c r="E172" i="11" s="1"/>
  <c r="D7" i="11"/>
  <c r="D172" i="11" s="1"/>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B7" i="2"/>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E6" i="2"/>
  <c r="E5" i="2"/>
  <c r="B5" i="2"/>
  <c r="B6" i="2" s="1"/>
  <c r="E4" i="2"/>
  <c r="D8" i="9"/>
  <c r="C8" i="9"/>
  <c r="B8" i="9"/>
  <c r="G184" i="10"/>
  <c r="G182" i="10"/>
  <c r="G178" i="10"/>
  <c r="G177" i="10"/>
  <c r="G174" i="10"/>
  <c r="H58" i="6" s="1"/>
  <c r="G165" i="10"/>
  <c r="G49" i="6" s="1"/>
  <c r="D153" i="10"/>
  <c r="G153" i="10" s="1"/>
  <c r="G31" i="10" s="1"/>
  <c r="G185" i="10" s="1"/>
  <c r="G152" i="10"/>
  <c r="G29" i="10" s="1"/>
  <c r="G183" i="10" s="1"/>
  <c r="E152" i="10"/>
  <c r="D151" i="10"/>
  <c r="F150" i="10"/>
  <c r="E150" i="10"/>
  <c r="G150" i="10" s="1"/>
  <c r="F148" i="10"/>
  <c r="G146" i="10"/>
  <c r="F146" i="10"/>
  <c r="E146" i="10"/>
  <c r="E144" i="10"/>
  <c r="F142" i="10"/>
  <c r="G142" i="10" s="1"/>
  <c r="G19" i="10" s="1"/>
  <c r="G173" i="10" s="1"/>
  <c r="E142" i="10"/>
  <c r="F139" i="10"/>
  <c r="E139" i="10"/>
  <c r="D139" i="10"/>
  <c r="G139" i="10" s="1"/>
  <c r="G16" i="10" s="1"/>
  <c r="G170" i="10" s="1"/>
  <c r="F137" i="10"/>
  <c r="E137" i="10"/>
  <c r="D137" i="10"/>
  <c r="G137" i="10" s="1"/>
  <c r="G14" i="10" s="1"/>
  <c r="G168" i="10" s="1"/>
  <c r="E136" i="10"/>
  <c r="F135" i="10"/>
  <c r="E135" i="10"/>
  <c r="G134" i="10"/>
  <c r="F134" i="10"/>
  <c r="E134" i="10"/>
  <c r="F133" i="10"/>
  <c r="F132" i="10"/>
  <c r="E132" i="10"/>
  <c r="G132" i="10" s="1"/>
  <c r="F131" i="10"/>
  <c r="E131" i="10"/>
  <c r="G131" i="10" s="1"/>
  <c r="D131" i="10"/>
  <c r="G130" i="10"/>
  <c r="G7" i="10" s="1"/>
  <c r="G161" i="10" s="1"/>
  <c r="F130" i="10"/>
  <c r="E130" i="10"/>
  <c r="F128" i="10"/>
  <c r="E128" i="10"/>
  <c r="G128" i="10" s="1"/>
  <c r="G5" i="10" s="1"/>
  <c r="G159" i="10" s="1"/>
  <c r="F127" i="10"/>
  <c r="E127" i="10"/>
  <c r="G127" i="10" s="1"/>
  <c r="G4" i="10" s="1"/>
  <c r="G158" i="10" s="1"/>
  <c r="D127" i="10"/>
  <c r="F121" i="10"/>
  <c r="E121" i="10"/>
  <c r="D121" i="10"/>
  <c r="G117" i="10"/>
  <c r="F117" i="10"/>
  <c r="E117" i="10"/>
  <c r="D117" i="10"/>
  <c r="G113" i="10"/>
  <c r="F113" i="10"/>
  <c r="E113" i="10"/>
  <c r="D113" i="10"/>
  <c r="G105" i="10"/>
  <c r="G107" i="10" s="1"/>
  <c r="G109" i="10" s="1"/>
  <c r="G102" i="10"/>
  <c r="G98" i="10"/>
  <c r="F98" i="10"/>
  <c r="F102" i="10" s="1"/>
  <c r="F105" i="10" s="1"/>
  <c r="F107" i="10" s="1"/>
  <c r="F109" i="10" s="1"/>
  <c r="E98" i="10"/>
  <c r="E102" i="10" s="1"/>
  <c r="E105" i="10" s="1"/>
  <c r="E107" i="10" s="1"/>
  <c r="E109" i="10" s="1"/>
  <c r="D98" i="10"/>
  <c r="D102" i="10" s="1"/>
  <c r="D105" i="10" s="1"/>
  <c r="D107" i="10" s="1"/>
  <c r="D109" i="10" s="1"/>
  <c r="E91" i="10"/>
  <c r="D91" i="10"/>
  <c r="G87" i="10"/>
  <c r="F87" i="10"/>
  <c r="E87" i="10"/>
  <c r="G83" i="10"/>
  <c r="F83" i="10"/>
  <c r="E83" i="10"/>
  <c r="D83" i="10"/>
  <c r="F77" i="10"/>
  <c r="F79" i="10" s="1"/>
  <c r="E77" i="10"/>
  <c r="E79" i="10" s="1"/>
  <c r="F72" i="10"/>
  <c r="F75" i="10" s="1"/>
  <c r="E72" i="10"/>
  <c r="E75" i="10" s="1"/>
  <c r="D72" i="10"/>
  <c r="D75" i="10" s="1"/>
  <c r="D77" i="10" s="1"/>
  <c r="D79" i="10" s="1"/>
  <c r="G68" i="10"/>
  <c r="G72" i="10" s="1"/>
  <c r="G75" i="10" s="1"/>
  <c r="G77" i="10" s="1"/>
  <c r="G79" i="10" s="1"/>
  <c r="F68" i="10"/>
  <c r="E68" i="10"/>
  <c r="D68" i="10"/>
  <c r="G56" i="10"/>
  <c r="F56" i="10"/>
  <c r="E56" i="10"/>
  <c r="E148" i="10" s="1"/>
  <c r="G148" i="10" s="1"/>
  <c r="G25" i="10" s="1"/>
  <c r="G179" i="10" s="1"/>
  <c r="G52" i="10"/>
  <c r="F52" i="10"/>
  <c r="F144" i="10" s="1"/>
  <c r="E52" i="10"/>
  <c r="D52" i="10"/>
  <c r="G46" i="10"/>
  <c r="G48" i="10" s="1"/>
  <c r="E44" i="10"/>
  <c r="E46" i="10" s="1"/>
  <c r="E138" i="10" s="1"/>
  <c r="G41" i="10"/>
  <c r="G44" i="10" s="1"/>
  <c r="F41" i="10"/>
  <c r="F44" i="10" s="1"/>
  <c r="F46" i="10" s="1"/>
  <c r="G37" i="10"/>
  <c r="F37" i="10"/>
  <c r="E37" i="10"/>
  <c r="E41" i="10" s="1"/>
  <c r="E133" i="10" s="1"/>
  <c r="D37" i="10"/>
  <c r="D41" i="10" s="1"/>
  <c r="D44" i="10" s="1"/>
  <c r="D46" i="10" s="1"/>
  <c r="D48" i="10" s="1"/>
  <c r="G27" i="10"/>
  <c r="G181" i="10" s="1"/>
  <c r="G65" i="6" s="1"/>
  <c r="G23" i="10"/>
  <c r="F17" i="10"/>
  <c r="E17" i="10"/>
  <c r="D17" i="10"/>
  <c r="G11" i="10"/>
  <c r="G9" i="10"/>
  <c r="G163" i="10" s="1"/>
  <c r="G8" i="10"/>
  <c r="G162" i="10" s="1"/>
  <c r="G46" i="6" s="1"/>
  <c r="F6" i="10"/>
  <c r="E6" i="10"/>
  <c r="E129" i="10" s="1"/>
  <c r="D6" i="10"/>
  <c r="D129" i="10" s="1"/>
  <c r="F225" i="6"/>
  <c r="F217" i="6"/>
  <c r="E217" i="6"/>
  <c r="D217" i="6"/>
  <c r="E210" i="6"/>
  <c r="E213" i="6" s="1"/>
  <c r="D210" i="6"/>
  <c r="D213" i="6" s="1"/>
  <c r="F206" i="6"/>
  <c r="F210" i="6" s="1"/>
  <c r="F213" i="6" s="1"/>
  <c r="D198" i="6"/>
  <c r="F176" i="6"/>
  <c r="E176" i="6"/>
  <c r="D176" i="6"/>
  <c r="F174" i="6"/>
  <c r="E174" i="6"/>
  <c r="D174" i="6"/>
  <c r="F173" i="6"/>
  <c r="D173" i="6"/>
  <c r="D182" i="6" s="1"/>
  <c r="E163" i="6"/>
  <c r="D163" i="6"/>
  <c r="F150" i="6"/>
  <c r="F151" i="6" s="1"/>
  <c r="E150" i="6"/>
  <c r="D150" i="6"/>
  <c r="F145" i="6"/>
  <c r="E145" i="6"/>
  <c r="F144" i="6"/>
  <c r="E144" i="6"/>
  <c r="D144" i="6"/>
  <c r="F140" i="6"/>
  <c r="E140" i="6"/>
  <c r="E151" i="6" s="1"/>
  <c r="D140" i="6"/>
  <c r="D151" i="6" s="1"/>
  <c r="F139" i="6"/>
  <c r="E139" i="6"/>
  <c r="D139" i="6"/>
  <c r="D127" i="6"/>
  <c r="D128" i="6" s="1"/>
  <c r="F124" i="6"/>
  <c r="E124" i="6"/>
  <c r="D124" i="6"/>
  <c r="D125" i="6" s="1"/>
  <c r="F120" i="6"/>
  <c r="E120" i="6"/>
  <c r="E121" i="6" s="1"/>
  <c r="E122" i="6" s="1"/>
  <c r="D120" i="6"/>
  <c r="E116" i="6"/>
  <c r="E125" i="6" s="1"/>
  <c r="D116" i="6"/>
  <c r="F112" i="6"/>
  <c r="F113" i="6" s="1"/>
  <c r="I42" i="6" s="1"/>
  <c r="J42" i="6" s="1"/>
  <c r="K42" i="6" s="1"/>
  <c r="E112" i="6"/>
  <c r="E113" i="6" s="1"/>
  <c r="D112" i="6"/>
  <c r="F103" i="6"/>
  <c r="E103" i="6"/>
  <c r="D103" i="6"/>
  <c r="E100" i="6"/>
  <c r="F93" i="6"/>
  <c r="E93" i="6"/>
  <c r="D93" i="6"/>
  <c r="F87" i="6"/>
  <c r="F175" i="6" s="1"/>
  <c r="F182" i="6" s="1"/>
  <c r="E87" i="6"/>
  <c r="E175" i="6" s="1"/>
  <c r="D87" i="6"/>
  <c r="D175" i="6" s="1"/>
  <c r="F73" i="6"/>
  <c r="E73" i="6"/>
  <c r="D73" i="6"/>
  <c r="H67" i="6"/>
  <c r="G67" i="6"/>
  <c r="H65" i="6"/>
  <c r="F63" i="6"/>
  <c r="H62" i="6"/>
  <c r="G62" i="6"/>
  <c r="G58" i="6"/>
  <c r="F55" i="6"/>
  <c r="F163" i="6" s="1"/>
  <c r="E55" i="6"/>
  <c r="E198" i="6" s="1"/>
  <c r="D55" i="6"/>
  <c r="F51" i="6"/>
  <c r="K49" i="6"/>
  <c r="J49" i="6"/>
  <c r="I49" i="6"/>
  <c r="H49" i="6"/>
  <c r="E48" i="6"/>
  <c r="D48" i="6"/>
  <c r="I47" i="6"/>
  <c r="J47" i="6" s="1"/>
  <c r="I46" i="6"/>
  <c r="I45" i="6"/>
  <c r="F44" i="6"/>
  <c r="F48" i="6" s="1"/>
  <c r="F191" i="6" s="1"/>
  <c r="J43" i="6"/>
  <c r="K43" i="6" s="1"/>
  <c r="I43" i="6"/>
  <c r="G43" i="6"/>
  <c r="F37" i="6"/>
  <c r="E37" i="6"/>
  <c r="D37" i="6"/>
  <c r="D164" i="6" s="1"/>
  <c r="D30" i="6"/>
  <c r="F25" i="6"/>
  <c r="F188" i="6" s="1"/>
  <c r="E25" i="6"/>
  <c r="D25" i="6"/>
  <c r="D188" i="6" s="1"/>
  <c r="D194" i="6" s="1"/>
  <c r="E19" i="6"/>
  <c r="E189" i="6" s="1"/>
  <c r="D19" i="6"/>
  <c r="D189" i="6" s="1"/>
  <c r="F16" i="6"/>
  <c r="E16" i="6"/>
  <c r="D16" i="6"/>
  <c r="F7" i="6"/>
  <c r="F19" i="6" s="1"/>
  <c r="E7" i="6"/>
  <c r="E172" i="6" s="1"/>
  <c r="D7" i="6"/>
  <c r="D172" i="6" s="1"/>
  <c r="F365" i="12"/>
  <c r="K355" i="12"/>
  <c r="J355" i="12"/>
  <c r="H355" i="12"/>
  <c r="G355" i="12"/>
  <c r="I355" i="12" s="1"/>
  <c r="E354" i="12"/>
  <c r="E356" i="12" s="1"/>
  <c r="E352" i="12"/>
  <c r="J351" i="12"/>
  <c r="I351" i="12"/>
  <c r="H351" i="12"/>
  <c r="G351" i="12"/>
  <c r="K351" i="12" s="1"/>
  <c r="E349" i="12"/>
  <c r="D349" i="12"/>
  <c r="D352" i="12" s="1"/>
  <c r="D354" i="12" s="1"/>
  <c r="D356" i="12" s="1"/>
  <c r="F345" i="12"/>
  <c r="F349" i="12" s="1"/>
  <c r="F352" i="12" s="1"/>
  <c r="F354" i="12" s="1"/>
  <c r="F356" i="12" s="1"/>
  <c r="K344" i="12"/>
  <c r="I344" i="12"/>
  <c r="J344" i="12" s="1"/>
  <c r="F328" i="12"/>
  <c r="E328" i="12"/>
  <c r="D328" i="12"/>
  <c r="E327" i="12" s="1"/>
  <c r="E329" i="12" s="1"/>
  <c r="F327" i="12" s="1"/>
  <c r="F329" i="12" s="1"/>
  <c r="G323" i="12"/>
  <c r="E320" i="12"/>
  <c r="F320" i="12" s="1"/>
  <c r="G320" i="12" s="1"/>
  <c r="H320" i="12" s="1"/>
  <c r="I320" i="12" s="1"/>
  <c r="J320" i="12" s="1"/>
  <c r="K320" i="12" s="1"/>
  <c r="F305" i="12"/>
  <c r="E305" i="12"/>
  <c r="D305" i="12"/>
  <c r="F302" i="12"/>
  <c r="E302" i="12"/>
  <c r="F303" i="12" s="1"/>
  <c r="F307" i="12" s="1"/>
  <c r="D302" i="12"/>
  <c r="E299" i="12"/>
  <c r="F299" i="12" s="1"/>
  <c r="G299" i="12" s="1"/>
  <c r="H299" i="12" s="1"/>
  <c r="I299" i="12" s="1"/>
  <c r="J299" i="12" s="1"/>
  <c r="K299" i="12" s="1"/>
  <c r="L297" i="12"/>
  <c r="K297" i="12"/>
  <c r="G297" i="12"/>
  <c r="F297" i="12"/>
  <c r="E297" i="12"/>
  <c r="F295" i="12"/>
  <c r="F293" i="12" s="1"/>
  <c r="E295" i="12"/>
  <c r="D295" i="12"/>
  <c r="K294" i="12"/>
  <c r="I294" i="12"/>
  <c r="H294" i="12"/>
  <c r="E293" i="12"/>
  <c r="D293" i="12"/>
  <c r="F281" i="12"/>
  <c r="E281" i="12"/>
  <c r="F278" i="12"/>
  <c r="G278" i="12" s="1"/>
  <c r="H278" i="12" s="1"/>
  <c r="I278" i="12" s="1"/>
  <c r="J278" i="12" s="1"/>
  <c r="K278" i="12" s="1"/>
  <c r="E278" i="12"/>
  <c r="E267" i="12"/>
  <c r="D267" i="12"/>
  <c r="F265" i="12"/>
  <c r="F270" i="12" s="1"/>
  <c r="E265" i="12"/>
  <c r="E270" i="12" s="1"/>
  <c r="D265" i="12"/>
  <c r="D270" i="12" s="1"/>
  <c r="F264" i="12"/>
  <c r="E264" i="12"/>
  <c r="E269" i="12" s="1"/>
  <c r="D264" i="12"/>
  <c r="D269" i="12" s="1"/>
  <c r="I260" i="12"/>
  <c r="J260" i="12" s="1"/>
  <c r="K260" i="12" s="1"/>
  <c r="E260" i="12"/>
  <c r="F260" i="12" s="1"/>
  <c r="G260" i="12" s="1"/>
  <c r="H260" i="12" s="1"/>
  <c r="F257" i="12"/>
  <c r="E257" i="12"/>
  <c r="D257" i="12"/>
  <c r="F255" i="12"/>
  <c r="F284" i="12" s="1"/>
  <c r="E255" i="12"/>
  <c r="E284" i="12" s="1"/>
  <c r="D255" i="12"/>
  <c r="F252" i="12"/>
  <c r="E252" i="12"/>
  <c r="E283" i="12" s="1"/>
  <c r="D252" i="12"/>
  <c r="D248" i="12"/>
  <c r="F247" i="12"/>
  <c r="F282" i="12" s="1"/>
  <c r="E247" i="12"/>
  <c r="E282" i="12" s="1"/>
  <c r="D247" i="12"/>
  <c r="F245" i="12"/>
  <c r="G245" i="12" s="1"/>
  <c r="H245" i="12" s="1"/>
  <c r="I245" i="12" s="1"/>
  <c r="J245" i="12" s="1"/>
  <c r="K245" i="12" s="1"/>
  <c r="E245" i="12"/>
  <c r="F239" i="12"/>
  <c r="F231" i="12"/>
  <c r="E231" i="12"/>
  <c r="D231" i="12"/>
  <c r="F221" i="12"/>
  <c r="E216" i="12"/>
  <c r="F215" i="12"/>
  <c r="E215" i="12"/>
  <c r="E221" i="12" s="1"/>
  <c r="D215" i="12"/>
  <c r="D216" i="12" s="1"/>
  <c r="F211" i="12"/>
  <c r="F212" i="12" s="1"/>
  <c r="F213" i="12" s="1"/>
  <c r="E211" i="12"/>
  <c r="E248" i="12" s="1"/>
  <c r="D211" i="12"/>
  <c r="D221" i="12" s="1"/>
  <c r="E209" i="12"/>
  <c r="F208" i="12"/>
  <c r="F209" i="12" s="1"/>
  <c r="E189" i="12"/>
  <c r="E196" i="12" s="1"/>
  <c r="E311" i="12" s="1"/>
  <c r="D188" i="12"/>
  <c r="D178" i="12"/>
  <c r="F176" i="12"/>
  <c r="E176" i="12"/>
  <c r="D176" i="12"/>
  <c r="F174" i="12"/>
  <c r="E174" i="12"/>
  <c r="D174" i="12"/>
  <c r="D173" i="12"/>
  <c r="D180" i="12" s="1"/>
  <c r="D172" i="12"/>
  <c r="D184" i="12" s="1"/>
  <c r="F163" i="12"/>
  <c r="E163" i="12"/>
  <c r="F153" i="12"/>
  <c r="F256" i="12" s="1"/>
  <c r="E153" i="12"/>
  <c r="E256" i="12" s="1"/>
  <c r="F152" i="12"/>
  <c r="E152" i="12"/>
  <c r="D152" i="12"/>
  <c r="D153" i="12" s="1"/>
  <c r="D256" i="12" s="1"/>
  <c r="D151" i="12"/>
  <c r="D253" i="12" s="1"/>
  <c r="F150" i="12"/>
  <c r="F151" i="12" s="1"/>
  <c r="F253" i="12" s="1"/>
  <c r="E150" i="12"/>
  <c r="E151" i="12" s="1"/>
  <c r="E253" i="12" s="1"/>
  <c r="D150" i="12"/>
  <c r="E145" i="12"/>
  <c r="E249" i="12" s="1"/>
  <c r="F144" i="12"/>
  <c r="E144" i="12"/>
  <c r="D144" i="12"/>
  <c r="D145" i="12" s="1"/>
  <c r="D249" i="12" s="1"/>
  <c r="L249" i="12" s="1"/>
  <c r="F140" i="12"/>
  <c r="F145" i="12" s="1"/>
  <c r="F249" i="12" s="1"/>
  <c r="E140" i="12"/>
  <c r="D140" i="12"/>
  <c r="F139" i="12"/>
  <c r="E139" i="12"/>
  <c r="D139" i="12"/>
  <c r="D127" i="12"/>
  <c r="D128" i="12" s="1"/>
  <c r="D125" i="12"/>
  <c r="F124" i="12"/>
  <c r="E124" i="12"/>
  <c r="E125" i="12" s="1"/>
  <c r="D124" i="12"/>
  <c r="D121" i="12"/>
  <c r="D122" i="12" s="1"/>
  <c r="F120" i="12"/>
  <c r="E120" i="12"/>
  <c r="D120" i="12"/>
  <c r="E116" i="12"/>
  <c r="E127" i="12" s="1"/>
  <c r="E128" i="12" s="1"/>
  <c r="D116" i="12"/>
  <c r="F113" i="12"/>
  <c r="E113" i="12"/>
  <c r="F112" i="12"/>
  <c r="E112" i="12"/>
  <c r="D112" i="12"/>
  <c r="F103" i="12"/>
  <c r="E103" i="12"/>
  <c r="D103" i="12"/>
  <c r="E100" i="12"/>
  <c r="F93" i="12"/>
  <c r="E93" i="12"/>
  <c r="D93" i="12"/>
  <c r="F87" i="12"/>
  <c r="F175" i="12" s="1"/>
  <c r="E87" i="12"/>
  <c r="E175" i="12" s="1"/>
  <c r="D182" i="12" s="1"/>
  <c r="D87" i="12"/>
  <c r="D175" i="12" s="1"/>
  <c r="F73" i="12"/>
  <c r="E73" i="12"/>
  <c r="D73" i="12"/>
  <c r="G67" i="12"/>
  <c r="G66" i="12"/>
  <c r="G65" i="12"/>
  <c r="F63" i="12"/>
  <c r="G62" i="12"/>
  <c r="G61" i="12"/>
  <c r="G58" i="12"/>
  <c r="F55" i="12"/>
  <c r="E55" i="12"/>
  <c r="E280" i="12" s="1"/>
  <c r="D55" i="12"/>
  <c r="D163" i="12" s="1"/>
  <c r="G54" i="12"/>
  <c r="E51" i="12"/>
  <c r="E339" i="12" s="1"/>
  <c r="G49" i="12"/>
  <c r="E48" i="12"/>
  <c r="E191" i="12" s="1"/>
  <c r="D48" i="12"/>
  <c r="D191" i="12" s="1"/>
  <c r="G47" i="12"/>
  <c r="G46" i="12"/>
  <c r="G45" i="12"/>
  <c r="G211" i="12" s="1"/>
  <c r="F44" i="12"/>
  <c r="F267" i="12" s="1"/>
  <c r="I43" i="12"/>
  <c r="J43" i="12" s="1"/>
  <c r="K43" i="12" s="1"/>
  <c r="H43" i="12"/>
  <c r="G43" i="12"/>
  <c r="G42" i="12"/>
  <c r="G257" i="12" s="1"/>
  <c r="G343" i="12" s="1"/>
  <c r="F38" i="12"/>
  <c r="F37" i="12"/>
  <c r="F190" i="12" s="1"/>
  <c r="E37" i="12"/>
  <c r="E164" i="12" s="1"/>
  <c r="E165" i="12" s="1"/>
  <c r="D37" i="12"/>
  <c r="D38" i="12" s="1"/>
  <c r="D30" i="12"/>
  <c r="F25" i="12"/>
  <c r="F310" i="12" s="1"/>
  <c r="E25" i="12"/>
  <c r="D25" i="12"/>
  <c r="E19" i="12"/>
  <c r="E167" i="12" s="1"/>
  <c r="D19" i="12"/>
  <c r="D167" i="12" s="1"/>
  <c r="F16" i="12"/>
  <c r="F262" i="12" s="1"/>
  <c r="E16" i="12"/>
  <c r="E262" i="12" s="1"/>
  <c r="D16" i="12"/>
  <c r="D262" i="12" s="1"/>
  <c r="F7" i="12"/>
  <c r="F172" i="12" s="1"/>
  <c r="E7" i="12"/>
  <c r="E172" i="12" s="1"/>
  <c r="D7" i="12"/>
  <c r="D53" i="7"/>
  <c r="D48" i="7"/>
  <c r="D47" i="7"/>
  <c r="O13" i="7"/>
  <c r="E13" i="7"/>
  <c r="R5" i="7"/>
  <c r="J5" i="7"/>
  <c r="Q5" i="7" s="1"/>
  <c r="O4" i="7"/>
  <c r="N4" i="7"/>
  <c r="R4" i="7" s="1"/>
  <c r="E4" i="7"/>
  <c r="J4" i="7" s="1"/>
  <c r="R3" i="7"/>
  <c r="G3" i="7"/>
  <c r="E3" i="7"/>
  <c r="J3" i="7" s="1"/>
  <c r="T3" i="7" s="1"/>
  <c r="G2" i="7"/>
  <c r="E2" i="7"/>
  <c r="J2" i="7" s="1"/>
  <c r="T2" i="7" s="1"/>
  <c r="F149" i="13"/>
  <c r="E149" i="13"/>
  <c r="D149" i="13"/>
  <c r="E28" i="7"/>
  <c r="E35" i="7" s="1"/>
  <c r="G40" i="7"/>
  <c r="J255" i="13"/>
  <c r="D250" i="13"/>
  <c r="H249" i="13"/>
  <c r="F246" i="13"/>
  <c r="E246" i="13"/>
  <c r="F30" i="7" s="1"/>
  <c r="J245" i="13"/>
  <c r="I245" i="13" s="1"/>
  <c r="I246" i="13" s="1"/>
  <c r="D239" i="13"/>
  <c r="J239" i="13" s="1"/>
  <c r="E157" i="13"/>
  <c r="D157" i="13"/>
  <c r="E156" i="13"/>
  <c r="D156" i="13"/>
  <c r="D152" i="13"/>
  <c r="D147" i="13"/>
  <c r="D143" i="13"/>
  <c r="D138" i="13"/>
  <c r="D243" i="13" s="1"/>
  <c r="D134" i="13"/>
  <c r="D133" i="13"/>
  <c r="D128" i="13"/>
  <c r="E125" i="13"/>
  <c r="D125" i="13"/>
  <c r="E121" i="13"/>
  <c r="E226" i="13" s="1"/>
  <c r="D121" i="13"/>
  <c r="D226" i="13" s="1"/>
  <c r="E117" i="13"/>
  <c r="E223" i="13" s="1"/>
  <c r="D117" i="13"/>
  <c r="D223" i="13" s="1"/>
  <c r="E101" i="13"/>
  <c r="D94" i="13"/>
  <c r="D74" i="13"/>
  <c r="F64" i="13"/>
  <c r="D49" i="13"/>
  <c r="D202" i="13" s="1"/>
  <c r="F45" i="13"/>
  <c r="F186" i="13" s="1"/>
  <c r="F196" i="13" s="1"/>
  <c r="E25" i="13"/>
  <c r="H245" i="13" l="1"/>
  <c r="H246" i="13" s="1"/>
  <c r="E227" i="13"/>
  <c r="E228" i="13" s="1"/>
  <c r="E126" i="13"/>
  <c r="I216" i="13"/>
  <c r="I215" i="13"/>
  <c r="H145" i="13"/>
  <c r="E39" i="13"/>
  <c r="E199" i="13"/>
  <c r="E182" i="13"/>
  <c r="D235" i="13"/>
  <c r="D240" i="13" s="1"/>
  <c r="E231" i="13"/>
  <c r="E167" i="13"/>
  <c r="E163" i="13"/>
  <c r="E130" i="13"/>
  <c r="E118" i="13"/>
  <c r="I145" i="13"/>
  <c r="F49" i="13"/>
  <c r="F156" i="13"/>
  <c r="F117" i="13"/>
  <c r="F223" i="13" s="1"/>
  <c r="E122" i="13"/>
  <c r="E123" i="13" s="1"/>
  <c r="F37" i="7"/>
  <c r="G37" i="7"/>
  <c r="D161" i="13"/>
  <c r="E114" i="13"/>
  <c r="F28" i="7"/>
  <c r="F35" i="7" s="1"/>
  <c r="D167" i="13"/>
  <c r="G245" i="13"/>
  <c r="G38" i="7"/>
  <c r="I249" i="13"/>
  <c r="F38" i="7"/>
  <c r="D126" i="13"/>
  <c r="D196" i="13"/>
  <c r="F40" i="7"/>
  <c r="D122" i="13"/>
  <c r="D123" i="13" s="1"/>
  <c r="D130" i="13"/>
  <c r="D163" i="13"/>
  <c r="D190" i="13"/>
  <c r="G28" i="7"/>
  <c r="G35" i="7" s="1"/>
  <c r="D231" i="13"/>
  <c r="S5" i="7"/>
  <c r="E14" i="7"/>
  <c r="J13" i="7"/>
  <c r="T5" i="7"/>
  <c r="D211" i="13"/>
  <c r="F161" i="13"/>
  <c r="E161" i="13"/>
  <c r="D227" i="13"/>
  <c r="L30" i="7"/>
  <c r="D52" i="13"/>
  <c r="D169" i="13"/>
  <c r="G30" i="7"/>
  <c r="E310" i="12"/>
  <c r="E188" i="12"/>
  <c r="E173" i="12"/>
  <c r="E184" i="12" s="1"/>
  <c r="G63" i="6"/>
  <c r="H63" i="6"/>
  <c r="G63" i="12"/>
  <c r="U6" i="7"/>
  <c r="V14" i="7" s="1"/>
  <c r="I255" i="13"/>
  <c r="H255" i="13"/>
  <c r="G255" i="13"/>
  <c r="J30" i="7"/>
  <c r="E180" i="12"/>
  <c r="I30" i="7"/>
  <c r="F36" i="7"/>
  <c r="F39" i="7" s="1"/>
  <c r="E119" i="13"/>
  <c r="G36" i="7"/>
  <c r="G39" i="7" s="1"/>
  <c r="F227" i="12"/>
  <c r="F222" i="12"/>
  <c r="Q2" i="7"/>
  <c r="S2" i="7" s="1"/>
  <c r="K2" i="7"/>
  <c r="M2" i="7" s="1"/>
  <c r="D222" i="12"/>
  <c r="D227" i="12"/>
  <c r="E165" i="6"/>
  <c r="E168" i="12"/>
  <c r="H57" i="6"/>
  <c r="G57" i="6"/>
  <c r="G57" i="12"/>
  <c r="Q3" i="7"/>
  <c r="S3" i="7" s="1"/>
  <c r="K3" i="7"/>
  <c r="M3" i="7" s="1"/>
  <c r="F165" i="12"/>
  <c r="H52" i="6"/>
  <c r="G52" i="6"/>
  <c r="G52" i="12"/>
  <c r="E182" i="12"/>
  <c r="I249" i="12"/>
  <c r="H249" i="12"/>
  <c r="G249" i="12"/>
  <c r="J249" i="12"/>
  <c r="K249" i="12"/>
  <c r="L256" i="12"/>
  <c r="E190" i="6"/>
  <c r="E164" i="6"/>
  <c r="E38" i="6"/>
  <c r="Q4" i="7"/>
  <c r="S4" i="7" s="1"/>
  <c r="K4" i="7"/>
  <c r="M4" i="7" s="1"/>
  <c r="T4" i="7"/>
  <c r="T6" i="7" s="1"/>
  <c r="Q13" i="7" s="1"/>
  <c r="V13" i="7" s="1"/>
  <c r="G346" i="12"/>
  <c r="G248" i="12"/>
  <c r="G212" i="12"/>
  <c r="D168" i="12"/>
  <c r="E227" i="12"/>
  <c r="E222" i="12"/>
  <c r="J307" i="12"/>
  <c r="I307" i="12"/>
  <c r="K307" i="12"/>
  <c r="E285" i="12"/>
  <c r="D310" i="12"/>
  <c r="E38" i="12"/>
  <c r="G112" i="12"/>
  <c r="G113" i="12" s="1"/>
  <c r="E117" i="12"/>
  <c r="F164" i="12"/>
  <c r="D189" i="12"/>
  <c r="I208" i="12"/>
  <c r="F168" i="6"/>
  <c r="D145" i="6"/>
  <c r="D165" i="6"/>
  <c r="D168" i="6"/>
  <c r="D133" i="10"/>
  <c r="G133" i="10" s="1"/>
  <c r="G10" i="10" s="1"/>
  <c r="G164" i="10" s="1"/>
  <c r="F136" i="10"/>
  <c r="E121" i="12"/>
  <c r="E122" i="12" s="1"/>
  <c r="L253" i="12"/>
  <c r="D200" i="12"/>
  <c r="D212" i="12"/>
  <c r="F216" i="12"/>
  <c r="G216" i="12" s="1"/>
  <c r="F248" i="12"/>
  <c r="I297" i="12"/>
  <c r="H297" i="12"/>
  <c r="H296" i="12" s="1"/>
  <c r="I296" i="12" s="1"/>
  <c r="J296" i="12" s="1"/>
  <c r="K296" i="12" s="1"/>
  <c r="J297" i="12"/>
  <c r="F190" i="6"/>
  <c r="F164" i="6"/>
  <c r="F165" i="6" s="1"/>
  <c r="F38" i="6"/>
  <c r="D167" i="6"/>
  <c r="F48" i="10"/>
  <c r="F138" i="10"/>
  <c r="G138" i="10" s="1"/>
  <c r="G15" i="10" s="1"/>
  <c r="G169" i="10" s="1"/>
  <c r="H45" i="6"/>
  <c r="G45" i="6"/>
  <c r="D51" i="12"/>
  <c r="D339" i="12" s="1"/>
  <c r="E118" i="12"/>
  <c r="D190" i="12"/>
  <c r="D198" i="12" s="1"/>
  <c r="E200" i="12"/>
  <c r="E212" i="12"/>
  <c r="E213" i="12" s="1"/>
  <c r="F283" i="12"/>
  <c r="F269" i="12"/>
  <c r="L269" i="12" s="1"/>
  <c r="H46" i="6"/>
  <c r="E167" i="6"/>
  <c r="E168" i="6" s="1"/>
  <c r="G144" i="10"/>
  <c r="G21" i="10" s="1"/>
  <c r="K5" i="7"/>
  <c r="M5" i="7" s="1"/>
  <c r="D51" i="7"/>
  <c r="G273" i="12"/>
  <c r="F276" i="12"/>
  <c r="F280" i="12"/>
  <c r="F285" i="12" s="1"/>
  <c r="G322" i="12"/>
  <c r="G324" i="12" s="1"/>
  <c r="E190" i="12"/>
  <c r="F200" i="12"/>
  <c r="L302" i="12"/>
  <c r="D184" i="6"/>
  <c r="D178" i="6"/>
  <c r="D121" i="6"/>
  <c r="D122" i="6" s="1"/>
  <c r="E118" i="6"/>
  <c r="H42" i="6"/>
  <c r="G42" i="6"/>
  <c r="G112" i="6" s="1"/>
  <c r="G113" i="6" s="1"/>
  <c r="H61" i="6"/>
  <c r="G61" i="6"/>
  <c r="F178" i="11"/>
  <c r="D165" i="11"/>
  <c r="E309" i="12"/>
  <c r="K46" i="6"/>
  <c r="J46" i="6"/>
  <c r="I35" i="10"/>
  <c r="G54" i="6"/>
  <c r="H54" i="6"/>
  <c r="H66" i="6"/>
  <c r="G66" i="6"/>
  <c r="F168" i="11"/>
  <c r="F116" i="12"/>
  <c r="D164" i="12"/>
  <c r="D165" i="12" s="1"/>
  <c r="G208" i="12"/>
  <c r="L270" i="12"/>
  <c r="F167" i="6"/>
  <c r="F189" i="6"/>
  <c r="F196" i="6"/>
  <c r="F194" i="6"/>
  <c r="D191" i="6"/>
  <c r="D51" i="6"/>
  <c r="I48" i="6"/>
  <c r="D180" i="6"/>
  <c r="H47" i="6"/>
  <c r="G47" i="6"/>
  <c r="G344" i="12"/>
  <c r="H344" i="12" s="1"/>
  <c r="H43" i="6"/>
  <c r="E189" i="11"/>
  <c r="E167" i="11"/>
  <c r="F19" i="12"/>
  <c r="F48" i="12"/>
  <c r="F173" i="12"/>
  <c r="F182" i="12" s="1"/>
  <c r="F188" i="12"/>
  <c r="E303" i="12"/>
  <c r="E307" i="12" s="1"/>
  <c r="L307" i="12" s="1"/>
  <c r="D309" i="12"/>
  <c r="E191" i="6"/>
  <c r="E51" i="6"/>
  <c r="G136" i="10"/>
  <c r="G13" i="10" s="1"/>
  <c r="G167" i="10" s="1"/>
  <c r="E164" i="11"/>
  <c r="E38" i="11"/>
  <c r="E190" i="11"/>
  <c r="E196" i="11" s="1"/>
  <c r="K47" i="6"/>
  <c r="F172" i="6"/>
  <c r="F198" i="6"/>
  <c r="F309" i="12"/>
  <c r="D38" i="6"/>
  <c r="E117" i="6"/>
  <c r="E127" i="6"/>
  <c r="E128" i="6" s="1"/>
  <c r="F140" i="10"/>
  <c r="E48" i="10"/>
  <c r="E140" i="10" s="1"/>
  <c r="G140" i="10" s="1"/>
  <c r="G17" i="10" s="1"/>
  <c r="G171" i="10" s="1"/>
  <c r="D189" i="11"/>
  <c r="D167" i="11"/>
  <c r="D168" i="11" s="1"/>
  <c r="E287" i="12"/>
  <c r="F116" i="6"/>
  <c r="D190" i="6"/>
  <c r="D196" i="6" s="1"/>
  <c r="F125" i="11"/>
  <c r="F121" i="11"/>
  <c r="F122" i="11" s="1"/>
  <c r="F117" i="11"/>
  <c r="F127" i="11"/>
  <c r="F128" i="11" s="1"/>
  <c r="F287" i="12"/>
  <c r="J294" i="12"/>
  <c r="E188" i="6"/>
  <c r="E173" i="6"/>
  <c r="E182" i="6" s="1"/>
  <c r="F180" i="6"/>
  <c r="F129" i="10"/>
  <c r="G129" i="10" s="1"/>
  <c r="G6" i="10" s="1"/>
  <c r="G160" i="10" s="1"/>
  <c r="M6" i="2"/>
  <c r="M8" i="2"/>
  <c r="M5" i="2"/>
  <c r="M7" i="2"/>
  <c r="M4" i="2"/>
  <c r="D184" i="11"/>
  <c r="D178" i="11"/>
  <c r="D188" i="11"/>
  <c r="D173" i="11"/>
  <c r="D182" i="11" s="1"/>
  <c r="D38" i="11"/>
  <c r="E194" i="11"/>
  <c r="D180" i="11"/>
  <c r="G135" i="10"/>
  <c r="G12" i="10" s="1"/>
  <c r="G166" i="10" s="1"/>
  <c r="F184" i="11"/>
  <c r="F191" i="11"/>
  <c r="F51" i="11"/>
  <c r="D51" i="11"/>
  <c r="E127" i="11"/>
  <c r="E128" i="11" s="1"/>
  <c r="E163" i="11"/>
  <c r="F167" i="11"/>
  <c r="E173" i="11"/>
  <c r="E180" i="11" s="1"/>
  <c r="F38" i="11"/>
  <c r="D121" i="11"/>
  <c r="D122" i="11" s="1"/>
  <c r="F173" i="11"/>
  <c r="F182" i="11" s="1"/>
  <c r="E117" i="11"/>
  <c r="E235" i="13" l="1"/>
  <c r="E240" i="13" s="1"/>
  <c r="E190" i="13"/>
  <c r="E194" i="13"/>
  <c r="E188" i="13"/>
  <c r="E192" i="13"/>
  <c r="E211" i="13"/>
  <c r="E207" i="13"/>
  <c r="J227" i="13"/>
  <c r="F235" i="13"/>
  <c r="F240" i="13" s="1"/>
  <c r="F231" i="13"/>
  <c r="F227" i="13"/>
  <c r="F228" i="13" s="1"/>
  <c r="F52" i="13"/>
  <c r="F54" i="13" s="1"/>
  <c r="F56" i="13" s="1"/>
  <c r="F202" i="13"/>
  <c r="F118" i="13"/>
  <c r="F130" i="13"/>
  <c r="F119" i="13"/>
  <c r="F126" i="13"/>
  <c r="F122" i="13"/>
  <c r="F123" i="13" s="1"/>
  <c r="G118" i="13"/>
  <c r="G119" i="13"/>
  <c r="E131" i="13"/>
  <c r="E136" i="13"/>
  <c r="D136" i="13"/>
  <c r="D131" i="13"/>
  <c r="E18" i="7"/>
  <c r="K13" i="7"/>
  <c r="G269" i="12"/>
  <c r="K269" i="12"/>
  <c r="H269" i="12"/>
  <c r="I269" i="12"/>
  <c r="J269" i="12"/>
  <c r="K324" i="12"/>
  <c r="J324" i="12"/>
  <c r="I324" i="12"/>
  <c r="H324" i="12"/>
  <c r="G307" i="12"/>
  <c r="H307" i="12"/>
  <c r="G44" i="6"/>
  <c r="G116" i="6" s="1"/>
  <c r="H44" i="6"/>
  <c r="K44" i="6" s="1"/>
  <c r="G44" i="12"/>
  <c r="K216" i="12"/>
  <c r="J216" i="12"/>
  <c r="I216" i="12"/>
  <c r="H216" i="12"/>
  <c r="F127" i="12"/>
  <c r="F128" i="12" s="1"/>
  <c r="F118" i="12"/>
  <c r="F117" i="12"/>
  <c r="G213" i="12"/>
  <c r="H212" i="12"/>
  <c r="H213" i="12" s="1"/>
  <c r="H50" i="6"/>
  <c r="G50" i="6"/>
  <c r="G50" i="12"/>
  <c r="F198" i="12"/>
  <c r="G247" i="12"/>
  <c r="G282" i="12" s="1"/>
  <c r="D54" i="13"/>
  <c r="D56" i="13" s="1"/>
  <c r="E196" i="6"/>
  <c r="E194" i="6"/>
  <c r="F117" i="6"/>
  <c r="I44" i="6" s="1"/>
  <c r="J44" i="6" s="1"/>
  <c r="F127" i="6"/>
  <c r="F128" i="6" s="1"/>
  <c r="F121" i="6"/>
  <c r="F122" i="6" s="1"/>
  <c r="F118" i="6"/>
  <c r="F125" i="6"/>
  <c r="E178" i="6"/>
  <c r="K45" i="6"/>
  <c r="J45" i="6"/>
  <c r="I212" i="12"/>
  <c r="D213" i="12"/>
  <c r="E224" i="13"/>
  <c r="G51" i="6"/>
  <c r="G51" i="12"/>
  <c r="H51" i="6"/>
  <c r="F51" i="12"/>
  <c r="F339" i="12" s="1"/>
  <c r="L339" i="12" s="1"/>
  <c r="F191" i="12"/>
  <c r="E184" i="6"/>
  <c r="D228" i="13"/>
  <c r="J228" i="13" s="1"/>
  <c r="F180" i="11"/>
  <c r="E180" i="6"/>
  <c r="F167" i="12"/>
  <c r="F168" i="12" s="1"/>
  <c r="F189" i="12"/>
  <c r="F196" i="12" s="1"/>
  <c r="F311" i="12" s="1"/>
  <c r="I302" i="12"/>
  <c r="I305" i="12" s="1"/>
  <c r="I350" i="12" s="1"/>
  <c r="K302" i="12"/>
  <c r="K305" i="12" s="1"/>
  <c r="K350" i="12" s="1"/>
  <c r="J302" i="12"/>
  <c r="J305" i="12" s="1"/>
  <c r="J350" i="12" s="1"/>
  <c r="H302" i="12"/>
  <c r="H305" i="12" s="1"/>
  <c r="H350" i="12" s="1"/>
  <c r="G302" i="12"/>
  <c r="G305" i="12" s="1"/>
  <c r="G350" i="12" s="1"/>
  <c r="H53" i="6"/>
  <c r="G53" i="6"/>
  <c r="G53" i="12"/>
  <c r="H253" i="12"/>
  <c r="G253" i="12"/>
  <c r="G252" i="12" s="1"/>
  <c r="G283" i="12" s="1"/>
  <c r="I253" i="12"/>
  <c r="K253" i="12"/>
  <c r="J253" i="12"/>
  <c r="F180" i="12"/>
  <c r="E32" i="7"/>
  <c r="D244" i="13"/>
  <c r="D246" i="13" s="1"/>
  <c r="E30" i="7" s="1"/>
  <c r="D236" i="13"/>
  <c r="E194" i="12"/>
  <c r="E198" i="12"/>
  <c r="K48" i="6"/>
  <c r="J48" i="6"/>
  <c r="K270" i="12"/>
  <c r="J270" i="12"/>
  <c r="G270" i="12"/>
  <c r="I270" i="12"/>
  <c r="H270" i="12"/>
  <c r="E184" i="11"/>
  <c r="I211" i="12"/>
  <c r="I209" i="12"/>
  <c r="I44" i="12"/>
  <c r="I215" i="12"/>
  <c r="I347" i="12" s="1"/>
  <c r="J208" i="12"/>
  <c r="E165" i="11"/>
  <c r="E168" i="11"/>
  <c r="E182" i="11"/>
  <c r="H55" i="6"/>
  <c r="G55" i="6"/>
  <c r="G55" i="12"/>
  <c r="G175" i="10"/>
  <c r="F184" i="6"/>
  <c r="F178" i="6"/>
  <c r="G221" i="12"/>
  <c r="G222" i="12" s="1"/>
  <c r="G215" i="12"/>
  <c r="G347" i="12" s="1"/>
  <c r="H208" i="12"/>
  <c r="G209" i="12"/>
  <c r="E178" i="11"/>
  <c r="D196" i="12"/>
  <c r="D311" i="12" s="1"/>
  <c r="D194" i="12"/>
  <c r="F121" i="12"/>
  <c r="F122" i="12" s="1"/>
  <c r="G256" i="12"/>
  <c r="G255" i="12" s="1"/>
  <c r="G284" i="12" s="1"/>
  <c r="K256" i="12"/>
  <c r="H256" i="12"/>
  <c r="J256" i="12"/>
  <c r="I256" i="12"/>
  <c r="F178" i="12"/>
  <c r="M6" i="7"/>
  <c r="E178" i="12"/>
  <c r="D194" i="11"/>
  <c r="D196" i="11"/>
  <c r="H48" i="6"/>
  <c r="G48" i="6"/>
  <c r="G48" i="12"/>
  <c r="F125" i="12"/>
  <c r="F184" i="12"/>
  <c r="S6" i="7"/>
  <c r="D43" i="7" s="1"/>
  <c r="F172" i="13" l="1"/>
  <c r="F177" i="13" s="1"/>
  <c r="F213" i="13"/>
  <c r="D172" i="13"/>
  <c r="D213" i="13"/>
  <c r="D215" i="13" s="1"/>
  <c r="E174" i="13"/>
  <c r="F174" i="13"/>
  <c r="G174" i="13"/>
  <c r="H174" i="13"/>
  <c r="I174" i="13"/>
  <c r="F224" i="13"/>
  <c r="E141" i="13"/>
  <c r="E144" i="13" s="1"/>
  <c r="E139" i="13"/>
  <c r="F136" i="13"/>
  <c r="F131" i="13"/>
  <c r="H149" i="13"/>
  <c r="D141" i="13"/>
  <c r="D144" i="13" s="1"/>
  <c r="D139" i="13"/>
  <c r="E21" i="7"/>
  <c r="F194" i="12"/>
  <c r="G267" i="12"/>
  <c r="G116" i="12"/>
  <c r="I267" i="12"/>
  <c r="I42" i="12"/>
  <c r="I257" i="12" s="1"/>
  <c r="I343" i="12" s="1"/>
  <c r="D207" i="13"/>
  <c r="H211" i="12"/>
  <c r="H209" i="12"/>
  <c r="H44" i="12"/>
  <c r="H215" i="12"/>
  <c r="H347" i="12" s="1"/>
  <c r="H221" i="12"/>
  <c r="H222" i="12" s="1"/>
  <c r="G117" i="6"/>
  <c r="G118" i="6"/>
  <c r="H59" i="6"/>
  <c r="G59" i="6"/>
  <c r="G59" i="12"/>
  <c r="I255" i="12"/>
  <c r="J215" i="12"/>
  <c r="J347" i="12" s="1"/>
  <c r="K208" i="12"/>
  <c r="J209" i="12"/>
  <c r="J44" i="12"/>
  <c r="F32" i="7"/>
  <c r="E236" i="13"/>
  <c r="I213" i="12"/>
  <c r="J212" i="12"/>
  <c r="J213" i="12" s="1"/>
  <c r="K212" i="12"/>
  <c r="K213" i="12" s="1"/>
  <c r="G32" i="7"/>
  <c r="F236" i="13"/>
  <c r="I248" i="12"/>
  <c r="I247" i="12" s="1"/>
  <c r="I346" i="12"/>
  <c r="I221" i="12"/>
  <c r="I222" i="12" s="1"/>
  <c r="I252" i="12"/>
  <c r="F216" i="13" l="1"/>
  <c r="F215" i="13"/>
  <c r="G224" i="13"/>
  <c r="E145" i="13"/>
  <c r="F141" i="13"/>
  <c r="F144" i="13" s="1"/>
  <c r="F139" i="13"/>
  <c r="R13" i="7"/>
  <c r="M41" i="7" s="1"/>
  <c r="I149" i="13"/>
  <c r="D174" i="13"/>
  <c r="D177" i="13"/>
  <c r="D216" i="13"/>
  <c r="H224" i="13"/>
  <c r="J267" i="12"/>
  <c r="J42" i="12"/>
  <c r="J257" i="12" s="1"/>
  <c r="J211" i="12"/>
  <c r="K215" i="12"/>
  <c r="K347" i="12" s="1"/>
  <c r="K209" i="12"/>
  <c r="K44" i="12"/>
  <c r="K211" i="12"/>
  <c r="H346" i="12"/>
  <c r="H248" i="12"/>
  <c r="I345" i="12"/>
  <c r="I264" i="12"/>
  <c r="G118" i="12"/>
  <c r="G117" i="12"/>
  <c r="H267" i="12"/>
  <c r="H42" i="12"/>
  <c r="H257" i="12" s="1"/>
  <c r="G264" i="12"/>
  <c r="G345" i="12"/>
  <c r="F145" i="13" l="1"/>
  <c r="G145" i="13"/>
  <c r="H38" i="7"/>
  <c r="I224" i="13"/>
  <c r="J224" i="13" s="1"/>
  <c r="K346" i="12"/>
  <c r="K248" i="12"/>
  <c r="K267" i="12"/>
  <c r="K42" i="12"/>
  <c r="K257" i="12" s="1"/>
  <c r="J343" i="12"/>
  <c r="J255" i="12"/>
  <c r="J284" i="12" s="1"/>
  <c r="J345" i="12"/>
  <c r="J264" i="12"/>
  <c r="E17" i="7"/>
  <c r="L13" i="7"/>
  <c r="I13" i="7" s="1"/>
  <c r="B17" i="7" s="1"/>
  <c r="E20" i="7" s="1"/>
  <c r="E22" i="7" s="1"/>
  <c r="H40" i="7"/>
  <c r="H247" i="12"/>
  <c r="H252" i="12"/>
  <c r="H343" i="12"/>
  <c r="H255" i="12"/>
  <c r="H345" i="12"/>
  <c r="H264" i="12"/>
  <c r="G265" i="12"/>
  <c r="G287" i="12"/>
  <c r="G274" i="12"/>
  <c r="I274" i="12"/>
  <c r="I287" i="12"/>
  <c r="I265" i="12"/>
  <c r="K221" i="12"/>
  <c r="K222" i="12" s="1"/>
  <c r="J346" i="12"/>
  <c r="J248" i="12"/>
  <c r="J221" i="12"/>
  <c r="J222" i="12" s="1"/>
  <c r="H28" i="7" l="1"/>
  <c r="H35" i="7" s="1"/>
  <c r="G235" i="13"/>
  <c r="G240" i="13" s="1"/>
  <c r="K343" i="12"/>
  <c r="K255" i="12"/>
  <c r="K284" i="12" s="1"/>
  <c r="H282" i="12"/>
  <c r="I282" i="12"/>
  <c r="K345" i="12"/>
  <c r="K264" i="12"/>
  <c r="K247" i="12"/>
  <c r="K252" i="12"/>
  <c r="G348" i="12"/>
  <c r="G349" i="12" s="1"/>
  <c r="G352" i="12" s="1"/>
  <c r="G281" i="12"/>
  <c r="G275" i="12"/>
  <c r="G276" i="12" s="1"/>
  <c r="H287" i="12"/>
  <c r="H274" i="12"/>
  <c r="H265" i="12"/>
  <c r="C25" i="7"/>
  <c r="H283" i="12"/>
  <c r="I283" i="12"/>
  <c r="J274" i="12"/>
  <c r="J287" i="12"/>
  <c r="J265" i="12"/>
  <c r="J247" i="12"/>
  <c r="J282" i="12" s="1"/>
  <c r="J252" i="12"/>
  <c r="J283" i="12" s="1"/>
  <c r="I38" i="7"/>
  <c r="I40" i="7"/>
  <c r="I281" i="12"/>
  <c r="I348" i="12"/>
  <c r="I349" i="12" s="1"/>
  <c r="I352" i="12" s="1"/>
  <c r="I275" i="12"/>
  <c r="H284" i="12"/>
  <c r="I284" i="12"/>
  <c r="I28" i="7" l="1"/>
  <c r="I35" i="7" s="1"/>
  <c r="H235" i="13"/>
  <c r="H240" i="13" s="1"/>
  <c r="H273" i="12"/>
  <c r="G262" i="12"/>
  <c r="G353" i="12"/>
  <c r="G354" i="12" s="1"/>
  <c r="G356" i="12" s="1"/>
  <c r="G280" i="12" s="1"/>
  <c r="K274" i="12"/>
  <c r="K265" i="12"/>
  <c r="K287" i="12"/>
  <c r="J281" i="12"/>
  <c r="J275" i="12"/>
  <c r="J348" i="12"/>
  <c r="J349" i="12" s="1"/>
  <c r="J352" i="12" s="1"/>
  <c r="J40" i="7"/>
  <c r="E33" i="7"/>
  <c r="E34" i="7" s="1"/>
  <c r="G33" i="7"/>
  <c r="G34" i="7" s="1"/>
  <c r="G41" i="7" s="1"/>
  <c r="F33" i="7"/>
  <c r="F34" i="7" s="1"/>
  <c r="F41" i="7" s="1"/>
  <c r="I354" i="12"/>
  <c r="I356" i="12" s="1"/>
  <c r="I280" i="12" s="1"/>
  <c r="I353" i="12"/>
  <c r="H36" i="7"/>
  <c r="K283" i="12"/>
  <c r="I235" i="13"/>
  <c r="I240" i="13" s="1"/>
  <c r="H281" i="12"/>
  <c r="H348" i="12"/>
  <c r="H349" i="12" s="1"/>
  <c r="H352" i="12" s="1"/>
  <c r="H275" i="12"/>
  <c r="J38" i="7"/>
  <c r="H37" i="7"/>
  <c r="K282" i="12"/>
  <c r="H39" i="7" l="1"/>
  <c r="G285" i="12"/>
  <c r="G295" i="12"/>
  <c r="G293" i="12" s="1"/>
  <c r="K38" i="7"/>
  <c r="K281" i="12"/>
  <c r="K275" i="12"/>
  <c r="K348" i="12"/>
  <c r="K349" i="12" s="1"/>
  <c r="K352" i="12" s="1"/>
  <c r="J36" i="7"/>
  <c r="I37" i="7"/>
  <c r="J28" i="7"/>
  <c r="J35" i="7" s="1"/>
  <c r="J353" i="12"/>
  <c r="J354" i="12" s="1"/>
  <c r="J356" i="12" s="1"/>
  <c r="J280" i="12" s="1"/>
  <c r="K40" i="7"/>
  <c r="K28" i="7"/>
  <c r="K35" i="7" s="1"/>
  <c r="H354" i="12"/>
  <c r="H356" i="12" s="1"/>
  <c r="H280" i="12" s="1"/>
  <c r="H353" i="12"/>
  <c r="J37" i="7"/>
  <c r="I295" i="12"/>
  <c r="I293" i="12" s="1"/>
  <c r="I285" i="12"/>
  <c r="H276" i="12"/>
  <c r="J39" i="7" l="1"/>
  <c r="J295" i="12"/>
  <c r="J293" i="12" s="1"/>
  <c r="J285" i="12"/>
  <c r="K32" i="7"/>
  <c r="L28" i="7"/>
  <c r="L35" i="7" s="1"/>
  <c r="L40" i="7"/>
  <c r="I273" i="12"/>
  <c r="I276" i="12" s="1"/>
  <c r="H262" i="12"/>
  <c r="I36" i="7"/>
  <c r="I39" i="7" s="1"/>
  <c r="H295" i="12"/>
  <c r="H293" i="12" s="1"/>
  <c r="H285" i="12"/>
  <c r="K353" i="12"/>
  <c r="K354" i="12" s="1"/>
  <c r="K356" i="12" s="1"/>
  <c r="K280" i="12" s="1"/>
  <c r="L38" i="7"/>
  <c r="G149" i="13" l="1"/>
  <c r="L32" i="7"/>
  <c r="K295" i="12"/>
  <c r="K293" i="12" s="1"/>
  <c r="K285" i="12"/>
  <c r="K33" i="7"/>
  <c r="K34" i="7" s="1"/>
  <c r="K37" i="7"/>
  <c r="I262" i="12"/>
  <c r="J273" i="12"/>
  <c r="J276" i="12" s="1"/>
  <c r="K36" i="7"/>
  <c r="K39" i="7" l="1"/>
  <c r="K41" i="7"/>
  <c r="K30" i="7"/>
  <c r="L37" i="7"/>
  <c r="K273" i="12"/>
  <c r="K276" i="12" s="1"/>
  <c r="K262" i="12" s="1"/>
  <c r="J262" i="12"/>
  <c r="L33" i="7"/>
  <c r="L34" i="7" s="1"/>
  <c r="L36" i="7" l="1"/>
  <c r="L39" i="7" s="1"/>
  <c r="L41" i="7" l="1"/>
  <c r="I32" i="7" l="1"/>
  <c r="I33" i="7" s="1"/>
  <c r="H231" i="13"/>
  <c r="H236" i="13"/>
  <c r="G231" i="13"/>
  <c r="I231" i="13"/>
  <c r="G244" i="13" l="1"/>
  <c r="G246" i="13" s="1"/>
  <c r="I34" i="7"/>
  <c r="I41" i="7" s="1"/>
  <c r="G236" i="13"/>
  <c r="I236" i="13"/>
  <c r="H32" i="7"/>
  <c r="J32" i="7"/>
  <c r="H30" i="7" l="1"/>
  <c r="J33" i="7"/>
  <c r="J34" i="7" s="1"/>
  <c r="J41" i="7" s="1"/>
  <c r="H33" i="7"/>
  <c r="H34" i="7" s="1"/>
  <c r="H41" i="7" s="1"/>
  <c r="E16" i="7" l="1"/>
  <c r="E23" i="7" s="1"/>
  <c r="D44" i="7" s="1"/>
  <c r="D46" i="7" s="1"/>
  <c r="D49" i="7" s="1"/>
  <c r="D52" i="7" s="1"/>
  <c r="E1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tc={DE745FCB-8C02-477D-A44B-6165AB81115E}</author>
    <author>tc={57F6113C-02E5-46A6-A020-30DD31FCF3A3}</author>
    <author>tc={2ED2F8D7-0ECC-4FD4-BBBF-A1FF8170D80D}</author>
    <author>tc={63FC325F-F988-4006-9C35-86A10308DB2E}</author>
  </authors>
  <commentList>
    <comment ref="A160" authorId="0" shapeId="0" xr:uid="{DE745FCB-8C02-477D-A44B-6165AB81115E}">
      <text>
        <t>[Threaded comment]
Your version of Excel allows you to read this threaded comment; however, any edits to it will get removed if the file is opened in a newer version of Excel. Learn more: https://go.microsoft.com/fwlink/?linkid=870924
Comment:
    Need to find account receivable</t>
      </text>
    </comment>
    <comment ref="A242" authorId="1" shapeId="0" xr:uid="{57F6113C-02E5-46A6-A020-30DD31FCF3A3}">
      <text>
        <t>[Threaded comment]
Your version of Excel allows you to read this threaded comment; however, any edits to it will get removed if the file is opened in a newer version of Excel. Learn more: https://go.microsoft.com/fwlink/?linkid=870924
Comment:
    Missing Effective Tax Rate</t>
      </text>
    </comment>
    <comment ref="A249" authorId="2" shapeId="0" xr:uid="{2ED2F8D7-0ECC-4FD4-BBBF-A1FF8170D80D}">
      <text>
        <t>[Threaded comment]
Your version of Excel allows you to read this threaded comment; however, any edits to it will get removed if the file is opened in a newer version of Excel. Learn more: https://go.microsoft.com/fwlink/?linkid=870924
Comment:
    https://www.macrotrends.net/stocks/charts/TGT/target/pe-ratio#:~:text=Target%20PE%20ratio%20as%20of,information%20on%20our%20historical%20prices.&amp;text=Target%20Corporation%20operates%20large%2Dformat,include%20Target%20and%20SuperTarget%20stores.</t>
      </text>
    </comment>
    <comment ref="A255" authorId="3" shapeId="0" xr:uid="{63FC325F-F988-4006-9C35-86A10308DB2E}">
      <text>
        <t>[Threaded comment]
Your version of Excel allows you to read this threaded comment; however, any edits to it will get removed if the file is opened in a newer version of Excel. Learn more: https://go.microsoft.com/fwlink/?linkid=870924
Comment:
    https://investors.target.com/stock-information/dividend-and-stock-split-history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tc={C60A008A-7C43-4087-8C23-037879A47A1C}</author>
    <author>tc={572BB5FC-B4C6-41ED-83B7-CCE5FF5E42D0}</author>
  </authors>
  <commentList>
    <comment ref="G1" authorId="0" shapeId="0" xr:uid="{C60A008A-7C43-4087-8C23-037879A47A1C}">
      <text>
        <t>[Threaded comment]
Your version of Excel allows you to read this threaded comment; however, any edits to it will get removed if the file is opened in a newer version of Excel. Learn more: https://go.microsoft.com/fwlink/?linkid=870924
Comment:
    All from most recent 10Q
Current Portion+ Long Term</t>
      </text>
    </comment>
    <comment ref="I1" authorId="1" shapeId="0" xr:uid="{572BB5FC-B4C6-41ED-83B7-CCE5FF5E42D0}">
      <text>
        <t>[Threaded comment]
Your version of Excel allows you to read this threaded comment; however, any edits to it will get removed if the file is opened in a newer version of Excel. Learn more: https://go.microsoft.com/fwlink/?linkid=870924
Comment:
    Yahoo finance</t>
      </text>
    </comment>
  </commentList>
</comments>
</file>

<file path=xl/sharedStrings.xml><?xml version="1.0" encoding="utf-8"?>
<sst xmlns="http://schemas.openxmlformats.org/spreadsheetml/2006/main" count="1572" uniqueCount="588">
  <si>
    <t>x</t>
  </si>
  <si>
    <r>
      <rPr>
        <b/>
        <sz val="14"/>
        <color theme="1"/>
        <rFont val="Calibri"/>
        <charset val="134"/>
        <scheme val="minor"/>
      </rPr>
      <t>Accounting and Finance</t>
    </r>
    <r>
      <rPr>
        <sz val="14"/>
        <color theme="1"/>
        <rFont val="Calibri"/>
        <charset val="134"/>
        <scheme val="minor"/>
      </rPr>
      <t xml:space="preserve"> – Final Exam (Take Home)  ‐ Due December 19, 2020; 12pm ET.</t>
    </r>
  </si>
  <si>
    <t>Fall 2020.</t>
  </si>
  <si>
    <t xml:space="preserve">The current coronavirus pandemic has reinforced division between “haves” and the “have nots”, not only for the world population (rich vs. poor, young vs. old, etc.), but also between different companies. </t>
  </si>
  <si>
    <t>Some companies (like cruise lines), have had demand for their services completely destroyed, and others (like Gilead) have had their stock rise dramatically in hopes of being able</t>
  </si>
  <si>
    <r>
      <rPr>
        <sz val="11"/>
        <color theme="1"/>
        <rFont val="Calibri"/>
        <charset val="134"/>
        <scheme val="minor"/>
      </rPr>
      <t xml:space="preserve"> to use their Ebola medication Remdesivir against the virus. In this final, you are asked to analyze one of the companies on the list (please see the "</t>
    </r>
    <r>
      <rPr>
        <b/>
        <u/>
        <sz val="11"/>
        <color theme="1"/>
        <rFont val="Calibri"/>
        <charset val="134"/>
        <scheme val="minor"/>
      </rPr>
      <t>Assignments</t>
    </r>
    <r>
      <rPr>
        <sz val="11"/>
        <color theme="1"/>
        <rFont val="Calibri"/>
        <charset val="134"/>
        <scheme val="minor"/>
      </rPr>
      <t xml:space="preserve">" sheet). </t>
    </r>
  </si>
  <si>
    <t xml:space="preserve">Please put together a detailed analysis of the historical performance as well as the forecast and valuation for your company.   </t>
  </si>
  <si>
    <t xml:space="preserve">You will be evaluated both on quality of analysis (in excel) and thoughtfulness of your write‐up on each company. Think about yourself as an investment banker who needs to analyze and summarize </t>
  </si>
  <si>
    <t xml:space="preserve">their views on the company / explain them to the Managing Director. Has this company performed well / poorly over the last several years? Is it solvent? </t>
  </si>
  <si>
    <t>What are the prospects for the company going forward? Is the current market valuation fair? Should an investor buy or sell the stock at current price?  </t>
  </si>
  <si>
    <r>
      <rPr>
        <sz val="11"/>
        <color theme="1"/>
        <rFont val="Calibri"/>
        <charset val="134"/>
        <scheme val="minor"/>
      </rPr>
      <t xml:space="preserve">Our TAs have been designated as experts for each particular company. As you work on your project, you will be able to ask them questions on your project. Please see TA assignments on the </t>
    </r>
    <r>
      <rPr>
        <b/>
        <u/>
        <sz val="11"/>
        <color theme="1"/>
        <rFont val="Calibri"/>
        <charset val="134"/>
        <scheme val="minor"/>
      </rPr>
      <t xml:space="preserve">Assignments </t>
    </r>
  </si>
  <si>
    <t>sheet.</t>
  </si>
  <si>
    <t>Please see below with regards to some general suggestions on how to organize your work:</t>
  </si>
  <si>
    <t>Part 1</t>
  </si>
  <si>
    <t>Calculate key historic ratios over the last 3 years.</t>
  </si>
  <si>
    <t>How has the company been performing in terms of:
A. Sales growth
B. Profitability
C. Efficiency
D. Returns
E. Liquidity
F. Leverage  
Are there any areas that cause concern?
Have there been any non‐recurring events that you had to adjust for? If so which ones?</t>
  </si>
  <si>
    <t>Part 2</t>
  </si>
  <si>
    <t xml:space="preserve">Which companies do you consider to be good comps for your company? Why?
Calculate key trading multiples for the comps on the LTM basis  
What is your company’s valuation if you were to take the comps average trading multiples to come up
with your valuation?
Does this method produce a valuation that’s at a premium or at a discount to the company’s most
recent closing stock price?
What does this tell you about whether your stock is more expensive or cheaper than comps?   </t>
  </si>
  <si>
    <t xml:space="preserve">Part 3  </t>
  </si>
  <si>
    <r>
      <rPr>
        <sz val="11"/>
        <color theme="1"/>
        <rFont val="Calibri"/>
        <charset val="134"/>
        <scheme val="minor"/>
      </rPr>
      <t>Put together a 5‐year 3‐statement model for your company
Review call transcripts and financial statements to find any assumptions on areas like a share repurchase
program and future capex spend  
Make your own assumptions on topline growth and margins based on what you believe will happen to
the company in the future.
Use Thomson one (see Columbia Business School Electronic Resources: note, you will need Internet
Explorer) to pull 3‐5 most recent equity research reports. -&gt; See the</t>
    </r>
    <r>
      <rPr>
        <b/>
        <u/>
        <sz val="11"/>
        <color theme="1"/>
        <rFont val="Calibri"/>
        <charset val="134"/>
        <scheme val="minor"/>
      </rPr>
      <t xml:space="preserve"> Instructions</t>
    </r>
    <r>
      <rPr>
        <sz val="11"/>
        <color theme="1"/>
        <rFont val="Calibri"/>
        <charset val="134"/>
        <scheme val="minor"/>
      </rPr>
      <t xml:space="preserve"> sheet for instructions on how to access Thomson One.
What’s the EPS average based on these reports for year 1, 2, and 3 of the forecast?  
Is your EPS forecast in line with this average / is it very different? Based on reading the reports, what do
you think are the key drivers for differences?</t>
    </r>
  </si>
  <si>
    <t>Part 4</t>
  </si>
  <si>
    <t xml:space="preserve">Based on the same comps as in Part 2, calculate the WACC for your company (assume that your
company’s unlevered Beta will equal to the average unlevered Beta for your comps)
For capital structure for your company, assume that the historic average will be an accurate
approximation for the future
Assume 7.2% for market risk premium and use a 10‐year treasury yield  
For cost of debt, use the weighted average coupon rate for the debt based on the debt schedule; for
simplicity, assume no difference between coupon rate and YTM.  </t>
  </si>
  <si>
    <t>Part 5</t>
  </si>
  <si>
    <t>Based on your forecast in Part 3 and WACC calculation in Part 4, put together an unlevered DCF
valuation for your company
Use a multiples method for terminal value. Pick the multiple that you think is the most relevant or use a range based on several multiples</t>
  </si>
  <si>
    <t>Part 6</t>
  </si>
  <si>
    <t>Based on your valuation in parts 2 and 5, what’s your stock recommendation – “Buy”, “Sell”, or “Hold”?
Explain.</t>
  </si>
  <si>
    <t>(millions, except footnotes)</t>
  </si>
  <si>
    <t>Assets</t>
  </si>
  <si>
    <t>Cash and cash equivalents</t>
  </si>
  <si>
    <t>Inventory</t>
  </si>
  <si>
    <t>Other current assets</t>
  </si>
  <si>
    <t>Total current assets</t>
  </si>
  <si>
    <t/>
  </si>
  <si>
    <t>Property and equipment</t>
  </si>
  <si>
    <t>Land</t>
  </si>
  <si>
    <t>Buildings and improvements</t>
  </si>
  <si>
    <t>Fixtures and equipment</t>
  </si>
  <si>
    <t>Computer hardware and software</t>
  </si>
  <si>
    <t>Construction-in-progress</t>
  </si>
  <si>
    <t>Accumulated depreciation</t>
  </si>
  <si>
    <t>Property and equipment, net</t>
  </si>
  <si>
    <t xml:space="preserve">Operating lease assets </t>
  </si>
  <si>
    <t>Other noncurrent assets</t>
  </si>
  <si>
    <t>Total assets</t>
  </si>
  <si>
    <t>Liabilities and shareholders' investment</t>
  </si>
  <si>
    <t>Accounts payable</t>
  </si>
  <si>
    <t>Accrued and other current liabilities</t>
  </si>
  <si>
    <t>Current portion of long-term debt and other borrowings</t>
  </si>
  <si>
    <t>Total current liabilities</t>
  </si>
  <si>
    <t>Long-term debt and other borrowings</t>
  </si>
  <si>
    <t xml:space="preserve">Noncurrent Operating Lease Liabilities </t>
  </si>
  <si>
    <t>Deferred income taxes</t>
  </si>
  <si>
    <t>Other noncurrent liabilities</t>
  </si>
  <si>
    <t>Total noncurrent liabilities</t>
  </si>
  <si>
    <t>Shareholders' investment</t>
  </si>
  <si>
    <t>Common stock</t>
  </si>
  <si>
    <t>Additional paid-in capital</t>
  </si>
  <si>
    <t>Retained earnings</t>
  </si>
  <si>
    <t>Accumulated other comprehensive loss</t>
  </si>
  <si>
    <t>Total shareholders' investment</t>
  </si>
  <si>
    <t>Total liabilities and shareholders' investment</t>
  </si>
  <si>
    <t>(millions, except per share data)</t>
  </si>
  <si>
    <t>Sales</t>
  </si>
  <si>
    <t xml:space="preserve">Other revenue </t>
  </si>
  <si>
    <t xml:space="preserve">Total revenue </t>
  </si>
  <si>
    <t xml:space="preserve">Cost of sales </t>
  </si>
  <si>
    <t xml:space="preserve">Selling, general, and administrative expenses </t>
  </si>
  <si>
    <t xml:space="preserve">Depreciation and amortization (exclusive of depreciation included in cost of sales) </t>
  </si>
  <si>
    <t>Operating income</t>
  </si>
  <si>
    <t>Net interest expense</t>
  </si>
  <si>
    <t>Net other(income)/expense</t>
  </si>
  <si>
    <t xml:space="preserve">Earnings from continuing operations before income taxes </t>
  </si>
  <si>
    <t xml:space="preserve">Provision for income taxes </t>
  </si>
  <si>
    <t xml:space="preserve">Net earnings from continuing operations </t>
  </si>
  <si>
    <t xml:space="preserve">Discontinued operations, net of tax </t>
  </si>
  <si>
    <t xml:space="preserve">Net Earnings </t>
  </si>
  <si>
    <t xml:space="preserve">Basic earnings per share </t>
  </si>
  <si>
    <t xml:space="preserve">Continuing operations </t>
  </si>
  <si>
    <t xml:space="preserve">Discontinued operations </t>
  </si>
  <si>
    <t xml:space="preserve">Net earnings per share </t>
  </si>
  <si>
    <t xml:space="preserve">Diluted earnings per share </t>
  </si>
  <si>
    <t xml:space="preserve">Weighted average common shares outstanding </t>
  </si>
  <si>
    <t xml:space="preserve">Basic </t>
  </si>
  <si>
    <t>Diluted</t>
  </si>
  <si>
    <t xml:space="preserve">Antidilutive shares </t>
  </si>
  <si>
    <t xml:space="preserve">Cash Flow Statement </t>
  </si>
  <si>
    <t xml:space="preserve">Operating activities </t>
  </si>
  <si>
    <t xml:space="preserve">Net earnings </t>
  </si>
  <si>
    <t xml:space="preserve">Earnings from discontinued operations, net of tax </t>
  </si>
  <si>
    <t xml:space="preserve">Adjustments to reconcile net earnings to cash provided by operations </t>
  </si>
  <si>
    <t>Depreciation and amortization</t>
  </si>
  <si>
    <t xml:space="preserve">Share-based compensation expense </t>
  </si>
  <si>
    <t xml:space="preserve">Deferred income taxes </t>
  </si>
  <si>
    <t xml:space="preserve">Loss on debt extinguishment </t>
  </si>
  <si>
    <t xml:space="preserve">Noncash losses/(gains) and others, net </t>
  </si>
  <si>
    <t>Changes in operating accounts</t>
  </si>
  <si>
    <t xml:space="preserve">Inventory </t>
  </si>
  <si>
    <t xml:space="preserve">Other assets </t>
  </si>
  <si>
    <t xml:space="preserve">Accrued and other liabilities </t>
  </si>
  <si>
    <t xml:space="preserve">Cash provided by operating activities- continued operations </t>
  </si>
  <si>
    <t xml:space="preserve">Cash provided by operating activities- discontinued operations </t>
  </si>
  <si>
    <t xml:space="preserve">Cash provided by operations </t>
  </si>
  <si>
    <t>Investing activities</t>
  </si>
  <si>
    <t xml:space="preserve">Expenditures for property and equity </t>
  </si>
  <si>
    <t xml:space="preserve">Proceeds from disposal of property and equipment </t>
  </si>
  <si>
    <t>Cash paid for acquisitions, net cash assumed</t>
  </si>
  <si>
    <t xml:space="preserve">Other investments </t>
  </si>
  <si>
    <t xml:space="preserve">Cash required for investing activities </t>
  </si>
  <si>
    <t xml:space="preserve">Financing activities </t>
  </si>
  <si>
    <t xml:space="preserve">Additions to long-term debt </t>
  </si>
  <si>
    <t xml:space="preserve">Reductions of long-term debt </t>
  </si>
  <si>
    <t xml:space="preserve">Dividends paid </t>
  </si>
  <si>
    <t xml:space="preserve">Repurchase of stock </t>
  </si>
  <si>
    <t xml:space="preserve">Stock option exercises </t>
  </si>
  <si>
    <t xml:space="preserve">Cash required for financing activities </t>
  </si>
  <si>
    <t xml:space="preserve">Net (decrease)/ increase in cash and cash equivalent </t>
  </si>
  <si>
    <t xml:space="preserve">Cash and cash equivalents at beginning of period </t>
  </si>
  <si>
    <t xml:space="preserve">Cash and cash equivalents at end of period </t>
  </si>
  <si>
    <t xml:space="preserve">Supplemental information </t>
  </si>
  <si>
    <t xml:space="preserve">Interest paid, net of capitalized interest </t>
  </si>
  <si>
    <t xml:space="preserve">Income taxes paid </t>
  </si>
  <si>
    <t xml:space="preserve">Leased assets obtained in exchange for new finance lease liabilities </t>
  </si>
  <si>
    <t xml:space="preserve">Leased assets obtained in exchange for new operating  lease liabilities </t>
  </si>
  <si>
    <t xml:space="preserve">Part I </t>
  </si>
  <si>
    <t xml:space="preserve">A. Sales Growth </t>
  </si>
  <si>
    <t xml:space="preserve">The sales growth remained relatively stable 
around 3.6% for the past 3 years. </t>
  </si>
  <si>
    <t xml:space="preserve">Sales </t>
  </si>
  <si>
    <t xml:space="preserve">Sales Growth </t>
  </si>
  <si>
    <t xml:space="preserve">B. Profitability Margins </t>
  </si>
  <si>
    <t>Total Revenue</t>
  </si>
  <si>
    <t>First, the net income grew by around 1% from 2017 to 2018,
and then, there was a significant increase in 2019 given the 
growth rate jumped to around 12%. 
The gross margin remained stable around 29-30%. This means 
the relationship between sales generated and the cost of production is relatively stable. One concern could be COGS margin 
is higher compared to Gross Marginmeaning the COGS takes up a lot of the sales. Therefore, Target could seek to reduce the 
COGS so that more revenue could be retained, and there's a higher Gross Margin.</t>
  </si>
  <si>
    <t xml:space="preserve">Revenue Growth </t>
  </si>
  <si>
    <t>CAGR</t>
  </si>
  <si>
    <t xml:space="preserve">COGS </t>
  </si>
  <si>
    <t xml:space="preserve">COGS Margin </t>
  </si>
  <si>
    <t xml:space="preserve">Gross Margin </t>
  </si>
  <si>
    <t xml:space="preserve">SG&amp;A </t>
  </si>
  <si>
    <t xml:space="preserve">SG&amp;A Margin </t>
  </si>
  <si>
    <t xml:space="preserve">Depreciation and Amortization </t>
  </si>
  <si>
    <t xml:space="preserve">Operating Income </t>
  </si>
  <si>
    <t xml:space="preserve">For the efficiency ratio, the Cash Level remained relatively steady 
at around 4%. The cash level tells the percent the firm holds in cash, and 
it is critical to ensure the company is cash efficient without running out of cash. 
At the same time, the firm would not want to keep a lot of cash in reserve. 
</t>
  </si>
  <si>
    <t xml:space="preserve">Operating Income % Margin </t>
  </si>
  <si>
    <t xml:space="preserve">Net Interest Expense </t>
  </si>
  <si>
    <t xml:space="preserve">Other Income or Expense </t>
  </si>
  <si>
    <t xml:space="preserve">Earnings before Income Tax (EBT) </t>
  </si>
  <si>
    <t xml:space="preserve">Income Tax Expense </t>
  </si>
  <si>
    <t xml:space="preserve">ETF (Effective Tax Rate) </t>
  </si>
  <si>
    <t xml:space="preserve">Net Earnings from Continuing Operations </t>
  </si>
  <si>
    <t xml:space="preserve">For Liquidity, I used current ratio, which measures a company's 
ability to pay short-term obligations or those due within a year. Here. 
It's relatively stable, and close to 1. This might be a potential area to 
look out for because a ratio lower than 1 means that the company might risk
not being able to pay all its short term obligations since the current asset
is less than current liabilities. </t>
  </si>
  <si>
    <t xml:space="preserve">Discontinued Operations, Net of Tax </t>
  </si>
  <si>
    <t xml:space="preserve">Net Income </t>
  </si>
  <si>
    <t xml:space="preserve">Net Income Growth </t>
  </si>
  <si>
    <t xml:space="preserve">Basic Earnings Per Share (EPS) </t>
  </si>
  <si>
    <t xml:space="preserve">Dividend Per Share (DPS) </t>
  </si>
  <si>
    <t xml:space="preserve">Share Price </t>
  </si>
  <si>
    <t xml:space="preserve">Weighted Average Common Shares Outstanding </t>
  </si>
  <si>
    <t xml:space="preserve">C. Efficiency </t>
  </si>
  <si>
    <t xml:space="preserve">Working Capital Assumptions </t>
  </si>
  <si>
    <t xml:space="preserve">For the turnover ratios, the account receivable turnover is relatively 
small at around 5. This is good news because it means the company gets 
the payments relatively fast. Meanwhile, the account payable days is higher, 
which is generally better than a smaller number because the smaller means the 
firm has to pay creditor faster, which may be a signal for less leverage </t>
  </si>
  <si>
    <t xml:space="preserve">Revenue </t>
  </si>
  <si>
    <t xml:space="preserve">Working Capital Asset </t>
  </si>
  <si>
    <t xml:space="preserve">Account Receivable </t>
  </si>
  <si>
    <t xml:space="preserve">Account Receivable Days (of Sale) </t>
  </si>
  <si>
    <t xml:space="preserve">Inventory Days (of COGS) </t>
  </si>
  <si>
    <t xml:space="preserve">Working Capital Liabilities </t>
  </si>
  <si>
    <t>Accounts Payable</t>
  </si>
  <si>
    <t xml:space="preserve">Accounts Payable Days (of COGS) </t>
  </si>
  <si>
    <t xml:space="preserve">Accrues Liabilities </t>
  </si>
  <si>
    <t>Accrued Expenses Days (of Sales)</t>
  </si>
  <si>
    <t xml:space="preserve">D. Returns </t>
  </si>
  <si>
    <t xml:space="preserve">Net Income (Net Earnings) </t>
  </si>
  <si>
    <t xml:space="preserve">Shareholder's Equity </t>
  </si>
  <si>
    <t>Return on Equity Ratio</t>
  </si>
  <si>
    <t>Total Assets</t>
  </si>
  <si>
    <t xml:space="preserve">Return on Assets Ratio </t>
  </si>
  <si>
    <t xml:space="preserve">E. Liquidity </t>
  </si>
  <si>
    <t xml:space="preserve">Items: </t>
  </si>
  <si>
    <t>Current Assets</t>
  </si>
  <si>
    <t xml:space="preserve">Current Liabilities </t>
  </si>
  <si>
    <t xml:space="preserve">Cash and Cash Equivalent </t>
  </si>
  <si>
    <t xml:space="preserve">Operating Cash Flow </t>
  </si>
  <si>
    <t>Current Ratio</t>
  </si>
  <si>
    <t xml:space="preserve">Cash Ratio </t>
  </si>
  <si>
    <t xml:space="preserve">Operating Cash Flow Ratio </t>
  </si>
  <si>
    <t>Acid-Test Ratio</t>
  </si>
  <si>
    <t>Cash Level</t>
  </si>
  <si>
    <t xml:space="preserve">F. Leverage </t>
  </si>
  <si>
    <t xml:space="preserve">Total Liabilities </t>
  </si>
  <si>
    <t xml:space="preserve">Total Assets </t>
  </si>
  <si>
    <t xml:space="preserve">Interest Expense </t>
  </si>
  <si>
    <t xml:space="preserve">Debt </t>
  </si>
  <si>
    <t xml:space="preserve">Total-Debt-to-Total Assets (Total Liabilities/Total Assets) </t>
  </si>
  <si>
    <t xml:space="preserve">Debt/Asset Ratio </t>
  </si>
  <si>
    <t>Debt to Equity Ratio</t>
  </si>
  <si>
    <t>EBITDA</t>
  </si>
  <si>
    <t>Net Debt to EBITDA</t>
  </si>
  <si>
    <t>Debt/EBITDA</t>
  </si>
  <si>
    <t xml:space="preserve">Part III </t>
  </si>
  <si>
    <t>Average</t>
  </si>
  <si>
    <t xml:space="preserve">Other revenue growth </t>
  </si>
  <si>
    <t xml:space="preserve"> </t>
  </si>
  <si>
    <t xml:space="preserve">Cost of sales (COGS) </t>
  </si>
  <si>
    <t xml:space="preserve">For COGS, since the COGS margin was similar across the past few years, I did an average of the numbers. Then I flatlined the margin, and multiplied by revenue to calculate COGS </t>
  </si>
  <si>
    <t xml:space="preserve">Selling, general, and administrative expenses (SG&amp;A) </t>
  </si>
  <si>
    <t xml:space="preserve">For SG&amp;A I used the proportion to revenue, which already factors into inflation. Then I flat lined the average given it was close for 
the historical years. Then, I used that to multiply by revenue to figure out SG&amp;A </t>
  </si>
  <si>
    <t xml:space="preserve">Depreciation and amortization (D&amp;A) </t>
  </si>
  <si>
    <t xml:space="preserve">Operating Income Margin </t>
  </si>
  <si>
    <t xml:space="preserve">Other (income) or expense </t>
  </si>
  <si>
    <t>Earnings before income taxes (EBT)</t>
  </si>
  <si>
    <t>ETR</t>
  </si>
  <si>
    <t>Net earnings per share (Basic)</t>
  </si>
  <si>
    <t>PE</t>
  </si>
  <si>
    <t xml:space="preserve">Stock Price </t>
  </si>
  <si>
    <t>Weighted average common shares outstanding (Basic)</t>
  </si>
  <si>
    <t xml:space="preserve">Dividend per share (DPS) </t>
  </si>
  <si>
    <t xml:space="preserve">Average </t>
  </si>
  <si>
    <t xml:space="preserve">D&amp;A </t>
  </si>
  <si>
    <t xml:space="preserve">Changes in Inventory </t>
  </si>
  <si>
    <t xml:space="preserve">Changes in Payable </t>
  </si>
  <si>
    <t xml:space="preserve">Changes in Accrued Liabilities </t>
  </si>
  <si>
    <t xml:space="preserve">Cash from Operations </t>
  </si>
  <si>
    <t xml:space="preserve">Capital Expenditure </t>
  </si>
  <si>
    <t xml:space="preserve">Free Cash Flow </t>
  </si>
  <si>
    <t xml:space="preserve">Account Payable </t>
  </si>
  <si>
    <t>Working Capital Assets</t>
  </si>
  <si>
    <t xml:space="preserve">Inventories </t>
  </si>
  <si>
    <t>COGS</t>
  </si>
  <si>
    <t xml:space="preserve">Payable Days (of COGS) </t>
  </si>
  <si>
    <t xml:space="preserve">Accrued Liabilities </t>
  </si>
  <si>
    <t xml:space="preserve">Accrues Expenses Days (of Sales ) </t>
  </si>
  <si>
    <t xml:space="preserve">Capex and D&amp;A </t>
  </si>
  <si>
    <t>PPE</t>
  </si>
  <si>
    <t>Capital Expenditure</t>
  </si>
  <si>
    <t xml:space="preserve">Capex as % of Revenue </t>
  </si>
  <si>
    <t xml:space="preserve">Depreciation as % of Capex </t>
  </si>
  <si>
    <t xml:space="preserve">Net PPE </t>
  </si>
  <si>
    <t>BB</t>
  </si>
  <si>
    <t xml:space="preserve">Capex </t>
  </si>
  <si>
    <t xml:space="preserve">(D&amp;A) </t>
  </si>
  <si>
    <t xml:space="preserve">EB </t>
  </si>
  <si>
    <t xml:space="preserve">Debt and Interest Schedule </t>
  </si>
  <si>
    <t xml:space="preserve">Debt Balance </t>
  </si>
  <si>
    <t xml:space="preserve">Average Debt Balance </t>
  </si>
  <si>
    <t xml:space="preserve">Interest Rate </t>
  </si>
  <si>
    <t xml:space="preserve">Debt to Equity Ratio </t>
  </si>
  <si>
    <t xml:space="preserve">Debt to Equity  (Liability/ Equity) </t>
  </si>
  <si>
    <t xml:space="preserve">Debt to Asset Ratio </t>
  </si>
  <si>
    <t xml:space="preserve">Share Repurchase Schedule </t>
  </si>
  <si>
    <t xml:space="preserve">Prior Year EPS </t>
  </si>
  <si>
    <t xml:space="preserve">Last Year P/E </t>
  </si>
  <si>
    <t xml:space="preserve">Price </t>
  </si>
  <si>
    <t>EPS</t>
  </si>
  <si>
    <t xml:space="preserve">Stock Outstanding </t>
  </si>
  <si>
    <t>Share Repurchase</t>
  </si>
  <si>
    <t xml:space="preserve">EPS </t>
  </si>
  <si>
    <t xml:space="preserve">Income Tax Ratio </t>
  </si>
  <si>
    <t xml:space="preserve">Company </t>
  </si>
  <si>
    <t>Ticker</t>
  </si>
  <si>
    <t xml:space="preserve">Shares Out </t>
  </si>
  <si>
    <t xml:space="preserve">Share  Price (As of 12/15) </t>
  </si>
  <si>
    <t xml:space="preserve">Cash </t>
  </si>
  <si>
    <t>Beta</t>
  </si>
  <si>
    <t>Equity (Market Cap)</t>
  </si>
  <si>
    <t>Debt/Equity</t>
  </si>
  <si>
    <t xml:space="preserve">Effective Tax Rate </t>
  </si>
  <si>
    <t>Unlevered Beta</t>
  </si>
  <si>
    <t xml:space="preserve">Operating Profit LTM </t>
  </si>
  <si>
    <t>D&amp;A (LTM)</t>
  </si>
  <si>
    <t xml:space="preserve">Net Income (LTM) </t>
  </si>
  <si>
    <t>EV</t>
  </si>
  <si>
    <t>EV/EBITDA</t>
  </si>
  <si>
    <t xml:space="preserve">Costco </t>
  </si>
  <si>
    <t xml:space="preserve">COST </t>
  </si>
  <si>
    <t>Walmart</t>
  </si>
  <si>
    <t>WMT</t>
  </si>
  <si>
    <t xml:space="preserve">Amazon </t>
  </si>
  <si>
    <t xml:space="preserve">AMZN </t>
  </si>
  <si>
    <t>Walgreen</t>
  </si>
  <si>
    <t>WBA</t>
  </si>
  <si>
    <t xml:space="preserve">Target </t>
  </si>
  <si>
    <t>TGT</t>
  </si>
  <si>
    <t>Treasury Rate</t>
  </si>
  <si>
    <t>WACC</t>
  </si>
  <si>
    <t>Risk Free Premium</t>
  </si>
  <si>
    <t xml:space="preserve">Cost of Debt </t>
  </si>
  <si>
    <t>Re</t>
  </si>
  <si>
    <t xml:space="preserve">Tax Rate </t>
  </si>
  <si>
    <t>D/(D+E)</t>
  </si>
  <si>
    <t>Debt Portion</t>
  </si>
  <si>
    <t>Cost of Equity</t>
  </si>
  <si>
    <t>E/(D+E)</t>
  </si>
  <si>
    <t xml:space="preserve">Equity Portion </t>
  </si>
  <si>
    <t xml:space="preserve">Unlevered Cash Flow </t>
  </si>
  <si>
    <t xml:space="preserve">Terminal </t>
  </si>
  <si>
    <t>EBIT</t>
  </si>
  <si>
    <t xml:space="preserve">Unlevered Taxes </t>
  </si>
  <si>
    <t>NOPAT</t>
  </si>
  <si>
    <t>(+) D&amp;A</t>
  </si>
  <si>
    <t xml:space="preserve">Changes in Working Capital </t>
  </si>
  <si>
    <t xml:space="preserve">(-) Capex </t>
  </si>
  <si>
    <t xml:space="preserve">Unlevered Free Cash Flow </t>
  </si>
  <si>
    <t xml:space="preserve">Multiple </t>
  </si>
  <si>
    <t xml:space="preserve">Enterprise Value </t>
  </si>
  <si>
    <t>(Debt)</t>
  </si>
  <si>
    <t>Cash</t>
  </si>
  <si>
    <t>Equity Value</t>
  </si>
  <si>
    <t xml:space="preserve">Shares Outstanding </t>
  </si>
  <si>
    <t>Price/Share</t>
  </si>
  <si>
    <t xml:space="preserve">Trading Price </t>
  </si>
  <si>
    <t>Balance Sheet Fiscal Year Ended</t>
  </si>
  <si>
    <t xml:space="preserve">Income Statement </t>
  </si>
  <si>
    <t xml:space="preserve">One concern could be COGS margin 
is higher compared to Gross Margin
meaning the COGS takes up a lot 
of the sales </t>
  </si>
  <si>
    <t xml:space="preserve">Inventory Turnover Ratio </t>
  </si>
  <si>
    <t>Asset Turnover Ratio</t>
  </si>
  <si>
    <t xml:space="preserve">Receivable Turnover Ratio </t>
  </si>
  <si>
    <t xml:space="preserve">Days Sales in Inventory Ratio </t>
  </si>
  <si>
    <t>Debt Ratio</t>
  </si>
  <si>
    <t xml:space="preserve">Part III Calculation </t>
  </si>
  <si>
    <t xml:space="preserve">I first projected 2020 Revenue from the first 3Q and looking at the historical pattern to see the ratio between 3rd Q and 4th. Then I made the assumption that 2021 will be the same as 2020, but then for the years following that, it will revert back to 2019. So for 2022, I did 2019* (1+ Revenue Growth)^3, since it's assume it hasn't changed, and I needed to account for 2020 and 2021. So it's to the power of 3 instead of 1.  Then for 2023 and 2024, I did the previous year * (1+growth rate) </t>
  </si>
  <si>
    <t xml:space="preserve">D&amp;A Margin </t>
  </si>
  <si>
    <t xml:space="preserve">EPS* PE = Stock Price </t>
  </si>
  <si>
    <t xml:space="preserve">Beginning Shares </t>
  </si>
  <si>
    <t xml:space="preserve">Ending Shares </t>
  </si>
  <si>
    <t xml:space="preserve">Average Shares </t>
  </si>
  <si>
    <t xml:space="preserve">P/E </t>
  </si>
  <si>
    <t xml:space="preserve">Repurchase </t>
  </si>
  <si>
    <t xml:space="preserve">Debt Issuance/ (Takeout) </t>
  </si>
  <si>
    <t>Income Statement Forecast</t>
  </si>
  <si>
    <t xml:space="preserve">Other Calculations for Income Statement </t>
  </si>
  <si>
    <t xml:space="preserve">Q4 </t>
  </si>
  <si>
    <t>-</t>
  </si>
  <si>
    <t xml:space="preserve">Diluted impact of share-based awards </t>
  </si>
  <si>
    <t xml:space="preserve">Dividends declared per share </t>
  </si>
  <si>
    <t>Q3</t>
  </si>
  <si>
    <t xml:space="preserve">Operating income (EBIT) </t>
  </si>
  <si>
    <t>Dividends declared per share</t>
  </si>
  <si>
    <t>Q2</t>
  </si>
  <si>
    <t>Q1</t>
  </si>
  <si>
    <t>Q4 to Q3 Ratio or Proportion</t>
  </si>
  <si>
    <t xml:space="preserve">Projected 2020 </t>
  </si>
  <si>
    <t>Average Multiples based on Equity Research</t>
  </si>
  <si>
    <t>2020(Year 1)</t>
  </si>
  <si>
    <t xml:space="preserve">2021(Year 2) </t>
  </si>
  <si>
    <t xml:space="preserve">2022(Year 3) </t>
  </si>
  <si>
    <t xml:space="preserve">Since the forecast starts at 2020, so Year 1 would be 2020; 
Year 2 would be 2021; 
and Year 3 would be 2022. As the table illustrates, 
each company have a different projection
and some projected for more years than others. 
Therefore, by taking the average of the year 2020-23 
would provide a better picture of the average EPS. </t>
  </si>
  <si>
    <t xml:space="preserve">EPS Per Share (Adj) </t>
  </si>
  <si>
    <t>Credit Suisse</t>
  </si>
  <si>
    <t>Barclays</t>
  </si>
  <si>
    <t>UBS</t>
  </si>
  <si>
    <t>Morgan Stanley</t>
  </si>
  <si>
    <t>#</t>
  </si>
  <si>
    <t>Name</t>
  </si>
  <si>
    <t>UNI</t>
  </si>
  <si>
    <t>Company Assignment</t>
  </si>
  <si>
    <t>Company Name</t>
  </si>
  <si>
    <t>Industry</t>
  </si>
  <si>
    <t>TA</t>
  </si>
  <si>
    <t>Email</t>
  </si>
  <si>
    <t># Students Assigned</t>
  </si>
  <si>
    <t>Rand Al-Harahsheh</t>
  </si>
  <si>
    <t>rma2153</t>
  </si>
  <si>
    <t>Bloomin' Brands</t>
  </si>
  <si>
    <t>BLMN</t>
  </si>
  <si>
    <t>Restaurant</t>
  </si>
  <si>
    <t>Sophia Sagandyk</t>
  </si>
  <si>
    <t xml:space="preserve">sophia.sagandyk@columbia.edu  </t>
  </si>
  <si>
    <t>Sejal Atluru</t>
  </si>
  <si>
    <t>sa3701</t>
  </si>
  <si>
    <t>Target</t>
  </si>
  <si>
    <t>Retail</t>
  </si>
  <si>
    <t>Riya Desai</t>
  </si>
  <si>
    <t xml:space="preserve">rd2816@columbia.edu </t>
  </si>
  <si>
    <t>Zachary Beebe</t>
  </si>
  <si>
    <t>zcb2107</t>
  </si>
  <si>
    <t>Qualcomm</t>
  </si>
  <si>
    <t>QCOM</t>
  </si>
  <si>
    <t>Tech</t>
  </si>
  <si>
    <t>Weihang Ren</t>
  </si>
  <si>
    <t xml:space="preserve">wr2325@columbia.edu </t>
  </si>
  <si>
    <t>Zuzanna Bijoch</t>
  </si>
  <si>
    <t>zab2107</t>
  </si>
  <si>
    <t>Dunkin Donuts</t>
  </si>
  <si>
    <t>DNKN</t>
  </si>
  <si>
    <t>Food / Beverage</t>
  </si>
  <si>
    <t>Pierre J Casenave-Pere</t>
  </si>
  <si>
    <t xml:space="preserve">pjc2168@columbia.edu </t>
  </si>
  <si>
    <t>Naz Bilecik</t>
  </si>
  <si>
    <t>nb2891</t>
  </si>
  <si>
    <t>Merck</t>
  </si>
  <si>
    <t>MRK</t>
  </si>
  <si>
    <t>Pharmaceutical</t>
  </si>
  <si>
    <t>Wanying Li</t>
  </si>
  <si>
    <t xml:space="preserve">wl2722@columbia.edu </t>
  </si>
  <si>
    <t>Ahmad Arman Al- bin Sakir Husein</t>
  </si>
  <si>
    <t>ab4918</t>
  </si>
  <si>
    <t>Cheuk Wan Lily Cai</t>
  </si>
  <si>
    <t>cc4672</t>
  </si>
  <si>
    <t>Caitlyn Chen</t>
  </si>
  <si>
    <t>ckc2143</t>
  </si>
  <si>
    <t>Nathan Chong</t>
  </si>
  <si>
    <t>nc2751</t>
  </si>
  <si>
    <t>Conner Collins</t>
  </si>
  <si>
    <t>cjc2269</t>
  </si>
  <si>
    <t>Yutong Dong</t>
  </si>
  <si>
    <t>yd2569</t>
  </si>
  <si>
    <t>Will Eiamsakulrat</t>
  </si>
  <si>
    <t>ke2321</t>
  </si>
  <si>
    <t>Holden Enniss</t>
  </si>
  <si>
    <t>hse2106</t>
  </si>
  <si>
    <t>Danielle Farfan</t>
  </si>
  <si>
    <t>dcf2136</t>
  </si>
  <si>
    <t>Lucas Fernandez</t>
  </si>
  <si>
    <t>lrf2137</t>
  </si>
  <si>
    <t>John Foreback</t>
  </si>
  <si>
    <t>jff2129</t>
  </si>
  <si>
    <t>Ariella Frank</t>
  </si>
  <si>
    <t>arf2165</t>
  </si>
  <si>
    <t>Claire Friou</t>
  </si>
  <si>
    <t>cnf2109</t>
  </si>
  <si>
    <t>Sophia Fung</t>
  </si>
  <si>
    <t>sf2830</t>
  </si>
  <si>
    <t>William Geerdes</t>
  </si>
  <si>
    <t>wag2121</t>
  </si>
  <si>
    <t>Alexander Gouws</t>
  </si>
  <si>
    <t>ag4062</t>
  </si>
  <si>
    <t>Julia Griffith</t>
  </si>
  <si>
    <t>jrg2220</t>
  </si>
  <si>
    <t>Fiona Guo</t>
  </si>
  <si>
    <t>kg2860</t>
  </si>
  <si>
    <t>Bar Halperin</t>
  </si>
  <si>
    <t>bh2659</t>
  </si>
  <si>
    <t>Absara Irgau</t>
  </si>
  <si>
    <t>ani2111</t>
  </si>
  <si>
    <t>Charlie Jiang</t>
  </si>
  <si>
    <t>cj2630</t>
  </si>
  <si>
    <t>Yaoqi Jiang</t>
  </si>
  <si>
    <t>yj2624</t>
  </si>
  <si>
    <t>Wael Kanaan</t>
  </si>
  <si>
    <t>wk2327</t>
  </si>
  <si>
    <t>Yuyan Ke</t>
  </si>
  <si>
    <t>yk2822</t>
  </si>
  <si>
    <t>Mariam Khmaladze</t>
  </si>
  <si>
    <t>mk4069</t>
  </si>
  <si>
    <t>Christi Kim</t>
  </si>
  <si>
    <t>cwk2109</t>
  </si>
  <si>
    <t>Naomi Kim</t>
  </si>
  <si>
    <t>nsk2152</t>
  </si>
  <si>
    <t>James Knuppenburg</t>
  </si>
  <si>
    <t>jmk2268</t>
  </si>
  <si>
    <t>Mahira Kumar</t>
  </si>
  <si>
    <t>mk4255</t>
  </si>
  <si>
    <t>Dante Landolfi</t>
  </si>
  <si>
    <t>dll2139</t>
  </si>
  <si>
    <t>Matthew Lange</t>
  </si>
  <si>
    <t>ml4421</t>
  </si>
  <si>
    <t>Parker Lefton</t>
  </si>
  <si>
    <t>pjl2136</t>
  </si>
  <si>
    <t>Jiajing Li</t>
  </si>
  <si>
    <t>jl5824</t>
  </si>
  <si>
    <t>Steven Li</t>
  </si>
  <si>
    <t>zl2993</t>
  </si>
  <si>
    <t>Nicole Lindley</t>
  </si>
  <si>
    <t>nl2701</t>
  </si>
  <si>
    <t>Cherie Liu</t>
  </si>
  <si>
    <t>cl3945</t>
  </si>
  <si>
    <t>Xinran Liu</t>
  </si>
  <si>
    <t>xl2949</t>
  </si>
  <si>
    <t>Yan Yi Joyce Liu</t>
  </si>
  <si>
    <t>yl4369</t>
  </si>
  <si>
    <t>Zeqi Liu</t>
  </si>
  <si>
    <t>zl2994</t>
  </si>
  <si>
    <t>Megan Lowry</t>
  </si>
  <si>
    <t>mel2240</t>
  </si>
  <si>
    <t>Erin McNulty</t>
  </si>
  <si>
    <t>eem2188</t>
  </si>
  <si>
    <t>Cedric Mecke</t>
  </si>
  <si>
    <t>cm3806</t>
  </si>
  <si>
    <t>Sabrina Meng</t>
  </si>
  <si>
    <t>sjm2251</t>
  </si>
  <si>
    <t>Zachary Minch</t>
  </si>
  <si>
    <t>zm2315</t>
  </si>
  <si>
    <t>Olivia Molina-Kong</t>
  </si>
  <si>
    <t>okm2107</t>
  </si>
  <si>
    <t>Julia Moncayo von Hase</t>
  </si>
  <si>
    <t>jm5005</t>
  </si>
  <si>
    <t>Isabella Morona</t>
  </si>
  <si>
    <t>im2561</t>
  </si>
  <si>
    <t>Niko Motta</t>
  </si>
  <si>
    <t>nsm2151</t>
  </si>
  <si>
    <t>Yasemin Ozturk</t>
  </si>
  <si>
    <t>yo2315</t>
  </si>
  <si>
    <t>Juan Pardo</t>
  </si>
  <si>
    <t>jap2278</t>
  </si>
  <si>
    <t>Julia Parkerson</t>
  </si>
  <si>
    <t>jp3866</t>
  </si>
  <si>
    <t>Andrew Petersen</t>
  </si>
  <si>
    <t>avp2125</t>
  </si>
  <si>
    <t>Aliza Ramdass</t>
  </si>
  <si>
    <t>asr2208</t>
  </si>
  <si>
    <t>Celina Rashid</t>
  </si>
  <si>
    <t>cr2820</t>
  </si>
  <si>
    <t>Amber Ray</t>
  </si>
  <si>
    <t>anr2146</t>
  </si>
  <si>
    <t>Fabio Reato</t>
  </si>
  <si>
    <t>fr2473</t>
  </si>
  <si>
    <t>Brittany Remark</t>
  </si>
  <si>
    <t>brr2129</t>
  </si>
  <si>
    <t>Wen Ren</t>
  </si>
  <si>
    <t>wr2314</t>
  </si>
  <si>
    <t>Rahul Sehrawat</t>
  </si>
  <si>
    <t>rs3688</t>
  </si>
  <si>
    <t>Derin Sezercan</t>
  </si>
  <si>
    <t>ds3789</t>
  </si>
  <si>
    <t>Vani Shankar</t>
  </si>
  <si>
    <t>vs2683</t>
  </si>
  <si>
    <t>Shailejeya Shukla</t>
  </si>
  <si>
    <t>ss5667</t>
  </si>
  <si>
    <t>Saar Singhal</t>
  </si>
  <si>
    <t>ss5663</t>
  </si>
  <si>
    <t>Anshul Singhvi</t>
  </si>
  <si>
    <t>as6208</t>
  </si>
  <si>
    <t>Mitchell Sturgill</t>
  </si>
  <si>
    <t>mrs2310</t>
  </si>
  <si>
    <t>Xinghang Sun</t>
  </si>
  <si>
    <t>xs2421</t>
  </si>
  <si>
    <t>Brian Szeto</t>
  </si>
  <si>
    <t>bs3146</t>
  </si>
  <si>
    <t>Watson Tansil</t>
  </si>
  <si>
    <t>wct2114</t>
  </si>
  <si>
    <t>Victoria Tereshchenko</t>
  </si>
  <si>
    <t>vat2123</t>
  </si>
  <si>
    <t>Maria Thompson Romero</t>
  </si>
  <si>
    <t>mt3199</t>
  </si>
  <si>
    <t>Hayden Treu</t>
  </si>
  <si>
    <t>hjt2115</t>
  </si>
  <si>
    <t>Maggie Wallis</t>
  </si>
  <si>
    <t>msw2168</t>
  </si>
  <si>
    <t>Joanne Wang</t>
  </si>
  <si>
    <t>jw3502</t>
  </si>
  <si>
    <t>Rennah Weng</t>
  </si>
  <si>
    <t>xw2600</t>
  </si>
  <si>
    <t>Todd Wiesel</t>
  </si>
  <si>
    <t>tjw2144</t>
  </si>
  <si>
    <t>Tyler Worrell</t>
  </si>
  <si>
    <t>tkw2114</t>
  </si>
  <si>
    <t>Nigel Yago</t>
  </si>
  <si>
    <t>nty2000</t>
  </si>
  <si>
    <t>Sean Yang</t>
  </si>
  <si>
    <t>sy2827</t>
  </si>
  <si>
    <t>Alena Zhang</t>
  </si>
  <si>
    <t>az2543</t>
  </si>
  <si>
    <t>Andrew Zhang</t>
  </si>
  <si>
    <t>adz2111</t>
  </si>
  <si>
    <t>Zixiang Zhao</t>
  </si>
  <si>
    <t>zz2721</t>
  </si>
  <si>
    <t>Sirui Zhu</t>
  </si>
  <si>
    <t>sz2799</t>
  </si>
  <si>
    <t>Q3 Target</t>
  </si>
  <si>
    <t xml:space="preserve">LT and other borrowing </t>
  </si>
  <si>
    <t>(+) current portion of long term debt</t>
  </si>
  <si>
    <t>Thomson One Instructions</t>
  </si>
  <si>
    <t>STEP 1:</t>
  </si>
  <si>
    <t>Use Internet Explorer browser, and go to Columbia Library:</t>
  </si>
  <si>
    <t>https://library.columbia.edu/libraries/business/elect_serv.html</t>
  </si>
  <si>
    <t>STEP 2:</t>
  </si>
  <si>
    <t>Select Thomson ONE, and login using Columbia UNI</t>
  </si>
  <si>
    <t>STEP 3:</t>
  </si>
  <si>
    <t>Enter the company name/ticker in the search box, and choose "Research" to view all available equity</t>
  </si>
  <si>
    <t>research. Below is an example for Merck. You can download the reports in PDF.</t>
  </si>
  <si>
    <t>STEP 4:</t>
  </si>
  <si>
    <t>You can also view financial statements from "Fundamentals" and consensus estimates from the</t>
  </si>
  <si>
    <t>Estimates section.</t>
  </si>
  <si>
    <t xml:space="preserve">Balance Sheet Fiscal Year Ended (Historical Data
Taken from 10K ) </t>
  </si>
  <si>
    <t xml:space="preserve">When it comes to adjustments, I would adjust for items that are 
non-recurring. For instance, I would adjust for Loss on debt extinguishment since it was a very small amount, and not reoccuring. I would also adjust for cash paid for acquistion. First, not every year have acquisitions, therefore that may be an non-recurring that may cause a sharp change in the flow. Additionally, it's hard to forecast the future acquisitions, and taking a flatline (or average) isn't as appropriate since each acquisition is different from the other, and therefore can be hard to project. Additionally, for the later projection, I also made several adjustments to make the projection easier. First, I combined sales and other revenue, and only focused and did total revenue. So for Part III, sales= total revenue. Additionally, in part 1, I did an Account Receivable Turnover because in the notes, the 10K does say that a part of the other assets is receivable. So, what I did was I took those numbers out and did an account receivable turnover ratio on that. However, for the forecast, it's harder to separate between, so I ended up using only the other assets, and flatlining it. </t>
  </si>
  <si>
    <t xml:space="preserve">Since I am projecting 2020 as if it's a complete year, I found the average interest rate from the past three years, and used that to calculate interest expense in 2020 and 21. Since interest rate may fluctuate based on the market and events, and then I reversed back to 2019 interest 
rate to project for 2022 to 2024.Then I used that to find the net interest expense for the projected years </t>
  </si>
  <si>
    <t xml:space="preserve">For the other (income) or expense, it's a relatively small amount and hard to predict the exact number. 
So I ended up taking the average for the past three years, and flatlining the item </t>
  </si>
  <si>
    <t>For the tax rate, I found the ratio between the past three years, and took the average of that, given the numbers were similar. Then, I flatlined it 
to project for the upcoming forecasted years</t>
  </si>
  <si>
    <t xml:space="preserve">For discontinued operations, since it's hard to predict and the numbers for the historical data was similar, I took the average and flatlined it </t>
  </si>
  <si>
    <t xml:space="preserve">For the PE ratio, I first found historical data, and then noticing a pattern that the yearly increase in PE was around 2 from the previous year, so I add 2 to previous year to figure out the projected year's PE. 
For 2023 and 2024, I made the assumption that PE wouldn't just increase linearly, so I reverted back to 2019 and 2018 trends to reflect the fluctuation in real world </t>
  </si>
  <si>
    <t xml:space="preserve">Income Statement (Historical Data) </t>
  </si>
  <si>
    <t xml:space="preserve">Cash Flow Statement (Historical data) </t>
  </si>
  <si>
    <t xml:space="preserve">The company's leverage is doing pretty well. One ratio to look at is the debt/EBITDA, which tells how many 
years it takes to amortize debt if 100% EBITDA is dedicated to it. Target's debt/EBITDA is around 2 (quite low). This means that the company 
will be able to pay back the debt relatively quickly, and is generally seen as a good thing. </t>
  </si>
  <si>
    <t xml:space="preserve">I would recommend holding the stock, because the price could fluctuate, and given Target's past performance and future project, many could happen. Therefore, there's room for either direction. 
For more specific analysis, please look at the document that explains my rationale. </t>
  </si>
  <si>
    <t xml:space="preserve">The cost of debt is based from the weighted 
coupon rate constructed in the debt schedule </t>
  </si>
  <si>
    <t>Treasury Rate is .92%, 
risk free premium is given as 7.2%</t>
  </si>
  <si>
    <t xml:space="preserve">On it very surface level, all of these are competitors chosen because they are either in the retail industry,  
have similar headquarters as Target, or have similar sizes. But for more specific analysis on each, please refer 
to the document. </t>
  </si>
  <si>
    <t xml:space="preserve">The average PE calculated for the competitors is 45, and 12 for EV/EBITDA. 
Because Target's average PE  is around 14 (from historical years), which less than the comps average, it means Target is trading at a discount compared to its comps. The reason could be due to the outliers that skewed the data, or Target may not be performing as well as comparables. Therefore, investors might view the company as either having potential financial difficulties, or the company may be undervalued, and buying in stock at a lower price would be beneficial.  </t>
  </si>
  <si>
    <t>Part I Computations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</si>
</sst>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 #,##0_ ;_ * \-#,##0_ ;_ * &quot;-&quot;_ ;_ @_ "/>
    <numFmt numFmtId="165" formatCode="_ * #,##0.00_ ;_ * \-#,##0.00_ ;_ * &quot;-&quot;??_ ;_ @_ "/>
    <numFmt numFmtId="166" formatCode="#,##0;[Red]\(#,##0\)"/>
    <numFmt numFmtId="167" formatCode="0.0%"/>
    <numFmt numFmtId="168" formatCode="0.000"/>
    <numFmt numFmtId="169" formatCode="\(#,##0_);[Red]\(#,##0\)"/>
    <numFmt numFmtId="170" formatCode="0.0000"/>
    <numFmt numFmtId="171" formatCode="_(\$* #,##0_);_(\$* \(#,##0\);_(\$* \-_);_(@_)"/>
    <numFmt numFmtId="172" formatCode="#,##0.00;\(#,##0.00\)"/>
    <numFmt numFmtId="173" formatCode="#,##0;\(#,##0\)"/>
    <numFmt numFmtId="174" formatCode="0.0"/>
    <numFmt numFmtId="175" formatCode="\$#,##0.00;\¥\-#,##0.00"/>
    <numFmt numFmtId="176" formatCode="#,##0.0;\(#,##0.0\)"/>
    <numFmt numFmtId="177" formatCode="#,##0.0"/>
    <numFmt numFmtId="178" formatCode="0.00_ "/>
    <numFmt numFmtId="180" formatCode="_(\$* #,##0_);_(\$* \(#,##0\);_(\$* &quot;-&quot;_);_(@_)"/>
    <numFmt numFmtId="181" formatCode="0_);\(0\)"/>
  </numFmts>
  <fonts count="35">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sz val="10"/>
      <color theme="0"/>
      <name val="Arial"/>
      <family val="2"/>
    </font>
    <font>
      <b/>
      <sz val="10"/>
      <color theme="0"/>
      <name val="Arial"/>
      <family val="2"/>
    </font>
    <font>
      <sz val="15"/>
      <color theme="1"/>
      <name val="Calibri"/>
      <charset val="134"/>
      <scheme val="minor"/>
    </font>
    <font>
      <sz val="11"/>
      <color indexed="0"/>
      <name val="Calibri"/>
      <charset val="134"/>
      <scheme val="minor"/>
    </font>
    <font>
      <b/>
      <sz val="11"/>
      <color indexed="8"/>
      <name val="Calibri"/>
      <family val="2"/>
    </font>
    <font>
      <sz val="11"/>
      <name val="Calibri"/>
      <charset val="134"/>
      <scheme val="minor"/>
    </font>
    <font>
      <sz val="9"/>
      <color indexed="0"/>
      <name val="Courier New"/>
      <family val="3"/>
    </font>
    <font>
      <sz val="11"/>
      <color theme="4" tint="-0.249977111117893"/>
      <name val="Calibri"/>
      <charset val="134"/>
      <scheme val="minor"/>
    </font>
    <font>
      <i/>
      <sz val="11"/>
      <color theme="1"/>
      <name val="Calibri"/>
      <charset val="134"/>
      <scheme val="minor"/>
    </font>
    <font>
      <b/>
      <sz val="7"/>
      <color rgb="FF2D3B45"/>
      <name val="Arial"/>
      <family val="2"/>
    </font>
    <font>
      <sz val="7"/>
      <color rgb="FF2D3B45"/>
      <name val="Arial"/>
      <family val="2"/>
    </font>
    <font>
      <sz val="11"/>
      <color rgb="FF00B050"/>
      <name val="Calibri"/>
      <charset val="134"/>
      <scheme val="minor"/>
    </font>
    <font>
      <sz val="11"/>
      <color theme="0"/>
      <name val="Calibri"/>
      <family val="2"/>
    </font>
    <font>
      <u/>
      <sz val="11"/>
      <color theme="0"/>
      <name val="Calibri"/>
      <family val="2"/>
    </font>
    <font>
      <b/>
      <sz val="11"/>
      <color theme="0"/>
      <name val="Calibri"/>
      <family val="2"/>
    </font>
    <font>
      <b/>
      <sz val="11"/>
      <color indexed="8"/>
      <name val="Calibri"/>
      <family val="2"/>
    </font>
    <font>
      <b/>
      <sz val="11"/>
      <name val="Calibri"/>
      <charset val="134"/>
      <scheme val="minor"/>
    </font>
    <font>
      <sz val="10"/>
      <color theme="1"/>
      <name val="Calibri"/>
      <charset val="134"/>
      <scheme val="minor"/>
    </font>
    <font>
      <sz val="11"/>
      <color rgb="FF0070C0"/>
      <name val="Calibri"/>
      <charset val="134"/>
      <scheme val="minor"/>
    </font>
    <font>
      <sz val="14"/>
      <color theme="1"/>
      <name val="Calibri"/>
      <charset val="134"/>
      <scheme val="minor"/>
    </font>
    <font>
      <b/>
      <sz val="14"/>
      <color theme="1"/>
      <name val="Calibri"/>
      <charset val="134"/>
      <scheme val="minor"/>
    </font>
    <font>
      <b/>
      <u/>
      <sz val="11"/>
      <color theme="1"/>
      <name val="Calibri"/>
      <charset val="134"/>
      <scheme val="minor"/>
    </font>
    <font>
      <sz val="11"/>
      <color theme="1"/>
      <name val="Calibri"/>
      <charset val="134"/>
      <scheme val="minor"/>
    </font>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color theme="4"/>
      <name val="Calibri"/>
      <family val="2"/>
      <scheme val="minor"/>
    </font>
    <font>
      <sz val="11"/>
      <color theme="4" tint="-0.249977111117893"/>
      <name val="Calibri"/>
      <family val="2"/>
      <scheme val="minor"/>
    </font>
    <font>
      <sz val="11"/>
      <color rgb="FF00B050"/>
      <name val="Calibri"/>
      <family val="2"/>
      <scheme val="minor"/>
    </font>
    <font>
      <sz val="9"/>
      <color indexed="81"/>
      <name val="Tahoma"/>
      <charset val="1"/>
    </font>
  </fonts>
  <fills count="7">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theme="0" tint="-0.14996795556505021"/>
        <bgColor indexed="64"/>
      </patternFill>
    </fill>
    <fill>
      <patternFill patternType="solid">
        <fgColor rgb="FFFFFFFF"/>
        <bgColor indexed="64"/>
      </patternFill>
    </fill>
    <fill>
      <patternFill patternType="solid">
        <fgColor rgb="FFF5F5F5"/>
        <bgColor indexed="64"/>
      </patternFill>
    </fill>
  </fills>
  <borders count="5">
    <border>
      <left/>
      <right/>
      <top/>
      <bottom/>
      <diagonal/>
    </border>
    <border>
      <left/>
      <right/>
      <top/>
      <bottom style="thin">
        <color auto="1"/>
      </bottom>
      <diagonal/>
    </border>
    <border>
      <left/>
      <right/>
      <top/>
      <bottom style="medium">
        <color rgb="FFA5AFB5"/>
      </bottom>
      <diagonal/>
    </border>
    <border>
      <left/>
      <right/>
      <top/>
      <bottom style="medium">
        <color rgb="FFC7CDD1"/>
      </bottom>
      <diagonal/>
    </border>
    <border>
      <left/>
      <right style="dotted">
        <color auto="1"/>
      </right>
      <top/>
      <bottom/>
      <diagonal/>
    </border>
  </borders>
  <cellStyleXfs count="3">
    <xf numFmtId="0" fontId="0" fillId="0" borderId="0"/>
    <xf numFmtId="9" fontId="26" fillId="0" borderId="0" applyFont="0" applyFill="0" applyBorder="0" applyAlignment="0" applyProtection="0"/>
    <xf numFmtId="0" fontId="2" fillId="0" borderId="0"/>
  </cellStyleXfs>
  <cellXfs count="166">
    <xf numFmtId="0" fontId="0" fillId="0" borderId="0" xfId="0"/>
    <xf numFmtId="0" fontId="3" fillId="0" borderId="0" xfId="0" applyFont="1"/>
    <xf numFmtId="0" fontId="5" fillId="2" borderId="0" xfId="0" applyFont="1" applyFill="1" applyAlignment="1">
      <alignment vertical="top"/>
    </xf>
    <xf numFmtId="1" fontId="7" fillId="0" borderId="0" xfId="0" applyNumberFormat="1" applyFont="1"/>
    <xf numFmtId="1" fontId="0" fillId="0" borderId="0" xfId="0" applyNumberFormat="1"/>
    <xf numFmtId="166" fontId="7" fillId="0" borderId="0" xfId="0" applyNumberFormat="1" applyFont="1"/>
    <xf numFmtId="3" fontId="0" fillId="0" borderId="0" xfId="0" applyNumberFormat="1"/>
    <xf numFmtId="169" fontId="0" fillId="0" borderId="0" xfId="0" applyNumberFormat="1"/>
    <xf numFmtId="164" fontId="7" fillId="0" borderId="0" xfId="0" applyNumberFormat="1" applyFont="1"/>
    <xf numFmtId="166" fontId="0" fillId="0" borderId="0" xfId="0" applyNumberFormat="1"/>
    <xf numFmtId="171" fontId="0" fillId="0" borderId="0" xfId="0" applyNumberFormat="1"/>
    <xf numFmtId="173" fontId="9" fillId="0" borderId="0" xfId="0" applyNumberFormat="1" applyFont="1"/>
    <xf numFmtId="173" fontId="0" fillId="0" borderId="0" xfId="0" applyNumberFormat="1"/>
    <xf numFmtId="0" fontId="10" fillId="0" borderId="0" xfId="0" applyFont="1" applyAlignment="1">
      <alignment horizontal="right"/>
    </xf>
    <xf numFmtId="0" fontId="10" fillId="0" borderId="0" xfId="0" applyFont="1"/>
    <xf numFmtId="165" fontId="0" fillId="0" borderId="0" xfId="0" applyNumberFormat="1"/>
    <xf numFmtId="0" fontId="0" fillId="0" borderId="0" xfId="0" applyAlignment="1">
      <alignment horizontal="center"/>
    </xf>
    <xf numFmtId="0" fontId="0" fillId="0" borderId="0" xfId="1" applyNumberFormat="1" applyFont="1" applyFill="1"/>
    <xf numFmtId="173" fontId="0" fillId="0" borderId="0" xfId="1" applyNumberFormat="1" applyFont="1" applyFill="1"/>
    <xf numFmtId="164" fontId="0" fillId="0" borderId="0" xfId="1" applyNumberFormat="1" applyFont="1" applyFill="1"/>
    <xf numFmtId="1" fontId="11" fillId="0" borderId="0" xfId="0" applyNumberFormat="1" applyFont="1"/>
    <xf numFmtId="166" fontId="11" fillId="0" borderId="0" xfId="0" applyNumberFormat="1" applyFont="1"/>
    <xf numFmtId="3" fontId="11" fillId="0" borderId="0" xfId="0" applyNumberFormat="1" applyFont="1"/>
    <xf numFmtId="1" fontId="9" fillId="0" borderId="0" xfId="0" applyNumberFormat="1" applyFont="1"/>
    <xf numFmtId="173" fontId="11" fillId="0" borderId="0" xfId="0" applyNumberFormat="1" applyFont="1"/>
    <xf numFmtId="166" fontId="9" fillId="0" borderId="0" xfId="0" applyNumberFormat="1" applyFont="1"/>
    <xf numFmtId="164" fontId="11" fillId="3" borderId="0" xfId="0" applyNumberFormat="1" applyFont="1" applyFill="1"/>
    <xf numFmtId="166" fontId="11" fillId="3" borderId="0" xfId="0" applyNumberFormat="1" applyFont="1" applyFill="1"/>
    <xf numFmtId="0" fontId="11" fillId="0" borderId="0" xfId="0" applyFont="1"/>
    <xf numFmtId="0" fontId="9" fillId="0" borderId="0" xfId="0" applyFont="1"/>
    <xf numFmtId="165" fontId="11" fillId="3" borderId="0" xfId="0" applyNumberFormat="1" applyFont="1" applyFill="1"/>
    <xf numFmtId="0" fontId="11" fillId="3" borderId="0" xfId="0" applyFont="1" applyFill="1"/>
    <xf numFmtId="0" fontId="11" fillId="0" borderId="0" xfId="1" applyNumberFormat="1" applyFont="1" applyFill="1"/>
    <xf numFmtId="173" fontId="11" fillId="0" borderId="0" xfId="1" applyNumberFormat="1" applyFont="1" applyFill="1"/>
    <xf numFmtId="0" fontId="11" fillId="3" borderId="0" xfId="1" applyNumberFormat="1" applyFont="1" applyFill="1"/>
    <xf numFmtId="164" fontId="11" fillId="3" borderId="0" xfId="1" applyNumberFormat="1" applyFont="1" applyFill="1"/>
    <xf numFmtId="0" fontId="9" fillId="0" borderId="0" xfId="1" applyNumberFormat="1" applyFont="1" applyFill="1"/>
    <xf numFmtId="173" fontId="11" fillId="3" borderId="0" xfId="0" applyNumberFormat="1" applyFont="1" applyFill="1"/>
    <xf numFmtId="10" fontId="0" fillId="0" borderId="0" xfId="1" applyNumberFormat="1" applyFont="1"/>
    <xf numFmtId="9" fontId="0" fillId="0" borderId="0" xfId="1" applyFont="1"/>
    <xf numFmtId="9" fontId="0" fillId="0" borderId="0" xfId="0" applyNumberFormat="1"/>
    <xf numFmtId="2" fontId="0" fillId="0" borderId="0" xfId="0" applyNumberFormat="1"/>
    <xf numFmtId="168" fontId="0" fillId="0" borderId="0" xfId="0" applyNumberFormat="1"/>
    <xf numFmtId="0" fontId="0" fillId="0" borderId="1" xfId="0" applyBorder="1"/>
    <xf numFmtId="0" fontId="13" fillId="5" borderId="0" xfId="0" applyFont="1" applyFill="1" applyAlignment="1">
      <alignment horizontal="center" vertical="center" wrapText="1"/>
    </xf>
    <xf numFmtId="0" fontId="13" fillId="5" borderId="2" xfId="0" applyFont="1" applyFill="1" applyBorder="1" applyAlignment="1">
      <alignment horizontal="right" vertical="center" wrapText="1"/>
    </xf>
    <xf numFmtId="0" fontId="13" fillId="5" borderId="2" xfId="0" applyFont="1" applyFill="1" applyBorder="1" applyAlignment="1">
      <alignment horizontal="left" vertical="center" wrapText="1"/>
    </xf>
    <xf numFmtId="0" fontId="14" fillId="6" borderId="3" xfId="0" applyFont="1" applyFill="1" applyBorder="1" applyAlignment="1">
      <alignment horizontal="center" vertical="center" wrapText="1"/>
    </xf>
    <xf numFmtId="0" fontId="14" fillId="6" borderId="3" xfId="0" applyFont="1" applyFill="1" applyBorder="1" applyAlignment="1">
      <alignment horizontal="left" vertical="center" wrapText="1"/>
    </xf>
    <xf numFmtId="0" fontId="14" fillId="5" borderId="3" xfId="0" applyFont="1" applyFill="1" applyBorder="1" applyAlignment="1">
      <alignment horizontal="center" vertical="center" wrapText="1"/>
    </xf>
    <xf numFmtId="0" fontId="14" fillId="5" borderId="3" xfId="0" applyFont="1" applyFill="1" applyBorder="1" applyAlignment="1">
      <alignment horizontal="left" vertical="center" wrapText="1"/>
    </xf>
    <xf numFmtId="172" fontId="0" fillId="0" borderId="0" xfId="0" applyNumberFormat="1"/>
    <xf numFmtId="175" fontId="0" fillId="0" borderId="0" xfId="0" applyNumberFormat="1"/>
    <xf numFmtId="165" fontId="0" fillId="0" borderId="0" xfId="0" applyNumberFormat="1" applyAlignment="1">
      <alignment horizontal="center"/>
    </xf>
    <xf numFmtId="174" fontId="0" fillId="0" borderId="0" xfId="0" applyNumberFormat="1"/>
    <xf numFmtId="0" fontId="11" fillId="0" borderId="0" xfId="0" applyFont="1" applyAlignment="1">
      <alignment horizontal="center"/>
    </xf>
    <xf numFmtId="165" fontId="11" fillId="0" borderId="0" xfId="0" applyNumberFormat="1" applyFont="1"/>
    <xf numFmtId="175" fontId="11" fillId="0" borderId="0" xfId="0" applyNumberFormat="1" applyFont="1"/>
    <xf numFmtId="175" fontId="11" fillId="0" borderId="0" xfId="0" applyNumberFormat="1" applyFont="1" applyAlignment="1">
      <alignment horizontal="center"/>
    </xf>
    <xf numFmtId="3" fontId="9" fillId="0" borderId="0" xfId="0" applyNumberFormat="1" applyFont="1"/>
    <xf numFmtId="3" fontId="11" fillId="0" borderId="0" xfId="0" applyNumberFormat="1" applyFont="1" applyAlignment="1">
      <alignment horizontal="center"/>
    </xf>
    <xf numFmtId="0" fontId="11" fillId="0" borderId="0" xfId="0" applyFont="1" applyAlignment="1">
      <alignment horizontal="right"/>
    </xf>
    <xf numFmtId="175" fontId="9" fillId="0" borderId="0" xfId="0" applyNumberFormat="1" applyFont="1"/>
    <xf numFmtId="175" fontId="11" fillId="0" borderId="0" xfId="0" applyNumberFormat="1" applyFont="1" applyAlignment="1">
      <alignment horizontal="right"/>
    </xf>
    <xf numFmtId="2" fontId="3" fillId="0" borderId="0" xfId="0" applyNumberFormat="1" applyFont="1"/>
    <xf numFmtId="173" fontId="3" fillId="0" borderId="0" xfId="0" applyNumberFormat="1" applyFont="1"/>
    <xf numFmtId="176" fontId="3" fillId="0" borderId="0" xfId="0" applyNumberFormat="1" applyFont="1"/>
    <xf numFmtId="0" fontId="3" fillId="0" borderId="0" xfId="0" applyFont="1" applyAlignment="1">
      <alignment horizontal="center"/>
    </xf>
    <xf numFmtId="170" fontId="0" fillId="0" borderId="0" xfId="0" applyNumberFormat="1"/>
    <xf numFmtId="176" fontId="11" fillId="0" borderId="0" xfId="0" applyNumberFormat="1" applyFont="1"/>
    <xf numFmtId="172" fontId="11" fillId="0" borderId="0" xfId="0" applyNumberFormat="1" applyFont="1"/>
    <xf numFmtId="2" fontId="11" fillId="0" borderId="0" xfId="0" applyNumberFormat="1" applyFont="1"/>
    <xf numFmtId="176" fontId="0" fillId="0" borderId="0" xfId="0" applyNumberFormat="1"/>
    <xf numFmtId="1" fontId="15" fillId="0" borderId="0" xfId="0" applyNumberFormat="1" applyFont="1"/>
    <xf numFmtId="173" fontId="15" fillId="0" borderId="0" xfId="0" applyNumberFormat="1" applyFont="1"/>
    <xf numFmtId="176" fontId="15" fillId="0" borderId="0" xfId="0" applyNumberFormat="1" applyFont="1"/>
    <xf numFmtId="165" fontId="15" fillId="0" borderId="0" xfId="0" applyNumberFormat="1" applyFont="1"/>
    <xf numFmtId="0" fontId="15" fillId="0" borderId="0" xfId="0" applyFont="1"/>
    <xf numFmtId="2" fontId="15" fillId="0" borderId="0" xfId="0" applyNumberFormat="1" applyFont="1"/>
    <xf numFmtId="166" fontId="15" fillId="0" borderId="0" xfId="0" applyNumberFormat="1" applyFont="1"/>
    <xf numFmtId="9" fontId="9" fillId="0" borderId="0" xfId="1" applyFont="1"/>
    <xf numFmtId="167" fontId="11" fillId="0" borderId="0" xfId="1" applyNumberFormat="1" applyFont="1"/>
    <xf numFmtId="10" fontId="0" fillId="0" borderId="0" xfId="0" applyNumberFormat="1"/>
    <xf numFmtId="167" fontId="9" fillId="0" borderId="0" xfId="0" applyNumberFormat="1" applyFont="1"/>
    <xf numFmtId="10" fontId="9" fillId="0" borderId="0" xfId="1" applyNumberFormat="1" applyFont="1"/>
    <xf numFmtId="0" fontId="16" fillId="2" borderId="0" xfId="0" applyFont="1" applyFill="1"/>
    <xf numFmtId="0" fontId="17" fillId="2" borderId="0" xfId="0" applyFont="1" applyFill="1"/>
    <xf numFmtId="0" fontId="18" fillId="2" borderId="0" xfId="0" applyFont="1" applyFill="1"/>
    <xf numFmtId="0" fontId="18" fillId="2" borderId="4" xfId="0" applyFont="1" applyFill="1" applyBorder="1"/>
    <xf numFmtId="0" fontId="0" fillId="0" borderId="4" xfId="0" applyBorder="1"/>
    <xf numFmtId="0" fontId="21" fillId="0" borderId="0" xfId="0" applyFont="1" applyAlignment="1">
      <alignment wrapText="1"/>
    </xf>
    <xf numFmtId="177" fontId="0" fillId="0" borderId="0" xfId="0" applyNumberFormat="1"/>
    <xf numFmtId="167" fontId="0" fillId="0" borderId="0" xfId="1" applyNumberFormat="1" applyFont="1"/>
    <xf numFmtId="167" fontId="0" fillId="0" borderId="0" xfId="0" applyNumberFormat="1"/>
    <xf numFmtId="0" fontId="22" fillId="0" borderId="0" xfId="0" applyFont="1"/>
    <xf numFmtId="1" fontId="0" fillId="0" borderId="0" xfId="1" applyNumberFormat="1" applyFont="1"/>
    <xf numFmtId="2" fontId="9" fillId="0" borderId="0" xfId="0" applyNumberFormat="1" applyFont="1"/>
    <xf numFmtId="0" fontId="0" fillId="0" borderId="0" xfId="0" applyAlignment="1">
      <alignment wrapText="1"/>
    </xf>
    <xf numFmtId="167" fontId="9" fillId="0" borderId="0" xfId="1" applyNumberFormat="1" applyFont="1"/>
    <xf numFmtId="9" fontId="15" fillId="0" borderId="0" xfId="0" applyNumberFormat="1" applyFont="1"/>
    <xf numFmtId="178" fontId="9" fillId="0" borderId="0" xfId="0" applyNumberFormat="1" applyFont="1"/>
    <xf numFmtId="0" fontId="21" fillId="0" borderId="0" xfId="0" applyFont="1" applyAlignment="1">
      <alignment vertical="top" wrapText="1"/>
    </xf>
    <xf numFmtId="10" fontId="21" fillId="0" borderId="0" xfId="0" applyNumberFormat="1" applyFont="1" applyAlignment="1">
      <alignment vertical="top" wrapText="1"/>
    </xf>
    <xf numFmtId="0" fontId="23" fillId="0" borderId="0" xfId="0" applyFont="1"/>
    <xf numFmtId="0" fontId="24" fillId="0" borderId="0" xfId="0" applyFont="1"/>
    <xf numFmtId="0" fontId="25" fillId="0" borderId="0" xfId="0" applyFont="1"/>
    <xf numFmtId="0" fontId="27" fillId="0" borderId="0" xfId="0" applyFont="1" applyAlignment="1">
      <alignment wrapText="1"/>
    </xf>
    <xf numFmtId="0" fontId="27" fillId="0" borderId="0" xfId="0" applyFont="1"/>
    <xf numFmtId="0" fontId="29" fillId="0" borderId="0" xfId="0" applyFont="1"/>
    <xf numFmtId="1" fontId="29" fillId="0" borderId="0" xfId="0" applyNumberFormat="1" applyFont="1"/>
    <xf numFmtId="0" fontId="29" fillId="0" borderId="0" xfId="2" applyFont="1"/>
    <xf numFmtId="3" fontId="29" fillId="0" borderId="0" xfId="2" applyNumberFormat="1" applyFont="1"/>
    <xf numFmtId="166" fontId="29" fillId="0" borderId="0" xfId="0" applyNumberFormat="1" applyFont="1"/>
    <xf numFmtId="3" fontId="29" fillId="0" borderId="0" xfId="0" applyNumberFormat="1" applyFont="1"/>
    <xf numFmtId="180" fontId="0" fillId="0" borderId="0" xfId="0" applyNumberFormat="1"/>
    <xf numFmtId="181" fontId="29" fillId="0" borderId="0" xfId="0" applyNumberFormat="1" applyFont="1"/>
    <xf numFmtId="37" fontId="29" fillId="0" borderId="0" xfId="2" applyNumberFormat="1" applyFont="1"/>
    <xf numFmtId="164" fontId="11" fillId="0" borderId="0" xfId="0" applyNumberFormat="1" applyFont="1"/>
    <xf numFmtId="166" fontId="30" fillId="0" borderId="0" xfId="0" applyNumberFormat="1" applyFont="1"/>
    <xf numFmtId="3" fontId="28" fillId="0" borderId="0" xfId="0" applyNumberFormat="1" applyFont="1"/>
    <xf numFmtId="0" fontId="31" fillId="0" borderId="0" xfId="0" applyFont="1"/>
    <xf numFmtId="181" fontId="1" fillId="0" borderId="0" xfId="0" applyNumberFormat="1" applyFont="1"/>
    <xf numFmtId="2" fontId="29" fillId="0" borderId="0" xfId="0" applyNumberFormat="1" applyFont="1"/>
    <xf numFmtId="165" fontId="29" fillId="0" borderId="0" xfId="0" applyNumberFormat="1" applyFont="1"/>
    <xf numFmtId="0" fontId="32" fillId="0" borderId="0" xfId="0" applyFont="1"/>
    <xf numFmtId="0" fontId="0" fillId="3" borderId="0" xfId="0" applyFill="1"/>
    <xf numFmtId="2" fontId="0" fillId="3" borderId="0" xfId="0" applyNumberFormat="1" applyFill="1"/>
    <xf numFmtId="0" fontId="32" fillId="3" borderId="0" xfId="0" applyFont="1" applyFill="1"/>
    <xf numFmtId="173" fontId="32" fillId="0" borderId="0" xfId="0" applyNumberFormat="1" applyFont="1"/>
    <xf numFmtId="0" fontId="32" fillId="0" borderId="0" xfId="1" applyNumberFormat="1" applyFont="1" applyFill="1"/>
    <xf numFmtId="0" fontId="29" fillId="3" borderId="0" xfId="0" applyFont="1" applyFill="1"/>
    <xf numFmtId="173" fontId="29" fillId="0" borderId="0" xfId="0" applyNumberFormat="1" applyFont="1"/>
    <xf numFmtId="2" fontId="33" fillId="0" borderId="0" xfId="0" applyNumberFormat="1" applyFont="1"/>
    <xf numFmtId="173" fontId="33" fillId="0" borderId="0" xfId="0" applyNumberFormat="1" applyFont="1"/>
    <xf numFmtId="167" fontId="33" fillId="0" borderId="0" xfId="1" applyNumberFormat="1" applyFont="1"/>
    <xf numFmtId="1" fontId="33" fillId="0" borderId="0" xfId="0" applyNumberFormat="1" applyFont="1"/>
    <xf numFmtId="166" fontId="33" fillId="0" borderId="0" xfId="0" applyNumberFormat="1" applyFont="1"/>
    <xf numFmtId="2" fontId="21" fillId="0" borderId="0" xfId="0" applyNumberFormat="1" applyFont="1" applyAlignment="1">
      <alignment vertical="top" wrapText="1"/>
    </xf>
    <xf numFmtId="0" fontId="33" fillId="0" borderId="0" xfId="0" applyFont="1"/>
    <xf numFmtId="0" fontId="4" fillId="2" borderId="0" xfId="0" applyFont="1" applyFill="1" applyAlignment="1">
      <alignment horizontal="center" vertical="top" wrapText="1"/>
    </xf>
    <xf numFmtId="0" fontId="4" fillId="2" borderId="0" xfId="0" applyFont="1" applyFill="1" applyAlignment="1">
      <alignment horizontal="center" vertical="top"/>
    </xf>
    <xf numFmtId="0" fontId="0" fillId="0" borderId="0" xfId="0"/>
    <xf numFmtId="0" fontId="6" fillId="0" borderId="0" xfId="0" applyFont="1"/>
    <xf numFmtId="0" fontId="8" fillId="0" borderId="0" xfId="0" applyFont="1"/>
    <xf numFmtId="0" fontId="8"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left"/>
    </xf>
    <xf numFmtId="0" fontId="6" fillId="0" borderId="0" xfId="0" applyFont="1" applyAlignment="1">
      <alignment horizontal="left"/>
    </xf>
    <xf numFmtId="0" fontId="0" fillId="3" borderId="0" xfId="0" applyFill="1" applyAlignment="1">
      <alignment horizontal="left"/>
    </xf>
    <xf numFmtId="0" fontId="12" fillId="0" borderId="0" xfId="0" applyFont="1" applyAlignment="1">
      <alignment horizontal="left"/>
    </xf>
    <xf numFmtId="0" fontId="12" fillId="0" borderId="0" xfId="0" applyFont="1" applyAlignment="1">
      <alignment horizontal="center"/>
    </xf>
    <xf numFmtId="0" fontId="3" fillId="0" borderId="0" xfId="0" applyFont="1" applyAlignment="1">
      <alignment horizontal="center"/>
    </xf>
    <xf numFmtId="0" fontId="19" fillId="0" borderId="0" xfId="0" applyFont="1" applyAlignment="1">
      <alignment horizontal="left"/>
    </xf>
    <xf numFmtId="0" fontId="27" fillId="0" borderId="0" xfId="0" applyFont="1" applyAlignment="1">
      <alignment horizontal="center"/>
    </xf>
    <xf numFmtId="0" fontId="5" fillId="2" borderId="0" xfId="0" applyFont="1" applyFill="1" applyAlignment="1">
      <alignment horizontal="center" vertical="top"/>
    </xf>
    <xf numFmtId="9" fontId="0" fillId="0" borderId="0" xfId="1" applyFont="1" applyAlignment="1">
      <alignment horizontal="center"/>
    </xf>
    <xf numFmtId="0" fontId="0" fillId="0" borderId="0" xfId="0" applyAlignment="1">
      <alignment horizontal="center" wrapText="1"/>
    </xf>
    <xf numFmtId="0" fontId="27" fillId="0" borderId="0" xfId="0" applyFont="1" applyAlignment="1">
      <alignment horizontal="center" wrapText="1"/>
    </xf>
    <xf numFmtId="1" fontId="0" fillId="0" borderId="0" xfId="0" applyNumberFormat="1" applyAlignment="1">
      <alignment horizontal="center" wrapText="1"/>
    </xf>
    <xf numFmtId="1" fontId="0" fillId="0" borderId="0" xfId="0" applyNumberFormat="1" applyAlignment="1">
      <alignment horizontal="center"/>
    </xf>
    <xf numFmtId="1" fontId="27" fillId="0" borderId="0" xfId="0" applyNumberFormat="1" applyFont="1" applyAlignment="1">
      <alignment horizontal="center" wrapText="1"/>
    </xf>
    <xf numFmtId="0" fontId="0" fillId="4" borderId="0" xfId="0" applyFill="1" applyAlignment="1">
      <alignment horizontal="left"/>
    </xf>
    <xf numFmtId="0" fontId="9" fillId="0" borderId="0" xfId="0" applyFont="1" applyAlignment="1">
      <alignment horizontal="left"/>
    </xf>
    <xf numFmtId="0" fontId="20" fillId="0" borderId="0" xfId="0" applyFont="1" applyAlignment="1">
      <alignment horizontal="left"/>
    </xf>
    <xf numFmtId="0" fontId="21" fillId="0" borderId="0" xfId="0" applyFont="1" applyAlignment="1">
      <alignment horizontal="center" vertical="top" wrapText="1"/>
    </xf>
  </cellXfs>
  <cellStyles count="3">
    <cellStyle name="Normal" xfId="0" builtinId="0"/>
    <cellStyle name="Normal 2" xfId="2" xr:uid="{6A75EC0F-911A-44D2-B984-269F3C2AD50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164465</xdr:colOff>
      <xdr:row>12</xdr:row>
      <xdr:rowOff>159904</xdr:rowOff>
    </xdr:from>
    <xdr:to>
      <xdr:col>15</xdr:col>
      <xdr:colOff>319068</xdr:colOff>
      <xdr:row>44</xdr:row>
      <xdr:rowOff>32327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rcRect l="24657" t="18830" r="26900" b="25115"/>
        <a:stretch>
          <a:fillRect/>
        </a:stretch>
      </xdr:blipFill>
      <xdr:spPr>
        <a:xfrm>
          <a:off x="164465" y="2331085"/>
          <a:ext cx="9919970" cy="56635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euk Wan Cai" id="{E14DD271-9CDB-40D0-AC8E-3383238C0F88}" userId="Cheuk Wan Cai" providerId="None"/>
  <person displayName="Lily Cai" id="{8F8F2C67-8DF3-40F4-82E4-A125CDC89F9F}" userId="214541c2e1e93c2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60" dT="2023-04-28T18:19:58.43" personId="{8F8F2C67-8DF3-40F4-82E4-A125CDC89F9F}" id="{DE745FCB-8C02-477D-A44B-6165AB81115E}">
    <text>Need to find account receivable</text>
  </threadedComment>
  <threadedComment ref="A242" dT="2023-05-01T02:45:09.84" personId="{8F8F2C67-8DF3-40F4-82E4-A125CDC89F9F}" id="{57F6113C-02E5-46A6-A020-30DD31FCF3A3}">
    <text>Missing Effective Tax Rate</text>
  </threadedComment>
  <threadedComment ref="A249" dT="2020-12-19T13:57:40.52" personId="{E14DD271-9CDB-40D0-AC8E-3383238C0F88}" id="{2ED2F8D7-0ECC-4FD4-BBBF-A1FF8170D80D}">
    <text>https://www.macrotrends.net/stocks/charts/TGT/target/pe-ratio#:~:text=Target%20PE%20ratio%20as%20of,information%20on%20our%20historical%20prices.&amp;text=Target%20Corporation%20operates%20large%2Dformat,include%20Target%20and%20SuperTarget%20stores.</text>
  </threadedComment>
  <threadedComment ref="A255" dT="2020-12-19T14:02:50.01" personId="{E14DD271-9CDB-40D0-AC8E-3383238C0F88}" id="{63FC325F-F988-4006-9C35-86A10308DB2E}">
    <text>https://investors.target.com/stock-information/dividend-and-stock-split-history</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0-12-19T16:57:05.35" personId="{E14DD271-9CDB-40D0-AC8E-3383238C0F88}" id="{C60A008A-7C43-4087-8C23-037879A47A1C}">
    <text>All from most recent 10Q
Current Portion+ Long Term</text>
  </threadedComment>
  <threadedComment ref="I1" dT="2020-12-19T16:57:24.90" personId="{E14DD271-9CDB-40D0-AC8E-3383238C0F88}" id="{572BB5FC-B4C6-41ED-83B7-CCE5FF5E42D0}">
    <text>Yahoo finance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hyperlink" Target="mailto:rd2816@columbia.edu" TargetMode="External"/><Relationship Id="rId7" Type="http://schemas.openxmlformats.org/officeDocument/2006/relationships/printerSettings" Target="../printerSettings/printerSettings3.bin"/><Relationship Id="rId2" Type="http://schemas.openxmlformats.org/officeDocument/2006/relationships/hyperlink" Target="mailto:sophia.sagandyk@columbia.edu" TargetMode="External"/><Relationship Id="rId1" Type="http://schemas.openxmlformats.org/officeDocument/2006/relationships/hyperlink" Target="mailto:sophia.sagandyk@columbia.edu" TargetMode="External"/><Relationship Id="rId6" Type="http://schemas.openxmlformats.org/officeDocument/2006/relationships/hyperlink" Target="mailto:wl2722@columbia.edu" TargetMode="External"/><Relationship Id="rId5" Type="http://schemas.openxmlformats.org/officeDocument/2006/relationships/hyperlink" Target="mailto:pjc2168@columbia.edu" TargetMode="External"/><Relationship Id="rId4" Type="http://schemas.openxmlformats.org/officeDocument/2006/relationships/hyperlink" Target="mailto:wr2325@columbi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33"/>
  <sheetViews>
    <sheetView showGridLines="0" view="pageBreakPreview" topLeftCell="A4" zoomScaleNormal="100" zoomScaleSheetLayoutView="100" workbookViewId="0">
      <selection activeCell="B39" sqref="B39"/>
    </sheetView>
  </sheetViews>
  <sheetFormatPr defaultColWidth="9" defaultRowHeight="14.6"/>
  <cols>
    <col min="1" max="1" width="2.23046875" customWidth="1"/>
    <col min="2" max="2" width="170.765625" customWidth="1"/>
  </cols>
  <sheetData>
    <row r="2" spans="1:2" ht="18.45">
      <c r="A2" t="s">
        <v>0</v>
      </c>
      <c r="B2" s="103" t="s">
        <v>1</v>
      </c>
    </row>
    <row r="3" spans="1:2" ht="18.45">
      <c r="B3" s="104" t="s">
        <v>2</v>
      </c>
    </row>
    <row r="5" spans="1:2">
      <c r="A5" t="s">
        <v>0</v>
      </c>
      <c r="B5" t="s">
        <v>3</v>
      </c>
    </row>
    <row r="6" spans="1:2">
      <c r="B6" t="s">
        <v>4</v>
      </c>
    </row>
    <row r="7" spans="1:2">
      <c r="B7" t="s">
        <v>5</v>
      </c>
    </row>
    <row r="8" spans="1:2">
      <c r="B8" t="s">
        <v>6</v>
      </c>
    </row>
    <row r="9" spans="1:2">
      <c r="B9" t="s">
        <v>7</v>
      </c>
    </row>
    <row r="10" spans="1:2">
      <c r="B10" t="s">
        <v>8</v>
      </c>
    </row>
    <row r="11" spans="1:2">
      <c r="B11" t="s">
        <v>9</v>
      </c>
    </row>
    <row r="12" spans="1:2">
      <c r="B12" t="s">
        <v>10</v>
      </c>
    </row>
    <row r="13" spans="1:2">
      <c r="B13" t="s">
        <v>11</v>
      </c>
    </row>
    <row r="14" spans="1:2">
      <c r="B14" t="s">
        <v>12</v>
      </c>
    </row>
    <row r="15" spans="1:2" ht="8.5" customHeight="1"/>
    <row r="16" spans="1:2">
      <c r="A16" t="s">
        <v>0</v>
      </c>
      <c r="B16" s="105" t="s">
        <v>13</v>
      </c>
    </row>
    <row r="17" spans="1:2">
      <c r="B17" t="s">
        <v>14</v>
      </c>
    </row>
    <row r="18" spans="1:2" ht="131.15">
      <c r="B18" s="97" t="s">
        <v>15</v>
      </c>
    </row>
    <row r="19" spans="1:2" ht="7" customHeight="1"/>
    <row r="20" spans="1:2">
      <c r="A20" t="s">
        <v>0</v>
      </c>
      <c r="B20" s="105" t="s">
        <v>16</v>
      </c>
    </row>
    <row r="21" spans="1:2" ht="102">
      <c r="B21" s="97" t="s">
        <v>17</v>
      </c>
    </row>
    <row r="22" spans="1:2" ht="5.5" customHeight="1"/>
    <row r="23" spans="1:2">
      <c r="A23" t="s">
        <v>0</v>
      </c>
      <c r="B23" s="105" t="s">
        <v>18</v>
      </c>
    </row>
    <row r="24" spans="1:2" ht="145.75">
      <c r="B24" s="97" t="s">
        <v>19</v>
      </c>
    </row>
    <row r="25" spans="1:2" ht="2.0499999999999998" customHeight="1"/>
    <row r="26" spans="1:2">
      <c r="A26" t="s">
        <v>0</v>
      </c>
      <c r="B26" s="105" t="s">
        <v>20</v>
      </c>
    </row>
    <row r="27" spans="1:2" ht="102">
      <c r="B27" s="106" t="s">
        <v>21</v>
      </c>
    </row>
    <row r="28" spans="1:2" ht="8.0500000000000007" customHeight="1"/>
    <row r="29" spans="1:2">
      <c r="A29" t="s">
        <v>0</v>
      </c>
      <c r="B29" s="105" t="s">
        <v>22</v>
      </c>
    </row>
    <row r="30" spans="1:2" ht="43.75">
      <c r="B30" s="97" t="s">
        <v>23</v>
      </c>
    </row>
    <row r="31" spans="1:2" ht="2.5" customHeight="1"/>
    <row r="32" spans="1:2">
      <c r="A32" t="s">
        <v>0</v>
      </c>
      <c r="B32" s="105" t="s">
        <v>24</v>
      </c>
    </row>
    <row r="33" spans="2:2" ht="29.15">
      <c r="B33" s="97" t="s">
        <v>25</v>
      </c>
    </row>
  </sheetData>
  <pageMargins left="0.69930555555555596" right="0.69930555555555596" top="0.75" bottom="0.75" header="0.3" footer="0.3"/>
  <pageSetup scale="56"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40"/>
  <sheetViews>
    <sheetView zoomScale="148" zoomScaleNormal="148" workbookViewId="0">
      <selection activeCell="G4" sqref="G4"/>
    </sheetView>
  </sheetViews>
  <sheetFormatPr defaultColWidth="9" defaultRowHeight="14.6"/>
  <cols>
    <col min="3" max="3" width="15.3828125" customWidth="1"/>
    <col min="9" max="9" width="8.84375"/>
  </cols>
  <sheetData>
    <row r="1" spans="1:12">
      <c r="A1" s="140" t="s">
        <v>309</v>
      </c>
      <c r="B1" s="140"/>
      <c r="C1" s="140"/>
      <c r="D1" s="2">
        <v>2017</v>
      </c>
      <c r="E1" s="2">
        <v>2018</v>
      </c>
      <c r="F1" s="2">
        <v>2019</v>
      </c>
      <c r="G1" s="2">
        <v>2020</v>
      </c>
      <c r="H1" s="2">
        <v>2021</v>
      </c>
      <c r="I1" s="2">
        <v>2022</v>
      </c>
      <c r="J1" s="2">
        <v>2023</v>
      </c>
      <c r="K1" s="2">
        <v>2024</v>
      </c>
      <c r="L1" s="2">
        <v>2025</v>
      </c>
    </row>
    <row r="2" spans="1:12">
      <c r="A2" s="141" t="s">
        <v>26</v>
      </c>
      <c r="B2" s="141"/>
      <c r="C2" s="141"/>
    </row>
    <row r="3" spans="1:12" ht="19.3">
      <c r="A3" s="142" t="s">
        <v>27</v>
      </c>
      <c r="B3" s="142"/>
      <c r="C3" s="142"/>
    </row>
    <row r="4" spans="1:12">
      <c r="A4" s="141" t="s">
        <v>28</v>
      </c>
      <c r="B4" s="141"/>
      <c r="C4" s="141"/>
      <c r="D4" s="3">
        <v>2512</v>
      </c>
      <c r="E4" s="3">
        <v>2643</v>
      </c>
      <c r="F4" s="4">
        <v>1556</v>
      </c>
      <c r="G4" s="4">
        <v>2577</v>
      </c>
      <c r="K4" s="10"/>
    </row>
    <row r="5" spans="1:12">
      <c r="A5" s="141" t="s">
        <v>29</v>
      </c>
      <c r="B5" s="141"/>
      <c r="C5" s="141"/>
      <c r="D5" s="3">
        <v>8309</v>
      </c>
      <c r="E5" s="5">
        <v>8657</v>
      </c>
      <c r="F5" s="6">
        <v>9497</v>
      </c>
      <c r="G5" s="4">
        <v>8992</v>
      </c>
      <c r="K5" s="6"/>
    </row>
    <row r="6" spans="1:12">
      <c r="A6" s="141" t="s">
        <v>30</v>
      </c>
      <c r="B6" s="141"/>
      <c r="C6" s="141"/>
      <c r="D6" s="3">
        <v>1169</v>
      </c>
      <c r="E6" s="5">
        <v>1264</v>
      </c>
      <c r="F6" s="6">
        <v>1466</v>
      </c>
      <c r="G6" s="4">
        <v>1333</v>
      </c>
      <c r="K6" s="6"/>
    </row>
    <row r="7" spans="1:12">
      <c r="A7" s="143" t="s">
        <v>31</v>
      </c>
      <c r="B7" s="143"/>
      <c r="C7" s="143"/>
      <c r="D7" s="3">
        <f>SUM(D4:D6)</f>
        <v>11990</v>
      </c>
      <c r="E7" s="3">
        <f t="shared" ref="E7:G7" si="0">SUM(E4:E6)</f>
        <v>12564</v>
      </c>
      <c r="F7" s="3">
        <f t="shared" si="0"/>
        <v>12519</v>
      </c>
      <c r="G7" s="3">
        <f t="shared" si="0"/>
        <v>12902</v>
      </c>
      <c r="K7" s="6"/>
    </row>
    <row r="8" spans="1:12">
      <c r="A8" s="144"/>
      <c r="B8" s="144"/>
      <c r="C8" s="144"/>
      <c r="E8" s="4"/>
      <c r="G8" s="4"/>
      <c r="I8" s="13" t="s">
        <v>32</v>
      </c>
    </row>
    <row r="9" spans="1:12" ht="19.3">
      <c r="A9" s="142" t="s">
        <v>33</v>
      </c>
      <c r="B9" s="142"/>
      <c r="C9" s="142"/>
      <c r="G9" s="4"/>
      <c r="K9" s="6"/>
    </row>
    <row r="10" spans="1:12">
      <c r="A10" s="141" t="s">
        <v>34</v>
      </c>
      <c r="B10" s="141"/>
      <c r="C10" s="141"/>
      <c r="D10" s="5">
        <v>6106</v>
      </c>
      <c r="E10" s="5">
        <v>6095</v>
      </c>
      <c r="F10" s="6">
        <v>6064</v>
      </c>
      <c r="G10" s="4">
        <v>6036</v>
      </c>
      <c r="K10" s="6"/>
    </row>
    <row r="11" spans="1:12">
      <c r="A11" s="141" t="s">
        <v>35</v>
      </c>
      <c r="B11" s="141"/>
      <c r="C11" s="141"/>
      <c r="D11" s="5">
        <v>27611</v>
      </c>
      <c r="E11" s="5">
        <v>28396</v>
      </c>
      <c r="F11" s="6">
        <v>29240</v>
      </c>
      <c r="G11" s="4">
        <v>30603</v>
      </c>
      <c r="K11" s="6"/>
    </row>
    <row r="12" spans="1:12">
      <c r="A12" s="141" t="s">
        <v>36</v>
      </c>
      <c r="B12" s="141"/>
      <c r="C12" s="141"/>
      <c r="D12" s="5">
        <v>5503</v>
      </c>
      <c r="E12" s="5">
        <v>5623</v>
      </c>
      <c r="F12" s="6">
        <v>5912</v>
      </c>
      <c r="G12" s="4">
        <v>6083</v>
      </c>
      <c r="K12" s="6"/>
    </row>
    <row r="13" spans="1:12">
      <c r="A13" s="141" t="s">
        <v>37</v>
      </c>
      <c r="B13" s="141"/>
      <c r="C13" s="141"/>
      <c r="D13" s="5">
        <v>2651</v>
      </c>
      <c r="E13" s="5">
        <v>2645</v>
      </c>
      <c r="F13" s="6">
        <v>2544</v>
      </c>
      <c r="G13" s="4">
        <v>2692</v>
      </c>
      <c r="K13" s="6"/>
    </row>
    <row r="14" spans="1:12">
      <c r="A14" s="141" t="s">
        <v>38</v>
      </c>
      <c r="B14" s="141"/>
      <c r="C14" s="141"/>
      <c r="D14" s="5">
        <v>200</v>
      </c>
      <c r="E14" s="5">
        <v>440</v>
      </c>
      <c r="F14" s="6">
        <v>460</v>
      </c>
      <c r="G14" s="4">
        <v>533</v>
      </c>
      <c r="K14" s="7"/>
    </row>
    <row r="15" spans="1:12">
      <c r="A15" s="141" t="s">
        <v>39</v>
      </c>
      <c r="B15" s="141"/>
      <c r="C15" s="141"/>
      <c r="D15" s="5">
        <v>-17413</v>
      </c>
      <c r="E15" s="5">
        <v>-18181</v>
      </c>
      <c r="F15" s="7">
        <v>-18687</v>
      </c>
      <c r="G15" s="7">
        <v>-19664</v>
      </c>
      <c r="K15" s="6"/>
    </row>
    <row r="16" spans="1:12">
      <c r="A16" s="141" t="s">
        <v>40</v>
      </c>
      <c r="B16" s="141"/>
      <c r="C16" s="141"/>
      <c r="D16" s="5">
        <f>SUM(D10:D15)</f>
        <v>24658</v>
      </c>
      <c r="E16" s="5">
        <f t="shared" ref="E16:G16" si="1">SUM(E10:E15)</f>
        <v>25018</v>
      </c>
      <c r="F16" s="5">
        <f t="shared" si="1"/>
        <v>25533</v>
      </c>
      <c r="G16" s="5">
        <f t="shared" si="1"/>
        <v>26283</v>
      </c>
      <c r="I16" s="9"/>
      <c r="K16" s="6"/>
    </row>
    <row r="17" spans="1:11">
      <c r="A17" s="145" t="s">
        <v>41</v>
      </c>
      <c r="B17" s="145"/>
      <c r="C17" s="145"/>
      <c r="D17" s="8">
        <v>0</v>
      </c>
      <c r="E17" s="8">
        <v>0</v>
      </c>
      <c r="F17" s="5">
        <v>1965</v>
      </c>
      <c r="G17" s="5">
        <v>2236</v>
      </c>
      <c r="I17" s="9"/>
      <c r="K17" s="6"/>
    </row>
    <row r="18" spans="1:11">
      <c r="A18" s="141" t="s">
        <v>42</v>
      </c>
      <c r="B18" s="141"/>
      <c r="C18" s="141"/>
      <c r="D18" s="5">
        <v>783</v>
      </c>
      <c r="E18" s="5">
        <v>1417</v>
      </c>
      <c r="F18" s="6">
        <v>1273</v>
      </c>
      <c r="G18" s="6">
        <v>1358</v>
      </c>
      <c r="I18" s="14" t="s">
        <v>32</v>
      </c>
      <c r="K18" s="10"/>
    </row>
    <row r="19" spans="1:11">
      <c r="A19" s="143" t="s">
        <v>43</v>
      </c>
      <c r="B19" s="143"/>
      <c r="C19" s="143"/>
      <c r="D19" s="3">
        <f>SUM(D16:D18,D7)</f>
        <v>37431</v>
      </c>
      <c r="E19" s="3">
        <f t="shared" ref="E19:G19" si="2">SUM(E16:E18,E7)</f>
        <v>38999</v>
      </c>
      <c r="F19" s="3">
        <f t="shared" si="2"/>
        <v>41290</v>
      </c>
      <c r="G19" s="3">
        <f t="shared" si="2"/>
        <v>42779</v>
      </c>
      <c r="H19" s="9"/>
    </row>
    <row r="20" spans="1:11">
      <c r="A20" s="144"/>
      <c r="B20" s="144"/>
      <c r="C20" s="144"/>
      <c r="G20" s="10"/>
      <c r="K20" s="10"/>
    </row>
    <row r="21" spans="1:11">
      <c r="A21" s="141" t="s">
        <v>44</v>
      </c>
      <c r="B21" s="141"/>
      <c r="C21" s="141"/>
      <c r="K21" s="6"/>
    </row>
    <row r="22" spans="1:11">
      <c r="A22" s="141" t="s">
        <v>45</v>
      </c>
      <c r="B22" s="141"/>
      <c r="C22" s="141"/>
      <c r="D22" s="3">
        <v>7252</v>
      </c>
      <c r="E22" s="3">
        <v>8677</v>
      </c>
      <c r="F22" s="4">
        <v>9761</v>
      </c>
      <c r="G22" s="4">
        <v>9920</v>
      </c>
      <c r="K22" s="6"/>
    </row>
    <row r="23" spans="1:11">
      <c r="A23" s="141" t="s">
        <v>46</v>
      </c>
      <c r="B23" s="141"/>
      <c r="C23" s="141"/>
      <c r="D23" s="3">
        <v>3737</v>
      </c>
      <c r="E23" s="5">
        <v>4254</v>
      </c>
      <c r="F23" s="6">
        <v>4201</v>
      </c>
      <c r="G23" s="6">
        <v>4406</v>
      </c>
      <c r="K23" s="6"/>
    </row>
    <row r="24" spans="1:11">
      <c r="A24" s="141" t="s">
        <v>47</v>
      </c>
      <c r="B24" s="141"/>
      <c r="C24" s="141"/>
      <c r="D24" s="3">
        <v>1718</v>
      </c>
      <c r="E24" s="5">
        <v>270</v>
      </c>
      <c r="F24" s="6">
        <v>1052</v>
      </c>
      <c r="G24" s="6">
        <v>161</v>
      </c>
      <c r="K24" s="6"/>
    </row>
    <row r="25" spans="1:11">
      <c r="A25" s="143" t="s">
        <v>48</v>
      </c>
      <c r="B25" s="143"/>
      <c r="C25" s="143"/>
      <c r="D25" s="3">
        <f>SUM(D22:D24)</f>
        <v>12707</v>
      </c>
      <c r="E25" s="3">
        <f t="shared" ref="E25:G25" si="3">SUM(E22:E24)</f>
        <v>13201</v>
      </c>
      <c r="F25" s="3">
        <f t="shared" si="3"/>
        <v>15014</v>
      </c>
      <c r="G25" s="3">
        <f t="shared" si="3"/>
        <v>14487</v>
      </c>
      <c r="H25" s="4"/>
      <c r="K25" s="6"/>
    </row>
    <row r="26" spans="1:11">
      <c r="A26" s="144"/>
      <c r="B26" s="144"/>
      <c r="C26" s="144"/>
      <c r="G26" s="6"/>
      <c r="K26" s="6"/>
    </row>
    <row r="27" spans="1:11">
      <c r="A27" s="141" t="s">
        <v>49</v>
      </c>
      <c r="B27" s="141"/>
      <c r="C27" s="141"/>
      <c r="D27" s="5">
        <v>11031</v>
      </c>
      <c r="E27" s="5">
        <v>11317</v>
      </c>
      <c r="F27" s="6">
        <v>10223</v>
      </c>
      <c r="G27" s="6">
        <v>11338</v>
      </c>
      <c r="K27" s="6"/>
    </row>
    <row r="28" spans="1:11">
      <c r="A28" s="141" t="s">
        <v>51</v>
      </c>
      <c r="B28" s="141"/>
      <c r="C28" s="141"/>
      <c r="D28" s="5">
        <v>861</v>
      </c>
      <c r="E28" s="5">
        <v>713</v>
      </c>
      <c r="F28" s="6">
        <v>972</v>
      </c>
      <c r="G28" s="6">
        <v>1122</v>
      </c>
    </row>
    <row r="29" spans="1:11">
      <c r="A29" s="141" t="s">
        <v>52</v>
      </c>
      <c r="B29" s="141"/>
      <c r="C29" s="141"/>
      <c r="D29" s="5">
        <v>1879</v>
      </c>
      <c r="E29" s="5">
        <v>2059</v>
      </c>
      <c r="F29" s="6">
        <v>1780</v>
      </c>
      <c r="G29" s="6">
        <v>1724</v>
      </c>
      <c r="K29" s="6"/>
    </row>
    <row r="30" spans="1:11">
      <c r="A30" s="143" t="s">
        <v>53</v>
      </c>
      <c r="B30" s="143"/>
      <c r="C30" s="143"/>
      <c r="D30" s="5">
        <v>13771</v>
      </c>
      <c r="E30" s="5">
        <f>SUM(E27:E29)</f>
        <v>14089</v>
      </c>
      <c r="F30" s="6">
        <v>14979</v>
      </c>
      <c r="G30" s="6">
        <v>16459</v>
      </c>
      <c r="K30" s="6"/>
    </row>
    <row r="31" spans="1:11">
      <c r="A31" s="144"/>
      <c r="B31" s="144"/>
      <c r="C31" s="144"/>
      <c r="G31" s="6"/>
      <c r="K31" s="6"/>
    </row>
    <row r="32" spans="1:11">
      <c r="A32" s="141" t="s">
        <v>54</v>
      </c>
      <c r="B32" s="141"/>
      <c r="C32" s="141"/>
      <c r="K32" s="7"/>
    </row>
    <row r="33" spans="1:12">
      <c r="A33" s="141" t="s">
        <v>55</v>
      </c>
      <c r="B33" s="141"/>
      <c r="C33" s="141"/>
      <c r="D33" s="5">
        <v>46</v>
      </c>
      <c r="E33" s="5">
        <v>45</v>
      </c>
      <c r="F33" s="6">
        <v>43</v>
      </c>
      <c r="G33" s="6">
        <v>42</v>
      </c>
      <c r="K33" s="6"/>
    </row>
    <row r="34" spans="1:12">
      <c r="A34" s="141" t="s">
        <v>56</v>
      </c>
      <c r="B34" s="141"/>
      <c r="C34" s="141"/>
      <c r="D34" s="5">
        <v>5661</v>
      </c>
      <c r="E34" s="5">
        <v>5858</v>
      </c>
      <c r="F34" s="6">
        <v>6042</v>
      </c>
      <c r="G34" s="6">
        <v>6226</v>
      </c>
      <c r="K34" s="10"/>
    </row>
    <row r="35" spans="1:12">
      <c r="A35" s="141" t="s">
        <v>57</v>
      </c>
      <c r="B35" s="141"/>
      <c r="C35" s="141"/>
      <c r="D35" s="5">
        <v>5884</v>
      </c>
      <c r="E35" s="5">
        <v>6553</v>
      </c>
      <c r="F35" s="6">
        <v>6017</v>
      </c>
      <c r="G35" s="6">
        <v>6433</v>
      </c>
    </row>
    <row r="36" spans="1:12">
      <c r="A36" s="141" t="s">
        <v>58</v>
      </c>
      <c r="B36" s="141"/>
      <c r="C36" s="141"/>
      <c r="D36" s="5">
        <v>-638</v>
      </c>
      <c r="E36" s="5">
        <v>-747</v>
      </c>
      <c r="F36" s="7">
        <v>-805</v>
      </c>
      <c r="G36" s="7">
        <v>-868</v>
      </c>
    </row>
    <row r="37" spans="1:12">
      <c r="A37" s="143" t="s">
        <v>59</v>
      </c>
      <c r="B37" s="143"/>
      <c r="C37" s="143"/>
      <c r="D37" s="5">
        <f>SUM(D33:D36)</f>
        <v>10953</v>
      </c>
      <c r="E37" s="5">
        <f t="shared" ref="E37:G37" si="4">SUM(E33:E36)</f>
        <v>11709</v>
      </c>
      <c r="F37" s="5">
        <f t="shared" si="4"/>
        <v>11297</v>
      </c>
      <c r="G37" s="5">
        <f t="shared" si="4"/>
        <v>11833</v>
      </c>
    </row>
    <row r="38" spans="1:12">
      <c r="A38" s="143" t="s">
        <v>60</v>
      </c>
      <c r="B38" s="143"/>
      <c r="C38" s="143"/>
      <c r="D38" s="3">
        <f>SUM(D37,D30,D25)</f>
        <v>37431</v>
      </c>
      <c r="E38" s="3">
        <f t="shared" ref="E38:G38" si="5">SUM(E37,E30,E25)</f>
        <v>38999</v>
      </c>
      <c r="F38" s="3">
        <f t="shared" si="5"/>
        <v>41290</v>
      </c>
      <c r="G38" s="3">
        <f t="shared" si="5"/>
        <v>42779</v>
      </c>
    </row>
    <row r="39" spans="1:12" ht="13.85" customHeight="1"/>
    <row r="40" spans="1:12">
      <c r="A40" s="140" t="s">
        <v>310</v>
      </c>
      <c r="B40" s="140"/>
      <c r="C40" s="140"/>
      <c r="D40" s="2">
        <v>2017</v>
      </c>
      <c r="E40" s="2">
        <v>2018</v>
      </c>
      <c r="F40" s="2">
        <v>2019</v>
      </c>
      <c r="G40" s="2">
        <v>2020</v>
      </c>
      <c r="H40" s="2">
        <v>2021</v>
      </c>
      <c r="I40" s="2">
        <v>2022</v>
      </c>
      <c r="J40" s="2">
        <v>2023</v>
      </c>
      <c r="K40" s="2">
        <v>2024</v>
      </c>
      <c r="L40" s="2">
        <v>2025</v>
      </c>
    </row>
    <row r="41" spans="1:12">
      <c r="A41" s="141" t="s">
        <v>61</v>
      </c>
      <c r="B41" s="141"/>
      <c r="C41" s="141"/>
    </row>
    <row r="42" spans="1:12">
      <c r="A42" s="145" t="s">
        <v>62</v>
      </c>
      <c r="B42" s="145"/>
      <c r="C42" s="145"/>
      <c r="D42">
        <v>71786</v>
      </c>
      <c r="E42">
        <v>74433</v>
      </c>
      <c r="F42">
        <v>77130</v>
      </c>
    </row>
    <row r="43" spans="1:12">
      <c r="A43" s="145" t="s">
        <v>63</v>
      </c>
      <c r="B43" s="145"/>
      <c r="C43" s="145"/>
      <c r="D43">
        <v>928</v>
      </c>
      <c r="E43">
        <v>923</v>
      </c>
      <c r="F43">
        <v>982</v>
      </c>
    </row>
    <row r="44" spans="1:12">
      <c r="A44" s="145" t="s">
        <v>64</v>
      </c>
      <c r="B44" s="145"/>
      <c r="C44" s="145"/>
      <c r="D44">
        <v>72714</v>
      </c>
      <c r="E44">
        <v>75356</v>
      </c>
      <c r="F44">
        <f>SUM(F42:F43)</f>
        <v>78112</v>
      </c>
    </row>
    <row r="45" spans="1:12">
      <c r="A45" s="145" t="s">
        <v>65</v>
      </c>
      <c r="B45" s="145"/>
      <c r="C45" s="145"/>
      <c r="D45">
        <v>51125</v>
      </c>
      <c r="E45">
        <v>53299</v>
      </c>
      <c r="F45">
        <v>54864</v>
      </c>
    </row>
    <row r="46" spans="1:12">
      <c r="A46" s="145" t="s">
        <v>66</v>
      </c>
      <c r="B46" s="145"/>
      <c r="C46" s="145"/>
      <c r="D46">
        <v>15140</v>
      </c>
      <c r="E46">
        <v>15723</v>
      </c>
      <c r="F46">
        <v>16233</v>
      </c>
    </row>
    <row r="47" spans="1:12">
      <c r="A47" s="145" t="s">
        <v>67</v>
      </c>
      <c r="B47" s="145"/>
      <c r="C47" s="145"/>
      <c r="D47">
        <v>2225</v>
      </c>
      <c r="E47">
        <v>2224</v>
      </c>
      <c r="F47">
        <v>2357</v>
      </c>
    </row>
    <row r="48" spans="1:12">
      <c r="A48" s="145" t="s">
        <v>68</v>
      </c>
      <c r="B48" s="145"/>
      <c r="C48" s="145"/>
      <c r="D48">
        <f>D44-SUM(D45:D47)</f>
        <v>4224</v>
      </c>
      <c r="E48">
        <f>E44-SUM(E45:E47)</f>
        <v>4110</v>
      </c>
      <c r="F48">
        <f>F44-SUM(F45:F47)</f>
        <v>4658</v>
      </c>
    </row>
    <row r="49" spans="1:6">
      <c r="A49" s="145" t="s">
        <v>69</v>
      </c>
      <c r="B49" s="145"/>
      <c r="C49" s="145"/>
      <c r="D49">
        <v>653</v>
      </c>
      <c r="E49">
        <v>461</v>
      </c>
      <c r="F49" s="11">
        <v>477</v>
      </c>
    </row>
    <row r="50" spans="1:6">
      <c r="A50" s="145" t="s">
        <v>70</v>
      </c>
      <c r="B50" s="145"/>
      <c r="C50" s="145"/>
      <c r="D50" s="11">
        <v>-59</v>
      </c>
      <c r="E50" s="11">
        <v>-27</v>
      </c>
      <c r="F50" s="11">
        <v>-9</v>
      </c>
    </row>
    <row r="51" spans="1:6">
      <c r="A51" s="145" t="s">
        <v>71</v>
      </c>
      <c r="B51" s="145"/>
      <c r="C51" s="145"/>
      <c r="D51" s="12">
        <f>D48-D49-D50</f>
        <v>3630</v>
      </c>
      <c r="E51" s="12">
        <f>E48-E49-E50</f>
        <v>3676</v>
      </c>
      <c r="F51" s="12">
        <f>F48-F49-F50</f>
        <v>4190</v>
      </c>
    </row>
    <row r="52" spans="1:6">
      <c r="A52" s="145" t="s">
        <v>72</v>
      </c>
      <c r="B52" s="145"/>
      <c r="C52" s="145"/>
      <c r="D52">
        <v>722</v>
      </c>
      <c r="E52">
        <v>746</v>
      </c>
      <c r="F52">
        <v>921</v>
      </c>
    </row>
    <row r="53" spans="1:6">
      <c r="A53" s="145" t="s">
        <v>73</v>
      </c>
      <c r="B53" s="145"/>
      <c r="C53" s="145"/>
      <c r="D53">
        <v>2908</v>
      </c>
      <c r="E53">
        <v>2930</v>
      </c>
      <c r="F53">
        <v>3269</v>
      </c>
    </row>
    <row r="54" spans="1:6">
      <c r="A54" s="145" t="s">
        <v>74</v>
      </c>
      <c r="B54" s="145"/>
      <c r="C54" s="145"/>
      <c r="D54">
        <v>6</v>
      </c>
      <c r="E54">
        <v>7</v>
      </c>
      <c r="F54">
        <v>12</v>
      </c>
    </row>
    <row r="55" spans="1:6">
      <c r="A55" s="147" t="s">
        <v>75</v>
      </c>
      <c r="B55" s="147"/>
      <c r="C55" s="147"/>
      <c r="D55">
        <f>SUM(D53:D54)</f>
        <v>2914</v>
      </c>
      <c r="E55">
        <f t="shared" ref="E55:F55" si="6">SUM(E53:E54)</f>
        <v>2937</v>
      </c>
      <c r="F55">
        <f t="shared" si="6"/>
        <v>3281</v>
      </c>
    </row>
    <row r="56" spans="1:6" ht="19.3">
      <c r="A56" s="148" t="s">
        <v>76</v>
      </c>
      <c r="B56" s="148"/>
      <c r="C56" s="148"/>
    </row>
    <row r="57" spans="1:6">
      <c r="A57" s="145" t="s">
        <v>77</v>
      </c>
      <c r="B57" s="145"/>
      <c r="C57" s="145"/>
      <c r="D57">
        <v>5.32</v>
      </c>
      <c r="E57">
        <v>5.54</v>
      </c>
      <c r="F57">
        <v>6.39</v>
      </c>
    </row>
    <row r="58" spans="1:6">
      <c r="A58" s="145" t="s">
        <v>78</v>
      </c>
      <c r="B58" s="145"/>
      <c r="C58" s="145"/>
      <c r="D58">
        <v>0.01</v>
      </c>
      <c r="E58">
        <v>0.01</v>
      </c>
      <c r="F58">
        <v>0.02</v>
      </c>
    </row>
    <row r="59" spans="1:6">
      <c r="A59" s="145" t="s">
        <v>79</v>
      </c>
      <c r="B59" s="145"/>
      <c r="C59" s="145"/>
      <c r="D59">
        <v>5.32</v>
      </c>
      <c r="E59">
        <v>5.55</v>
      </c>
      <c r="F59">
        <v>6.42</v>
      </c>
    </row>
    <row r="60" spans="1:6" ht="19.3">
      <c r="A60" s="148" t="s">
        <v>80</v>
      </c>
      <c r="B60" s="148"/>
      <c r="C60" s="148"/>
    </row>
    <row r="61" spans="1:6">
      <c r="A61" s="145" t="s">
        <v>77</v>
      </c>
      <c r="B61" s="145"/>
      <c r="C61" s="145"/>
      <c r="D61">
        <v>5.29</v>
      </c>
      <c r="E61">
        <v>5.5</v>
      </c>
      <c r="F61">
        <v>6.34</v>
      </c>
    </row>
    <row r="62" spans="1:6">
      <c r="A62" s="145" t="s">
        <v>78</v>
      </c>
      <c r="B62" s="145"/>
      <c r="C62" s="145"/>
      <c r="D62">
        <v>1E-3</v>
      </c>
      <c r="E62">
        <v>1E-3</v>
      </c>
      <c r="F62">
        <v>2E-3</v>
      </c>
    </row>
    <row r="63" spans="1:6">
      <c r="A63" s="145" t="s">
        <v>79</v>
      </c>
      <c r="B63" s="145"/>
      <c r="C63" s="145"/>
      <c r="D63">
        <v>5.29</v>
      </c>
      <c r="E63">
        <v>5.51</v>
      </c>
      <c r="F63">
        <f>6.36</f>
        <v>6.36</v>
      </c>
    </row>
    <row r="64" spans="1:6">
      <c r="A64" s="145" t="s">
        <v>81</v>
      </c>
      <c r="B64" s="145"/>
      <c r="C64" s="145"/>
    </row>
    <row r="65" spans="1:7">
      <c r="A65" s="145" t="s">
        <v>82</v>
      </c>
      <c r="B65" s="145"/>
      <c r="C65" s="145"/>
      <c r="D65">
        <v>510.9</v>
      </c>
      <c r="E65">
        <v>528.6</v>
      </c>
      <c r="F65">
        <v>546.79999999999995</v>
      </c>
    </row>
    <row r="66" spans="1:7">
      <c r="A66" s="145" t="s">
        <v>83</v>
      </c>
      <c r="B66" s="145"/>
      <c r="C66" s="145"/>
      <c r="D66">
        <v>515.6</v>
      </c>
      <c r="E66">
        <v>533.20000000000005</v>
      </c>
      <c r="F66">
        <v>550.29999999999995</v>
      </c>
    </row>
    <row r="67" spans="1:7">
      <c r="A67" s="145" t="s">
        <v>84</v>
      </c>
      <c r="B67" s="145"/>
      <c r="C67" s="145"/>
      <c r="D67" s="15">
        <v>0</v>
      </c>
      <c r="E67" s="15">
        <v>0</v>
      </c>
      <c r="F67">
        <v>4.0999999999999996</v>
      </c>
    </row>
    <row r="68" spans="1:7">
      <c r="A68" s="146"/>
      <c r="B68" s="146"/>
      <c r="C68" s="146"/>
    </row>
    <row r="69" spans="1:7">
      <c r="A69" s="140" t="s">
        <v>85</v>
      </c>
      <c r="B69" s="140"/>
      <c r="C69" s="140"/>
      <c r="D69" s="2">
        <v>2017</v>
      </c>
      <c r="E69" s="2">
        <v>2018</v>
      </c>
      <c r="F69" s="2">
        <v>2019</v>
      </c>
      <c r="G69" s="2">
        <v>2020</v>
      </c>
    </row>
    <row r="70" spans="1:7">
      <c r="A70" s="147" t="s">
        <v>86</v>
      </c>
      <c r="B70" s="147"/>
      <c r="C70" s="147"/>
    </row>
    <row r="71" spans="1:7">
      <c r="A71" s="145" t="s">
        <v>87</v>
      </c>
      <c r="B71" s="145"/>
      <c r="C71" s="145"/>
      <c r="D71">
        <v>2914</v>
      </c>
      <c r="E71">
        <v>2937</v>
      </c>
      <c r="F71">
        <v>3281</v>
      </c>
    </row>
    <row r="72" spans="1:7">
      <c r="A72" s="145" t="s">
        <v>88</v>
      </c>
      <c r="B72" s="145"/>
      <c r="C72" s="145"/>
      <c r="D72">
        <v>6</v>
      </c>
      <c r="E72">
        <v>7</v>
      </c>
      <c r="F72">
        <v>12</v>
      </c>
    </row>
    <row r="73" spans="1:7">
      <c r="A73" s="145" t="s">
        <v>73</v>
      </c>
      <c r="B73" s="145"/>
      <c r="C73" s="145"/>
      <c r="D73">
        <f>D71-D72</f>
        <v>2908</v>
      </c>
      <c r="E73">
        <f t="shared" ref="E73:F73" si="7">E71-E72</f>
        <v>2930</v>
      </c>
      <c r="F73">
        <f t="shared" si="7"/>
        <v>3269</v>
      </c>
    </row>
    <row r="74" spans="1:7">
      <c r="A74" s="145" t="s">
        <v>89</v>
      </c>
      <c r="B74" s="145"/>
      <c r="C74" s="145"/>
    </row>
    <row r="75" spans="1:7">
      <c r="A75" s="145" t="s">
        <v>90</v>
      </c>
      <c r="B75" s="145"/>
      <c r="C75" s="145"/>
      <c r="D75" s="12">
        <v>2476</v>
      </c>
      <c r="E75" s="12">
        <v>2474</v>
      </c>
      <c r="F75" s="12">
        <v>2604</v>
      </c>
    </row>
    <row r="76" spans="1:7">
      <c r="A76" s="145" t="s">
        <v>91</v>
      </c>
      <c r="B76" s="145"/>
      <c r="C76" s="145"/>
      <c r="D76" s="17">
        <v>112</v>
      </c>
      <c r="E76" s="17">
        <v>132</v>
      </c>
      <c r="F76" s="17">
        <v>147</v>
      </c>
    </row>
    <row r="77" spans="1:7">
      <c r="A77" s="145" t="s">
        <v>92</v>
      </c>
      <c r="B77" s="145"/>
      <c r="C77" s="145"/>
      <c r="D77" s="18">
        <v>-188</v>
      </c>
      <c r="E77" s="17">
        <v>322</v>
      </c>
      <c r="F77" s="17">
        <v>178</v>
      </c>
    </row>
    <row r="78" spans="1:7">
      <c r="A78" s="145" t="s">
        <v>93</v>
      </c>
      <c r="B78" s="145"/>
      <c r="C78" s="145"/>
      <c r="D78" s="17">
        <v>123</v>
      </c>
      <c r="E78" s="19">
        <v>0</v>
      </c>
      <c r="F78" s="17">
        <v>10</v>
      </c>
    </row>
    <row r="79" spans="1:7">
      <c r="A79" s="145" t="s">
        <v>94</v>
      </c>
      <c r="B79" s="145"/>
      <c r="C79" s="145"/>
      <c r="D79" s="17">
        <v>208</v>
      </c>
      <c r="E79" s="17">
        <v>95</v>
      </c>
      <c r="F79" s="17">
        <v>29</v>
      </c>
    </row>
    <row r="80" spans="1:7">
      <c r="A80" s="145" t="s">
        <v>95</v>
      </c>
      <c r="B80" s="145"/>
      <c r="C80" s="145"/>
      <c r="D80" s="17"/>
      <c r="E80" s="17"/>
      <c r="F80" s="17"/>
    </row>
    <row r="81" spans="1:6">
      <c r="A81" s="145" t="s">
        <v>96</v>
      </c>
      <c r="B81" s="145"/>
      <c r="C81" s="145"/>
      <c r="D81" s="18">
        <v>-348</v>
      </c>
      <c r="E81" s="18">
        <v>-900</v>
      </c>
      <c r="F81" s="17">
        <v>505</v>
      </c>
    </row>
    <row r="82" spans="1:6">
      <c r="A82" s="145" t="s">
        <v>97</v>
      </c>
      <c r="B82" s="145"/>
      <c r="C82" s="145"/>
      <c r="D82" s="18">
        <v>-156</v>
      </c>
      <c r="E82" s="18">
        <v>-299</v>
      </c>
      <c r="F82" s="17">
        <v>18</v>
      </c>
    </row>
    <row r="83" spans="1:6">
      <c r="A83" s="145" t="s">
        <v>45</v>
      </c>
      <c r="B83" s="145"/>
      <c r="C83" s="145"/>
      <c r="D83" s="17">
        <v>1307</v>
      </c>
      <c r="E83" s="17">
        <v>1127</v>
      </c>
      <c r="F83" s="17">
        <v>140</v>
      </c>
    </row>
    <row r="84" spans="1:6">
      <c r="A84" s="145" t="s">
        <v>98</v>
      </c>
      <c r="B84" s="145"/>
      <c r="C84" s="145"/>
      <c r="D84" s="17">
        <v>419</v>
      </c>
      <c r="E84" s="17">
        <v>89</v>
      </c>
      <c r="F84" s="17">
        <v>199</v>
      </c>
    </row>
    <row r="85" spans="1:6">
      <c r="A85" s="145" t="s">
        <v>99</v>
      </c>
      <c r="B85" s="145"/>
      <c r="C85" s="145"/>
      <c r="D85" s="17">
        <v>6861</v>
      </c>
      <c r="E85" s="17">
        <v>5970</v>
      </c>
      <c r="F85" s="17">
        <v>7099</v>
      </c>
    </row>
    <row r="86" spans="1:6">
      <c r="A86" s="145" t="s">
        <v>100</v>
      </c>
      <c r="B86" s="145"/>
      <c r="C86" s="145"/>
      <c r="D86" s="17">
        <v>74</v>
      </c>
      <c r="E86">
        <v>3</v>
      </c>
      <c r="F86" s="17">
        <v>18</v>
      </c>
    </row>
    <row r="87" spans="1:6">
      <c r="A87" s="145" t="s">
        <v>101</v>
      </c>
      <c r="B87" s="145"/>
      <c r="C87" s="145"/>
      <c r="D87" s="17">
        <f>SUM(D85:D86)</f>
        <v>6935</v>
      </c>
      <c r="E87">
        <f>SUM(E85:E86)</f>
        <v>5973</v>
      </c>
      <c r="F87">
        <f>SUM(F85:F86)</f>
        <v>7117</v>
      </c>
    </row>
    <row r="88" spans="1:6">
      <c r="A88" s="147" t="s">
        <v>102</v>
      </c>
      <c r="B88" s="147"/>
      <c r="C88" s="147"/>
    </row>
    <row r="89" spans="1:6">
      <c r="A89" s="145" t="s">
        <v>103</v>
      </c>
      <c r="B89" s="145"/>
      <c r="C89" s="145"/>
      <c r="D89" s="12">
        <v>-2533</v>
      </c>
      <c r="E89" s="12">
        <v>-3516</v>
      </c>
      <c r="F89" s="12">
        <v>-3027</v>
      </c>
    </row>
    <row r="90" spans="1:6">
      <c r="A90" s="145" t="s">
        <v>104</v>
      </c>
      <c r="B90" s="145"/>
      <c r="C90" s="145"/>
      <c r="D90">
        <v>31</v>
      </c>
      <c r="E90">
        <v>85</v>
      </c>
      <c r="F90" s="12">
        <v>63</v>
      </c>
    </row>
    <row r="91" spans="1:6">
      <c r="A91" s="145" t="s">
        <v>105</v>
      </c>
      <c r="B91" s="145"/>
      <c r="C91" s="145"/>
      <c r="D91" s="12">
        <v>-518</v>
      </c>
      <c r="E91" s="19">
        <v>0</v>
      </c>
      <c r="F91" s="19">
        <v>0</v>
      </c>
    </row>
    <row r="92" spans="1:6">
      <c r="A92" s="145" t="s">
        <v>106</v>
      </c>
      <c r="B92" s="145"/>
      <c r="C92" s="145"/>
      <c r="D92" s="12">
        <v>-55</v>
      </c>
      <c r="E92">
        <v>15</v>
      </c>
      <c r="F92" s="12">
        <v>20</v>
      </c>
    </row>
    <row r="93" spans="1:6">
      <c r="A93" s="145" t="s">
        <v>107</v>
      </c>
      <c r="B93" s="145"/>
      <c r="C93" s="145"/>
      <c r="D93" s="12">
        <f>SUM(D89:D92)</f>
        <v>-3075</v>
      </c>
      <c r="E93" s="12">
        <f>SUM(E89:E92)</f>
        <v>-3416</v>
      </c>
      <c r="F93" s="12">
        <f>SUM(F89:F92)</f>
        <v>-2944</v>
      </c>
    </row>
    <row r="94" spans="1:6">
      <c r="A94" s="147" t="s">
        <v>108</v>
      </c>
      <c r="B94" s="147"/>
      <c r="C94" s="147"/>
    </row>
    <row r="95" spans="1:6">
      <c r="A95" s="145" t="s">
        <v>109</v>
      </c>
      <c r="B95" s="145"/>
      <c r="C95" s="145"/>
      <c r="D95">
        <v>739</v>
      </c>
      <c r="E95" s="19">
        <v>0</v>
      </c>
      <c r="F95" s="12">
        <v>1739</v>
      </c>
    </row>
    <row r="96" spans="1:6">
      <c r="A96" s="145" t="s">
        <v>110</v>
      </c>
      <c r="B96" s="145"/>
      <c r="C96" s="145"/>
      <c r="D96" s="12">
        <v>-2192</v>
      </c>
      <c r="E96" s="12">
        <v>-281</v>
      </c>
      <c r="F96" s="12">
        <v>-2069</v>
      </c>
    </row>
    <row r="97" spans="1:6">
      <c r="A97" s="145" t="s">
        <v>111</v>
      </c>
      <c r="B97" s="145"/>
      <c r="C97" s="145"/>
      <c r="D97" s="12">
        <v>-1338</v>
      </c>
      <c r="E97" s="12">
        <v>-1335</v>
      </c>
      <c r="F97" s="12">
        <v>-1330</v>
      </c>
    </row>
    <row r="98" spans="1:6">
      <c r="A98" s="145" t="s">
        <v>112</v>
      </c>
      <c r="B98" s="145"/>
      <c r="C98" s="145"/>
      <c r="D98" s="12">
        <v>-1046</v>
      </c>
      <c r="E98" s="12">
        <v>-2124</v>
      </c>
      <c r="F98" s="12">
        <v>-1565</v>
      </c>
    </row>
    <row r="99" spans="1:6">
      <c r="A99" s="145" t="s">
        <v>113</v>
      </c>
      <c r="B99" s="145"/>
      <c r="C99" s="145"/>
      <c r="D99">
        <v>108</v>
      </c>
      <c r="E99">
        <v>96</v>
      </c>
      <c r="F99">
        <v>73</v>
      </c>
    </row>
    <row r="100" spans="1:6">
      <c r="A100" s="145" t="s">
        <v>114</v>
      </c>
      <c r="B100" s="145"/>
      <c r="C100" s="145"/>
      <c r="D100" s="12">
        <v>-3729</v>
      </c>
      <c r="E100" s="12">
        <f>SUM(E95:E99)</f>
        <v>-3644</v>
      </c>
      <c r="F100" s="12">
        <v>-3152</v>
      </c>
    </row>
    <row r="101" spans="1:6">
      <c r="A101" s="145" t="s">
        <v>115</v>
      </c>
      <c r="B101" s="145"/>
      <c r="C101" s="145"/>
      <c r="D101">
        <v>131</v>
      </c>
      <c r="E101" s="12">
        <v>-1087</v>
      </c>
      <c r="F101">
        <v>1021</v>
      </c>
    </row>
    <row r="102" spans="1:6">
      <c r="A102" s="145" t="s">
        <v>116</v>
      </c>
      <c r="B102" s="145"/>
      <c r="C102" s="145"/>
      <c r="D102">
        <v>2512</v>
      </c>
      <c r="E102">
        <v>2643</v>
      </c>
      <c r="F102">
        <v>1556</v>
      </c>
    </row>
    <row r="103" spans="1:6">
      <c r="A103" s="145" t="s">
        <v>117</v>
      </c>
      <c r="B103" s="145"/>
      <c r="C103" s="145"/>
      <c r="D103">
        <f>SUM(D101:D102)</f>
        <v>2643</v>
      </c>
      <c r="E103" s="12">
        <f>SUM(E101:E102)</f>
        <v>1556</v>
      </c>
      <c r="F103">
        <f>SUM(F101:F102)</f>
        <v>2577</v>
      </c>
    </row>
    <row r="104" spans="1:6">
      <c r="A104" s="145" t="s">
        <v>118</v>
      </c>
      <c r="B104" s="145"/>
      <c r="C104" s="145"/>
    </row>
    <row r="105" spans="1:6">
      <c r="A105" s="145" t="s">
        <v>119</v>
      </c>
      <c r="B105" s="145"/>
      <c r="C105" s="145"/>
      <c r="D105">
        <v>678</v>
      </c>
      <c r="E105">
        <v>476</v>
      </c>
      <c r="F105">
        <v>492</v>
      </c>
    </row>
    <row r="106" spans="1:6">
      <c r="A106" s="145" t="s">
        <v>120</v>
      </c>
      <c r="B106" s="145"/>
      <c r="C106" s="145"/>
      <c r="D106">
        <v>934</v>
      </c>
      <c r="E106">
        <v>373</v>
      </c>
      <c r="F106">
        <v>696</v>
      </c>
    </row>
    <row r="107" spans="1:6">
      <c r="A107" s="145" t="s">
        <v>121</v>
      </c>
      <c r="B107" s="145"/>
      <c r="C107" s="145"/>
      <c r="D107">
        <v>139</v>
      </c>
      <c r="E107">
        <v>130</v>
      </c>
      <c r="F107">
        <v>379</v>
      </c>
    </row>
    <row r="108" spans="1:6">
      <c r="A108" s="145" t="s">
        <v>122</v>
      </c>
      <c r="B108" s="145"/>
      <c r="C108" s="145"/>
      <c r="D108">
        <v>212</v>
      </c>
      <c r="E108">
        <v>246</v>
      </c>
      <c r="F108">
        <v>464</v>
      </c>
    </row>
    <row r="109" spans="1:6">
      <c r="A109" s="146"/>
      <c r="B109" s="146"/>
      <c r="C109" s="146"/>
    </row>
    <row r="110" spans="1:6">
      <c r="A110" s="146"/>
      <c r="B110" s="146"/>
      <c r="C110" s="146"/>
    </row>
    <row r="111" spans="1:6">
      <c r="A111" s="146"/>
      <c r="B111" s="146"/>
      <c r="C111" s="146"/>
    </row>
    <row r="112" spans="1:6">
      <c r="A112" s="146"/>
      <c r="B112" s="146"/>
      <c r="C112" s="146"/>
    </row>
    <row r="113" spans="1:3">
      <c r="A113" s="146"/>
      <c r="B113" s="146"/>
      <c r="C113" s="146"/>
    </row>
    <row r="114" spans="1:3">
      <c r="A114" s="146"/>
      <c r="B114" s="146"/>
      <c r="C114" s="146"/>
    </row>
    <row r="115" spans="1:3">
      <c r="A115" s="146"/>
      <c r="B115" s="146"/>
      <c r="C115" s="146"/>
    </row>
    <row r="116" spans="1:3">
      <c r="A116" s="146"/>
      <c r="B116" s="146"/>
      <c r="C116" s="146"/>
    </row>
    <row r="117" spans="1:3">
      <c r="A117" s="146"/>
      <c r="B117" s="146"/>
      <c r="C117" s="146"/>
    </row>
    <row r="118" spans="1:3">
      <c r="A118" s="146"/>
      <c r="B118" s="146"/>
      <c r="C118" s="146"/>
    </row>
    <row r="119" spans="1:3">
      <c r="A119" s="146"/>
      <c r="B119" s="146"/>
      <c r="C119" s="146"/>
    </row>
    <row r="120" spans="1:3">
      <c r="A120" s="146"/>
      <c r="B120" s="146"/>
      <c r="C120" s="146"/>
    </row>
    <row r="121" spans="1:3">
      <c r="A121" s="146"/>
      <c r="B121" s="146"/>
      <c r="C121" s="146"/>
    </row>
    <row r="122" spans="1:3">
      <c r="A122" s="146"/>
      <c r="B122" s="146"/>
      <c r="C122" s="146"/>
    </row>
    <row r="123" spans="1:3">
      <c r="A123" s="146"/>
      <c r="B123" s="146"/>
      <c r="C123" s="146"/>
    </row>
    <row r="124" spans="1:3">
      <c r="A124" s="146"/>
      <c r="B124" s="146"/>
      <c r="C124" s="146"/>
    </row>
    <row r="125" spans="1:3">
      <c r="A125" s="146"/>
      <c r="B125" s="146"/>
      <c r="C125" s="146"/>
    </row>
    <row r="126" spans="1:3">
      <c r="A126" s="146"/>
      <c r="B126" s="146"/>
      <c r="C126" s="146"/>
    </row>
    <row r="127" spans="1:3">
      <c r="A127" s="146"/>
      <c r="B127" s="146"/>
      <c r="C127" s="146"/>
    </row>
    <row r="128" spans="1:3">
      <c r="A128" s="146"/>
      <c r="B128" s="146"/>
      <c r="C128" s="146"/>
    </row>
    <row r="129" spans="1:3">
      <c r="A129" s="146"/>
      <c r="B129" s="146"/>
      <c r="C129" s="146"/>
    </row>
    <row r="130" spans="1:3">
      <c r="A130" s="146"/>
      <c r="B130" s="146"/>
      <c r="C130" s="146"/>
    </row>
    <row r="131" spans="1:3">
      <c r="A131" s="146"/>
      <c r="B131" s="146"/>
      <c r="C131" s="146"/>
    </row>
    <row r="132" spans="1:3">
      <c r="A132" s="146"/>
      <c r="B132" s="146"/>
      <c r="C132" s="146"/>
    </row>
    <row r="133" spans="1:3">
      <c r="A133" s="146"/>
      <c r="B133" s="146"/>
      <c r="C133" s="146"/>
    </row>
    <row r="134" spans="1:3">
      <c r="A134" s="146"/>
      <c r="B134" s="146"/>
      <c r="C134" s="146"/>
    </row>
    <row r="135" spans="1:3">
      <c r="A135" s="146"/>
      <c r="B135" s="146"/>
      <c r="C135" s="146"/>
    </row>
    <row r="136" spans="1:3">
      <c r="A136" s="146"/>
      <c r="B136" s="146"/>
      <c r="C136" s="146"/>
    </row>
    <row r="137" spans="1:3">
      <c r="A137" s="146"/>
      <c r="B137" s="146"/>
      <c r="C137" s="146"/>
    </row>
    <row r="138" spans="1:3">
      <c r="A138" s="146"/>
      <c r="B138" s="146"/>
      <c r="C138" s="146"/>
    </row>
    <row r="139" spans="1:3">
      <c r="A139" s="146"/>
      <c r="B139" s="146"/>
      <c r="C139" s="146"/>
    </row>
    <row r="140" spans="1:3">
      <c r="A140" s="146"/>
      <c r="B140" s="146"/>
      <c r="C140" s="146"/>
    </row>
  </sheetData>
  <mergeCells count="139">
    <mergeCell ref="A137:C137"/>
    <mergeCell ref="A138:C138"/>
    <mergeCell ref="A139:C139"/>
    <mergeCell ref="A140:C140"/>
    <mergeCell ref="A128:C128"/>
    <mergeCell ref="A129:C129"/>
    <mergeCell ref="A130:C130"/>
    <mergeCell ref="A131:C131"/>
    <mergeCell ref="A132:C132"/>
    <mergeCell ref="A133:C133"/>
    <mergeCell ref="A134:C134"/>
    <mergeCell ref="A135:C135"/>
    <mergeCell ref="A136:C136"/>
    <mergeCell ref="A119:C119"/>
    <mergeCell ref="A120:C120"/>
    <mergeCell ref="A121:C121"/>
    <mergeCell ref="A122:C122"/>
    <mergeCell ref="A123:C123"/>
    <mergeCell ref="A124:C124"/>
    <mergeCell ref="A125:C125"/>
    <mergeCell ref="A126:C126"/>
    <mergeCell ref="A127:C127"/>
    <mergeCell ref="A110:C110"/>
    <mergeCell ref="A111:C111"/>
    <mergeCell ref="A112:C112"/>
    <mergeCell ref="A113:C113"/>
    <mergeCell ref="A114:C114"/>
    <mergeCell ref="A115:C115"/>
    <mergeCell ref="A116:C116"/>
    <mergeCell ref="A117:C117"/>
    <mergeCell ref="A118:C118"/>
    <mergeCell ref="A101:C101"/>
    <mergeCell ref="A102:C102"/>
    <mergeCell ref="A103:C103"/>
    <mergeCell ref="A104:C104"/>
    <mergeCell ref="A105:C105"/>
    <mergeCell ref="A106:C106"/>
    <mergeCell ref="A107:C107"/>
    <mergeCell ref="A108:C108"/>
    <mergeCell ref="A109:C109"/>
    <mergeCell ref="A92:C92"/>
    <mergeCell ref="A93:C93"/>
    <mergeCell ref="A94:C94"/>
    <mergeCell ref="A95:C95"/>
    <mergeCell ref="A96:C96"/>
    <mergeCell ref="A97:C97"/>
    <mergeCell ref="A98:C98"/>
    <mergeCell ref="A99:C99"/>
    <mergeCell ref="A100:C100"/>
    <mergeCell ref="A83:C83"/>
    <mergeCell ref="A84:C84"/>
    <mergeCell ref="A85:C85"/>
    <mergeCell ref="A86:C86"/>
    <mergeCell ref="A87:C87"/>
    <mergeCell ref="A88:C88"/>
    <mergeCell ref="A89:C89"/>
    <mergeCell ref="A90:C90"/>
    <mergeCell ref="A91:C91"/>
    <mergeCell ref="A74:C74"/>
    <mergeCell ref="A75:C75"/>
    <mergeCell ref="A76:C76"/>
    <mergeCell ref="A77:C77"/>
    <mergeCell ref="A78:C78"/>
    <mergeCell ref="A79:C79"/>
    <mergeCell ref="A80:C80"/>
    <mergeCell ref="A81:C81"/>
    <mergeCell ref="A82:C82"/>
    <mergeCell ref="A65:C65"/>
    <mergeCell ref="A66:C66"/>
    <mergeCell ref="A67:C67"/>
    <mergeCell ref="A68:C68"/>
    <mergeCell ref="A69:C69"/>
    <mergeCell ref="A70:C70"/>
    <mergeCell ref="A71:C71"/>
    <mergeCell ref="A72:C72"/>
    <mergeCell ref="A73:C73"/>
    <mergeCell ref="A56:C56"/>
    <mergeCell ref="A57:C57"/>
    <mergeCell ref="A58:C58"/>
    <mergeCell ref="A59:C59"/>
    <mergeCell ref="A60:C60"/>
    <mergeCell ref="A61:C61"/>
    <mergeCell ref="A62:C62"/>
    <mergeCell ref="A63:C63"/>
    <mergeCell ref="A64:C64"/>
    <mergeCell ref="A47:C47"/>
    <mergeCell ref="A48:C48"/>
    <mergeCell ref="A49:C49"/>
    <mergeCell ref="A50:C50"/>
    <mergeCell ref="A51:C51"/>
    <mergeCell ref="A52:C52"/>
    <mergeCell ref="A53:C53"/>
    <mergeCell ref="A54:C54"/>
    <mergeCell ref="A55:C55"/>
    <mergeCell ref="A37:C37"/>
    <mergeCell ref="A38:C38"/>
    <mergeCell ref="A40:C40"/>
    <mergeCell ref="A41:C41"/>
    <mergeCell ref="A42:C42"/>
    <mergeCell ref="A43:C43"/>
    <mergeCell ref="A44:C44"/>
    <mergeCell ref="A45:C45"/>
    <mergeCell ref="A46:C46"/>
    <mergeCell ref="A28:C28"/>
    <mergeCell ref="A29:C29"/>
    <mergeCell ref="A30:C30"/>
    <mergeCell ref="A31:C31"/>
    <mergeCell ref="A32:C32"/>
    <mergeCell ref="A33:C33"/>
    <mergeCell ref="A34:C34"/>
    <mergeCell ref="A35:C35"/>
    <mergeCell ref="A36:C36"/>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C1"/>
    <mergeCell ref="A2:C2"/>
    <mergeCell ref="A3:C3"/>
    <mergeCell ref="A4:C4"/>
    <mergeCell ref="A5:C5"/>
    <mergeCell ref="A6:C6"/>
    <mergeCell ref="A7:C7"/>
    <mergeCell ref="A8:C8"/>
    <mergeCell ref="A9:C9"/>
  </mergeCells>
  <pageMargins left="0.69930555555555596" right="0.69930555555555596" top="0.75" bottom="0.75" header="0.3" footer="0.3"/>
  <ignoredErrors>
    <ignoredError sqref="D55:F55 D87:G87 D103:F103"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8"/>
  <sheetViews>
    <sheetView showGridLines="0" view="pageBreakPreview" zoomScale="85" zoomScaleNormal="85" zoomScaleSheetLayoutView="85" workbookViewId="0">
      <selection activeCell="B5" sqref="B5"/>
    </sheetView>
  </sheetViews>
  <sheetFormatPr defaultColWidth="9" defaultRowHeight="14.6"/>
  <cols>
    <col min="1" max="1" width="2.15234375" customWidth="1"/>
  </cols>
  <sheetData>
    <row r="1" spans="1:2">
      <c r="B1" s="1" t="s">
        <v>560</v>
      </c>
    </row>
    <row r="3" spans="1:2">
      <c r="A3" t="s">
        <v>0</v>
      </c>
      <c r="B3" s="1" t="s">
        <v>561</v>
      </c>
    </row>
    <row r="4" spans="1:2">
      <c r="B4" t="s">
        <v>562</v>
      </c>
    </row>
    <row r="5" spans="1:2">
      <c r="B5" t="s">
        <v>563</v>
      </c>
    </row>
    <row r="7" spans="1:2">
      <c r="A7" t="s">
        <v>0</v>
      </c>
      <c r="B7" s="1" t="s">
        <v>564</v>
      </c>
    </row>
    <row r="8" spans="1:2">
      <c r="B8" t="s">
        <v>565</v>
      </c>
    </row>
    <row r="10" spans="1:2">
      <c r="A10" t="s">
        <v>0</v>
      </c>
      <c r="B10" s="1" t="s">
        <v>566</v>
      </c>
    </row>
    <row r="11" spans="1:2">
      <c r="B11" t="s">
        <v>567</v>
      </c>
    </row>
    <row r="12" spans="1:2">
      <c r="B12" t="s">
        <v>568</v>
      </c>
    </row>
    <row r="46" spans="1:2">
      <c r="A46" t="s">
        <v>0</v>
      </c>
      <c r="B46" s="1" t="s">
        <v>569</v>
      </c>
    </row>
    <row r="47" spans="1:2">
      <c r="B47" t="s">
        <v>570</v>
      </c>
    </row>
    <row r="48" spans="1:2">
      <c r="B48" t="s">
        <v>571</v>
      </c>
    </row>
  </sheetData>
  <pageMargins left="0.69930555555555596" right="0.69930555555555596" top="0.75" bottom="0.75" header="0.3" footer="0.3"/>
  <pageSetup scale="68"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80"/>
  <sheetViews>
    <sheetView tabSelected="1" zoomScale="117" zoomScaleNormal="205" workbookViewId="0">
      <pane ySplit="1" topLeftCell="A2" activePane="bottomLeft" state="frozen"/>
      <selection pane="bottomLeft" activeCell="I239" sqref="I239"/>
    </sheetView>
  </sheetViews>
  <sheetFormatPr defaultColWidth="8.84375" defaultRowHeight="14.6"/>
  <cols>
    <col min="3" max="3" width="25.3828125" customWidth="1"/>
    <col min="4" max="6" width="10.765625" customWidth="1"/>
    <col min="7" max="7" width="10.765625" bestFit="1" customWidth="1"/>
    <col min="8" max="9" width="10.765625" customWidth="1"/>
    <col min="10" max="10" width="9.765625" customWidth="1"/>
    <col min="11" max="15" width="12.61328125"/>
  </cols>
  <sheetData>
    <row r="1" spans="1:10">
      <c r="A1" s="139" t="s">
        <v>572</v>
      </c>
      <c r="B1" s="140"/>
      <c r="C1" s="140"/>
      <c r="D1" s="2">
        <v>2017</v>
      </c>
      <c r="E1" s="2">
        <v>2018</v>
      </c>
      <c r="F1" s="2">
        <v>2019</v>
      </c>
      <c r="G1" s="2">
        <v>2020</v>
      </c>
      <c r="H1" s="2">
        <v>2021</v>
      </c>
      <c r="I1" s="2">
        <v>2022</v>
      </c>
      <c r="J1" s="2"/>
    </row>
    <row r="2" spans="1:10">
      <c r="A2" s="141" t="s">
        <v>26</v>
      </c>
      <c r="B2" s="141"/>
      <c r="C2" s="141"/>
    </row>
    <row r="3" spans="1:10" ht="19.3">
      <c r="A3" s="142" t="s">
        <v>27</v>
      </c>
      <c r="B3" s="142"/>
      <c r="C3" s="142"/>
    </row>
    <row r="4" spans="1:10">
      <c r="A4" s="141" t="s">
        <v>28</v>
      </c>
      <c r="B4" s="141"/>
      <c r="C4" s="141"/>
      <c r="D4" s="108">
        <v>2512</v>
      </c>
      <c r="E4" s="109">
        <v>2643</v>
      </c>
      <c r="F4" s="108">
        <v>1556</v>
      </c>
      <c r="G4" s="110">
        <v>2577</v>
      </c>
      <c r="H4" s="110">
        <v>8511</v>
      </c>
      <c r="I4" s="108">
        <v>5911</v>
      </c>
    </row>
    <row r="5" spans="1:10">
      <c r="A5" s="141" t="s">
        <v>29</v>
      </c>
      <c r="B5" s="141"/>
      <c r="C5" s="141"/>
      <c r="D5" s="108">
        <v>8309</v>
      </c>
      <c r="E5" s="112">
        <v>8597</v>
      </c>
      <c r="F5" s="108">
        <v>9497</v>
      </c>
      <c r="G5" s="110">
        <v>8992</v>
      </c>
      <c r="H5" s="111">
        <v>10653</v>
      </c>
      <c r="I5" s="109">
        <v>13902</v>
      </c>
    </row>
    <row r="6" spans="1:10">
      <c r="A6" s="141" t="s">
        <v>30</v>
      </c>
      <c r="B6" s="141"/>
      <c r="C6" s="141"/>
      <c r="D6" s="108">
        <v>1169</v>
      </c>
      <c r="E6" s="112">
        <v>1300</v>
      </c>
      <c r="F6" s="108">
        <v>1466</v>
      </c>
      <c r="G6" s="110">
        <v>1333</v>
      </c>
      <c r="H6" s="111">
        <v>1592</v>
      </c>
      <c r="I6" s="108">
        <v>1760</v>
      </c>
    </row>
    <row r="7" spans="1:10">
      <c r="A7" s="143" t="s">
        <v>31</v>
      </c>
      <c r="B7" s="143"/>
      <c r="C7" s="143"/>
      <c r="D7">
        <f>SUM(D4:D6)</f>
        <v>11990</v>
      </c>
      <c r="E7" s="23">
        <f>SUM(E4:E6)</f>
        <v>12540</v>
      </c>
      <c r="F7">
        <f>SUM(F4:F6)</f>
        <v>12519</v>
      </c>
      <c r="G7">
        <f t="shared" ref="G7:I7" si="0">SUM(G4:G6)</f>
        <v>12902</v>
      </c>
      <c r="H7">
        <f t="shared" si="0"/>
        <v>20756</v>
      </c>
      <c r="I7">
        <f t="shared" si="0"/>
        <v>21573</v>
      </c>
    </row>
    <row r="8" spans="1:10">
      <c r="A8" s="144"/>
      <c r="B8" s="144"/>
      <c r="C8" s="144"/>
      <c r="E8" s="4"/>
      <c r="F8" s="4"/>
      <c r="I8" s="13" t="s">
        <v>32</v>
      </c>
    </row>
    <row r="9" spans="1:10" ht="19.3">
      <c r="A9" s="142" t="s">
        <v>33</v>
      </c>
      <c r="B9" s="142"/>
      <c r="C9" s="142"/>
      <c r="F9" s="4"/>
    </row>
    <row r="10" spans="1:10">
      <c r="A10" s="141" t="s">
        <v>34</v>
      </c>
      <c r="B10" s="141"/>
      <c r="C10" s="141"/>
      <c r="D10" s="108">
        <v>6106</v>
      </c>
      <c r="E10" s="21">
        <v>6095</v>
      </c>
      <c r="F10" s="113">
        <v>6064</v>
      </c>
      <c r="G10" s="111">
        <v>6036</v>
      </c>
      <c r="H10" s="111">
        <v>6141</v>
      </c>
      <c r="I10" s="108">
        <v>6164</v>
      </c>
      <c r="J10" s="6"/>
    </row>
    <row r="11" spans="1:10">
      <c r="A11" s="141" t="s">
        <v>35</v>
      </c>
      <c r="B11" s="141"/>
      <c r="C11" s="141"/>
      <c r="D11" s="108">
        <v>27611</v>
      </c>
      <c r="E11" s="21">
        <v>28396</v>
      </c>
      <c r="F11" s="113">
        <v>29240</v>
      </c>
      <c r="G11" s="111">
        <v>30603</v>
      </c>
      <c r="H11" s="111">
        <v>31557</v>
      </c>
      <c r="I11" s="108">
        <v>32985</v>
      </c>
      <c r="J11" s="6"/>
    </row>
    <row r="12" spans="1:10">
      <c r="A12" s="141" t="s">
        <v>36</v>
      </c>
      <c r="B12" s="141"/>
      <c r="C12" s="141"/>
      <c r="D12" s="108">
        <v>5503</v>
      </c>
      <c r="E12" s="21">
        <v>5623</v>
      </c>
      <c r="F12" s="113">
        <v>5912</v>
      </c>
      <c r="G12" s="111">
        <v>6083</v>
      </c>
      <c r="H12" s="111">
        <v>5914</v>
      </c>
      <c r="I12" s="108">
        <v>6407</v>
      </c>
      <c r="J12" s="6"/>
    </row>
    <row r="13" spans="1:10">
      <c r="A13" s="141" t="s">
        <v>37</v>
      </c>
      <c r="B13" s="141"/>
      <c r="C13" s="141"/>
      <c r="D13" s="108">
        <v>2651</v>
      </c>
      <c r="E13" s="21">
        <v>2645</v>
      </c>
      <c r="F13" s="113">
        <v>2544</v>
      </c>
      <c r="G13" s="111">
        <v>2692</v>
      </c>
      <c r="H13" s="111">
        <v>2765</v>
      </c>
      <c r="I13" s="108">
        <v>2505</v>
      </c>
      <c r="J13" s="6"/>
    </row>
    <row r="14" spans="1:10">
      <c r="A14" s="141" t="s">
        <v>38</v>
      </c>
      <c r="B14" s="141"/>
      <c r="C14" s="141"/>
      <c r="D14" s="108">
        <v>200</v>
      </c>
      <c r="E14" s="21">
        <v>440</v>
      </c>
      <c r="F14" s="113">
        <v>460</v>
      </c>
      <c r="G14" s="111">
        <v>533</v>
      </c>
      <c r="H14" s="111">
        <v>780</v>
      </c>
      <c r="I14" s="108">
        <v>1257</v>
      </c>
      <c r="J14" s="6"/>
    </row>
    <row r="15" spans="1:10">
      <c r="A15" s="141" t="s">
        <v>39</v>
      </c>
      <c r="B15" s="141"/>
      <c r="C15" s="141"/>
      <c r="D15" s="24">
        <v>-17413</v>
      </c>
      <c r="E15" s="24">
        <v>-18181</v>
      </c>
      <c r="F15" s="24">
        <v>-18687</v>
      </c>
      <c r="G15" s="115">
        <v>-19664</v>
      </c>
      <c r="H15" s="116">
        <v>-20278</v>
      </c>
      <c r="I15" s="115">
        <v>-21137</v>
      </c>
      <c r="J15" s="7"/>
    </row>
    <row r="16" spans="1:10">
      <c r="A16" s="141" t="s">
        <v>40</v>
      </c>
      <c r="B16" s="141"/>
      <c r="C16" s="141"/>
      <c r="D16">
        <f>SUM(D10:D15)</f>
        <v>24658</v>
      </c>
      <c r="E16" s="25">
        <f>SUM(E10:E15)</f>
        <v>25018</v>
      </c>
      <c r="F16" s="25">
        <f>SUM(F10:F15)</f>
        <v>25533</v>
      </c>
      <c r="G16" s="25">
        <f>SUM(G10:G15)</f>
        <v>26283</v>
      </c>
      <c r="H16" s="25">
        <f t="shared" ref="H16:I16" si="1">SUM(H10:H15)</f>
        <v>26879</v>
      </c>
      <c r="I16" s="25">
        <f t="shared" si="1"/>
        <v>28181</v>
      </c>
      <c r="J16" s="6"/>
    </row>
    <row r="17" spans="1:10">
      <c r="A17" s="145" t="s">
        <v>41</v>
      </c>
      <c r="B17" s="145"/>
      <c r="C17" s="145"/>
      <c r="E17" s="117">
        <v>1884</v>
      </c>
      <c r="F17" s="113">
        <v>1965</v>
      </c>
      <c r="G17" s="111">
        <v>2236</v>
      </c>
      <c r="H17" s="111">
        <v>2227</v>
      </c>
      <c r="I17" s="108">
        <v>2556</v>
      </c>
      <c r="J17" s="6"/>
    </row>
    <row r="18" spans="1:10">
      <c r="A18" s="141" t="s">
        <v>42</v>
      </c>
      <c r="B18" s="141"/>
      <c r="C18" s="141"/>
      <c r="D18" s="108">
        <v>783</v>
      </c>
      <c r="E18" s="21">
        <v>1343</v>
      </c>
      <c r="F18" s="113">
        <v>1273</v>
      </c>
      <c r="G18" s="111">
        <v>1358</v>
      </c>
      <c r="H18" s="111">
        <v>1386</v>
      </c>
      <c r="I18" s="108">
        <v>1501</v>
      </c>
      <c r="J18" s="6"/>
    </row>
    <row r="19" spans="1:10">
      <c r="A19" s="143" t="s">
        <v>43</v>
      </c>
      <c r="B19" s="143"/>
      <c r="C19" s="143"/>
      <c r="D19">
        <f>SUM(D16:D18,D7)</f>
        <v>37431</v>
      </c>
      <c r="E19" s="23">
        <f>SUM(E16:E18,E7)</f>
        <v>40785</v>
      </c>
      <c r="F19" s="23">
        <f>SUM(F16:F18,F7)</f>
        <v>41290</v>
      </c>
      <c r="G19" s="23">
        <f>SUM(G16:G18,G7)</f>
        <v>42779</v>
      </c>
      <c r="H19" s="23">
        <f>SUM(H16:H18,H7)</f>
        <v>51248</v>
      </c>
      <c r="I19" s="23">
        <f t="shared" ref="I19" si="2">SUM(I16:I18,I7)</f>
        <v>53811</v>
      </c>
      <c r="J19" s="114"/>
    </row>
    <row r="20" spans="1:10">
      <c r="A20" s="144"/>
      <c r="B20" s="144"/>
      <c r="C20" s="144"/>
      <c r="F20" s="10"/>
    </row>
    <row r="21" spans="1:10">
      <c r="A21" s="141" t="s">
        <v>44</v>
      </c>
      <c r="B21" s="141"/>
      <c r="C21" s="141"/>
    </row>
    <row r="22" spans="1:10">
      <c r="A22" s="141" t="s">
        <v>45</v>
      </c>
      <c r="B22" s="141"/>
      <c r="C22" s="141"/>
      <c r="D22">
        <v>7252</v>
      </c>
      <c r="E22" s="20">
        <v>8677</v>
      </c>
      <c r="F22" s="108">
        <v>9761</v>
      </c>
      <c r="G22" s="110">
        <v>9920</v>
      </c>
      <c r="H22" s="108">
        <v>12859</v>
      </c>
      <c r="I22" s="108">
        <v>15478</v>
      </c>
    </row>
    <row r="23" spans="1:10">
      <c r="A23" s="141" t="s">
        <v>46</v>
      </c>
      <c r="B23" s="141"/>
      <c r="C23" s="141"/>
      <c r="D23">
        <v>3737</v>
      </c>
      <c r="E23" s="21">
        <v>4254</v>
      </c>
      <c r="F23" s="108">
        <v>4201</v>
      </c>
      <c r="G23" s="110">
        <v>4406</v>
      </c>
      <c r="H23" s="108">
        <v>6122</v>
      </c>
      <c r="I23" s="108">
        <v>6098</v>
      </c>
    </row>
    <row r="24" spans="1:10">
      <c r="A24" s="141" t="s">
        <v>47</v>
      </c>
      <c r="B24" s="141"/>
      <c r="C24" s="141"/>
      <c r="D24">
        <v>1718</v>
      </c>
      <c r="E24" s="21">
        <v>270</v>
      </c>
      <c r="F24" s="108">
        <v>1052</v>
      </c>
      <c r="G24" s="110">
        <v>161</v>
      </c>
      <c r="H24" s="108">
        <v>1144</v>
      </c>
      <c r="I24" s="108">
        <v>171</v>
      </c>
    </row>
    <row r="25" spans="1:10">
      <c r="A25" s="143" t="s">
        <v>48</v>
      </c>
      <c r="B25" s="143"/>
      <c r="C25" s="143"/>
      <c r="D25">
        <f>SUM(D22:D24)</f>
        <v>12707</v>
      </c>
      <c r="E25" s="23">
        <f>SUM(E22:E24)</f>
        <v>13201</v>
      </c>
      <c r="F25" s="23">
        <f t="shared" ref="F25:I25" si="3">SUM(F22:F24)</f>
        <v>15014</v>
      </c>
      <c r="G25" s="23">
        <f t="shared" si="3"/>
        <v>14487</v>
      </c>
      <c r="H25" s="23">
        <f t="shared" si="3"/>
        <v>20125</v>
      </c>
      <c r="I25" s="23">
        <f t="shared" si="3"/>
        <v>21747</v>
      </c>
    </row>
    <row r="26" spans="1:10">
      <c r="A26" s="144"/>
      <c r="B26" s="144"/>
      <c r="C26" s="144"/>
      <c r="E26" s="28"/>
      <c r="F26" s="22"/>
    </row>
    <row r="27" spans="1:10">
      <c r="A27" s="141" t="s">
        <v>49</v>
      </c>
      <c r="B27" s="141"/>
      <c r="C27" s="141"/>
      <c r="D27" s="108">
        <v>11031</v>
      </c>
      <c r="E27" s="21">
        <v>11317</v>
      </c>
      <c r="F27" s="22">
        <v>10223</v>
      </c>
      <c r="G27" s="22">
        <v>11338</v>
      </c>
      <c r="H27" s="113">
        <v>11536</v>
      </c>
      <c r="I27" s="113">
        <v>13549</v>
      </c>
    </row>
    <row r="28" spans="1:10">
      <c r="A28" s="146" t="s">
        <v>50</v>
      </c>
      <c r="B28" s="146"/>
      <c r="C28" s="146"/>
      <c r="D28" s="108"/>
      <c r="E28" s="21"/>
      <c r="F28" s="22">
        <v>2004</v>
      </c>
      <c r="G28" s="22">
        <v>2275</v>
      </c>
      <c r="H28" s="113">
        <v>2218</v>
      </c>
      <c r="I28" s="113">
        <v>2493</v>
      </c>
    </row>
    <row r="29" spans="1:10">
      <c r="A29" s="141" t="s">
        <v>51</v>
      </c>
      <c r="B29" s="141"/>
      <c r="C29" s="141"/>
      <c r="D29" s="108">
        <v>861</v>
      </c>
      <c r="E29" s="21">
        <v>713</v>
      </c>
      <c r="F29" s="22">
        <v>972</v>
      </c>
      <c r="G29" s="22">
        <v>1122</v>
      </c>
      <c r="H29" s="113">
        <v>990</v>
      </c>
      <c r="I29" s="113">
        <v>1566</v>
      </c>
    </row>
    <row r="30" spans="1:10">
      <c r="A30" s="141" t="s">
        <v>52</v>
      </c>
      <c r="B30" s="141"/>
      <c r="C30" s="141"/>
      <c r="D30" s="108">
        <v>1879</v>
      </c>
      <c r="E30" s="21">
        <v>2059</v>
      </c>
      <c r="F30" s="22">
        <v>1780</v>
      </c>
      <c r="G30" s="22">
        <v>1724</v>
      </c>
      <c r="H30" s="113">
        <v>1939</v>
      </c>
      <c r="I30" s="113">
        <v>1629</v>
      </c>
    </row>
    <row r="31" spans="1:10">
      <c r="A31" s="143" t="s">
        <v>53</v>
      </c>
      <c r="B31" s="143"/>
      <c r="C31" s="143"/>
      <c r="D31">
        <f>SUM(D27:D30)</f>
        <v>13771</v>
      </c>
      <c r="E31" s="118">
        <f>SUM(E27:E30)</f>
        <v>14089</v>
      </c>
      <c r="F31" s="118">
        <f t="shared" ref="F31:I31" si="4">SUM(F27:F30)</f>
        <v>14979</v>
      </c>
      <c r="G31" s="118">
        <f t="shared" si="4"/>
        <v>16459</v>
      </c>
      <c r="H31" s="118">
        <f t="shared" si="4"/>
        <v>16683</v>
      </c>
      <c r="I31" s="118">
        <f t="shared" si="4"/>
        <v>19237</v>
      </c>
    </row>
    <row r="32" spans="1:10">
      <c r="A32" s="144"/>
      <c r="B32" s="144"/>
      <c r="C32" s="144"/>
      <c r="E32" s="28"/>
      <c r="F32" s="22"/>
    </row>
    <row r="33" spans="1:10">
      <c r="A33" s="141" t="s">
        <v>54</v>
      </c>
      <c r="B33" s="141"/>
      <c r="C33" s="141"/>
      <c r="E33" s="28"/>
      <c r="F33" s="28"/>
    </row>
    <row r="34" spans="1:10">
      <c r="A34" s="141" t="s">
        <v>55</v>
      </c>
      <c r="B34" s="141"/>
      <c r="C34" s="141"/>
      <c r="D34" s="108">
        <v>46</v>
      </c>
      <c r="E34" s="21">
        <v>45</v>
      </c>
      <c r="F34" s="22">
        <v>43</v>
      </c>
      <c r="G34" s="22">
        <v>42</v>
      </c>
      <c r="H34" s="115">
        <v>42</v>
      </c>
      <c r="I34" s="113">
        <v>39</v>
      </c>
      <c r="J34" s="6"/>
    </row>
    <row r="35" spans="1:10">
      <c r="A35" s="141" t="s">
        <v>56</v>
      </c>
      <c r="B35" s="141"/>
      <c r="C35" s="141"/>
      <c r="D35" s="108">
        <v>5661</v>
      </c>
      <c r="E35" s="21">
        <v>5858</v>
      </c>
      <c r="F35" s="22">
        <v>6042</v>
      </c>
      <c r="G35" s="22">
        <v>6226</v>
      </c>
      <c r="H35" s="115">
        <v>6329</v>
      </c>
      <c r="I35" s="113">
        <v>6421</v>
      </c>
      <c r="J35" s="6"/>
    </row>
    <row r="36" spans="1:10">
      <c r="A36" s="141" t="s">
        <v>57</v>
      </c>
      <c r="B36" s="141"/>
      <c r="C36" s="141"/>
      <c r="D36" s="108">
        <v>5884</v>
      </c>
      <c r="E36" s="21">
        <v>6553</v>
      </c>
      <c r="F36" s="22">
        <v>6017</v>
      </c>
      <c r="G36" s="22">
        <v>6433</v>
      </c>
      <c r="H36" s="115">
        <v>8825</v>
      </c>
      <c r="I36" s="113">
        <v>6920</v>
      </c>
      <c r="J36" s="6"/>
    </row>
    <row r="37" spans="1:10">
      <c r="A37" s="141" t="s">
        <v>58</v>
      </c>
      <c r="B37" s="141"/>
      <c r="C37" s="141"/>
      <c r="D37" s="131">
        <v>-638</v>
      </c>
      <c r="E37" s="24">
        <v>-747</v>
      </c>
      <c r="F37" s="24">
        <v>-805</v>
      </c>
      <c r="G37" s="24">
        <v>-868</v>
      </c>
      <c r="H37" s="115">
        <v>-756</v>
      </c>
      <c r="I37" s="115">
        <v>-553</v>
      </c>
      <c r="J37" s="7"/>
    </row>
    <row r="38" spans="1:10">
      <c r="A38" s="143" t="s">
        <v>59</v>
      </c>
      <c r="B38" s="143"/>
      <c r="C38" s="143"/>
      <c r="D38">
        <f>SUM(D34:D37)</f>
        <v>10953</v>
      </c>
      <c r="E38" s="25">
        <f>SUM(E34:E37)</f>
        <v>11709</v>
      </c>
      <c r="F38" s="25">
        <f t="shared" ref="F38:H38" si="5">SUM(F34:F37)</f>
        <v>11297</v>
      </c>
      <c r="G38" s="25">
        <f t="shared" si="5"/>
        <v>11833</v>
      </c>
      <c r="H38" s="25">
        <f t="shared" si="5"/>
        <v>14440</v>
      </c>
      <c r="I38" s="25">
        <f>SUM(I34:I37)</f>
        <v>12827</v>
      </c>
      <c r="J38" s="25"/>
    </row>
    <row r="39" spans="1:10">
      <c r="A39" s="143" t="s">
        <v>60</v>
      </c>
      <c r="B39" s="143"/>
      <c r="C39" s="143"/>
      <c r="D39">
        <f>SUM(D38,D31,D25)</f>
        <v>37431</v>
      </c>
      <c r="E39" s="23">
        <f>SUM(E38,E31,E25)</f>
        <v>38999</v>
      </c>
      <c r="F39" s="23">
        <f t="shared" ref="F39:I39" si="6">SUM(F38,F31,F25)</f>
        <v>41290</v>
      </c>
      <c r="G39" s="23">
        <f t="shared" si="6"/>
        <v>42779</v>
      </c>
      <c r="H39" s="23">
        <f t="shared" si="6"/>
        <v>51248</v>
      </c>
      <c r="I39" s="23">
        <f t="shared" si="6"/>
        <v>53811</v>
      </c>
      <c r="J39" s="23"/>
    </row>
    <row r="40" spans="1:10" ht="13.85" customHeight="1"/>
    <row r="41" spans="1:10">
      <c r="A41" s="140" t="s">
        <v>579</v>
      </c>
      <c r="B41" s="140"/>
      <c r="C41" s="140"/>
      <c r="D41" s="2">
        <v>2017</v>
      </c>
      <c r="E41" s="2">
        <v>2018</v>
      </c>
      <c r="F41" s="2">
        <v>2019</v>
      </c>
      <c r="G41" s="2">
        <v>2020</v>
      </c>
      <c r="H41" s="2">
        <v>2021</v>
      </c>
      <c r="I41" s="2">
        <v>2022</v>
      </c>
      <c r="J41" s="2">
        <v>2025</v>
      </c>
    </row>
    <row r="42" spans="1:10">
      <c r="A42" s="141" t="s">
        <v>61</v>
      </c>
      <c r="B42" s="141"/>
      <c r="C42" s="141"/>
    </row>
    <row r="43" spans="1:10">
      <c r="A43" s="145" t="s">
        <v>62</v>
      </c>
      <c r="B43" s="145"/>
      <c r="C43" s="145"/>
      <c r="D43" s="28">
        <v>71786</v>
      </c>
      <c r="E43" s="28">
        <v>74433</v>
      </c>
      <c r="F43" s="28">
        <v>77130</v>
      </c>
      <c r="G43" s="108">
        <v>92400</v>
      </c>
      <c r="H43" s="108">
        <v>104611</v>
      </c>
      <c r="I43" s="108">
        <v>107588</v>
      </c>
    </row>
    <row r="44" spans="1:10">
      <c r="A44" s="145" t="s">
        <v>63</v>
      </c>
      <c r="B44" s="145"/>
      <c r="C44" s="145"/>
      <c r="D44" s="28">
        <v>928</v>
      </c>
      <c r="E44" s="28">
        <v>923</v>
      </c>
      <c r="F44" s="28">
        <v>982</v>
      </c>
      <c r="G44" s="108">
        <v>1161</v>
      </c>
      <c r="H44" s="108">
        <v>1394</v>
      </c>
      <c r="I44" s="108">
        <v>1532</v>
      </c>
    </row>
    <row r="45" spans="1:10">
      <c r="A45" s="145" t="s">
        <v>64</v>
      </c>
      <c r="B45" s="145"/>
      <c r="C45" s="145"/>
      <c r="D45" s="28">
        <v>72714</v>
      </c>
      <c r="E45" s="28">
        <v>75356</v>
      </c>
      <c r="F45" s="28">
        <f>SUM(F43:F44)</f>
        <v>78112</v>
      </c>
      <c r="G45" s="108">
        <v>93561</v>
      </c>
      <c r="H45" s="108">
        <v>106005</v>
      </c>
      <c r="I45" s="108">
        <v>109120</v>
      </c>
    </row>
    <row r="46" spans="1:10">
      <c r="A46" s="145" t="s">
        <v>65</v>
      </c>
      <c r="B46" s="145"/>
      <c r="C46" s="145"/>
      <c r="D46" s="28">
        <v>51125</v>
      </c>
      <c r="E46" s="28">
        <v>53299</v>
      </c>
      <c r="F46" s="28">
        <v>54864</v>
      </c>
      <c r="G46" s="108">
        <v>66177</v>
      </c>
      <c r="H46" s="108">
        <v>74963</v>
      </c>
      <c r="I46" s="108">
        <v>82229</v>
      </c>
    </row>
    <row r="47" spans="1:10">
      <c r="A47" s="145" t="s">
        <v>66</v>
      </c>
      <c r="B47" s="145"/>
      <c r="C47" s="145"/>
      <c r="D47" s="28">
        <v>15140</v>
      </c>
      <c r="E47" s="28">
        <v>15723</v>
      </c>
      <c r="F47" s="28">
        <v>16233</v>
      </c>
      <c r="G47" s="108">
        <v>18615</v>
      </c>
      <c r="H47" s="108">
        <v>19752</v>
      </c>
      <c r="I47" s="108">
        <v>20658</v>
      </c>
    </row>
    <row r="48" spans="1:10">
      <c r="A48" s="145" t="s">
        <v>67</v>
      </c>
      <c r="B48" s="145"/>
      <c r="C48" s="145"/>
      <c r="D48" s="28">
        <v>2225</v>
      </c>
      <c r="E48" s="28">
        <v>2224</v>
      </c>
      <c r="F48" s="28">
        <v>2357</v>
      </c>
      <c r="G48" s="108">
        <v>2230</v>
      </c>
      <c r="H48" s="108">
        <v>2344</v>
      </c>
      <c r="I48" s="108">
        <v>2385</v>
      </c>
    </row>
    <row r="49" spans="1:11">
      <c r="A49" s="145" t="s">
        <v>68</v>
      </c>
      <c r="B49" s="145"/>
      <c r="C49" s="145"/>
      <c r="D49" s="29">
        <f>D45-SUM(D46:D48)</f>
        <v>4224</v>
      </c>
      <c r="E49" s="29">
        <f t="shared" ref="E49:H49" si="7">E45-SUM(E46:E48)</f>
        <v>4110</v>
      </c>
      <c r="F49" s="29">
        <f t="shared" si="7"/>
        <v>4658</v>
      </c>
      <c r="G49" s="29">
        <f t="shared" si="7"/>
        <v>6539</v>
      </c>
      <c r="H49" s="29">
        <f t="shared" si="7"/>
        <v>8946</v>
      </c>
      <c r="I49" s="29">
        <f t="shared" ref="I49" si="8">I45-SUM(I46:I48)</f>
        <v>3848</v>
      </c>
      <c r="J49" s="29"/>
    </row>
    <row r="50" spans="1:11">
      <c r="A50" s="145" t="s">
        <v>69</v>
      </c>
      <c r="B50" s="145"/>
      <c r="C50" s="145"/>
      <c r="D50" s="28">
        <v>653</v>
      </c>
      <c r="E50" s="28">
        <v>461</v>
      </c>
      <c r="F50" s="24">
        <v>477</v>
      </c>
      <c r="G50" s="113">
        <v>977</v>
      </c>
      <c r="H50" s="115">
        <v>421</v>
      </c>
      <c r="I50" s="121">
        <v>478</v>
      </c>
      <c r="J50" s="113"/>
    </row>
    <row r="51" spans="1:11">
      <c r="A51" s="145" t="s">
        <v>70</v>
      </c>
      <c r="B51" s="145"/>
      <c r="C51" s="145"/>
      <c r="D51" s="24">
        <v>-59</v>
      </c>
      <c r="E51" s="24">
        <v>-27</v>
      </c>
      <c r="F51" s="24">
        <v>-9</v>
      </c>
      <c r="G51" s="113">
        <v>16</v>
      </c>
      <c r="H51" s="115">
        <v>-382</v>
      </c>
      <c r="I51" s="115">
        <v>-48</v>
      </c>
      <c r="J51" s="120"/>
      <c r="K51" s="108"/>
    </row>
    <row r="52" spans="1:11">
      <c r="A52" s="145" t="s">
        <v>71</v>
      </c>
      <c r="B52" s="145"/>
      <c r="C52" s="145"/>
      <c r="D52" s="11">
        <f>D49-D50-D51</f>
        <v>3630</v>
      </c>
      <c r="E52" s="11">
        <f t="shared" ref="E52:I52" si="9">E49-E50-E51</f>
        <v>3676</v>
      </c>
      <c r="F52" s="11">
        <f t="shared" si="9"/>
        <v>4190</v>
      </c>
      <c r="G52" s="11">
        <f t="shared" si="9"/>
        <v>5546</v>
      </c>
      <c r="H52" s="11">
        <f t="shared" si="9"/>
        <v>8907</v>
      </c>
      <c r="I52" s="11">
        <f t="shared" si="9"/>
        <v>3418</v>
      </c>
      <c r="J52" s="120"/>
      <c r="K52" s="108"/>
    </row>
    <row r="53" spans="1:11">
      <c r="A53" s="145" t="s">
        <v>72</v>
      </c>
      <c r="B53" s="145"/>
      <c r="C53" s="145"/>
      <c r="D53" s="28">
        <v>722</v>
      </c>
      <c r="E53" s="28">
        <v>746</v>
      </c>
      <c r="F53" s="28">
        <v>921</v>
      </c>
      <c r="G53" s="108">
        <v>1178</v>
      </c>
      <c r="H53" s="108">
        <v>1961</v>
      </c>
      <c r="I53" s="108">
        <v>638</v>
      </c>
      <c r="J53" s="119"/>
      <c r="K53" s="108"/>
    </row>
    <row r="54" spans="1:11">
      <c r="A54" s="145" t="s">
        <v>73</v>
      </c>
      <c r="B54" s="145"/>
      <c r="C54" s="145"/>
      <c r="D54" s="11">
        <f>D52-D53</f>
        <v>2908</v>
      </c>
      <c r="E54" s="11">
        <f t="shared" ref="E54:H54" si="10">E52-E53</f>
        <v>2930</v>
      </c>
      <c r="F54" s="11">
        <f t="shared" si="10"/>
        <v>3269</v>
      </c>
      <c r="G54" s="11">
        <f t="shared" si="10"/>
        <v>4368</v>
      </c>
      <c r="H54" s="11">
        <f t="shared" si="10"/>
        <v>6946</v>
      </c>
      <c r="I54" s="11">
        <f t="shared" ref="I54" si="11">I52-I53</f>
        <v>2780</v>
      </c>
      <c r="J54" s="120"/>
      <c r="K54" s="108"/>
    </row>
    <row r="55" spans="1:11" hidden="1">
      <c r="A55" s="145" t="s">
        <v>74</v>
      </c>
      <c r="B55" s="145"/>
      <c r="C55" s="145"/>
      <c r="D55" s="28">
        <v>6</v>
      </c>
      <c r="E55" s="28">
        <v>7</v>
      </c>
      <c r="F55" s="28">
        <v>12</v>
      </c>
      <c r="H55" s="4"/>
      <c r="J55" s="120"/>
      <c r="K55" s="108"/>
    </row>
    <row r="56" spans="1:11">
      <c r="A56" s="147" t="s">
        <v>75</v>
      </c>
      <c r="B56" s="147"/>
      <c r="C56" s="147"/>
      <c r="D56" s="29">
        <f>SUM(D54:D55)</f>
        <v>2914</v>
      </c>
      <c r="E56" s="29">
        <f t="shared" ref="E56:H56" si="12">SUM(E54:E55)</f>
        <v>2937</v>
      </c>
      <c r="F56" s="29">
        <f t="shared" si="12"/>
        <v>3281</v>
      </c>
      <c r="G56" s="29">
        <f t="shared" si="12"/>
        <v>4368</v>
      </c>
      <c r="H56" s="29">
        <f t="shared" si="12"/>
        <v>6946</v>
      </c>
      <c r="I56" s="29">
        <f t="shared" ref="I56" si="13">SUM(I54:I55)</f>
        <v>2780</v>
      </c>
      <c r="J56" s="120"/>
      <c r="K56" s="120"/>
    </row>
    <row r="57" spans="1:11" ht="19.3">
      <c r="A57" s="148" t="s">
        <v>76</v>
      </c>
      <c r="B57" s="148"/>
      <c r="C57" s="148"/>
      <c r="D57" s="28"/>
      <c r="E57" s="28"/>
      <c r="F57" s="28"/>
      <c r="H57" s="4"/>
      <c r="J57" s="120"/>
      <c r="K57" s="108"/>
    </row>
    <row r="58" spans="1:11" hidden="1">
      <c r="A58" s="145" t="s">
        <v>77</v>
      </c>
      <c r="B58" s="145"/>
      <c r="C58" s="145"/>
      <c r="D58" s="28">
        <v>5.32</v>
      </c>
      <c r="E58" s="28">
        <v>5.54</v>
      </c>
      <c r="F58" s="28">
        <v>6.39</v>
      </c>
      <c r="H58" s="4"/>
      <c r="J58" s="120"/>
      <c r="K58" s="108"/>
    </row>
    <row r="59" spans="1:11" hidden="1">
      <c r="A59" s="145" t="s">
        <v>78</v>
      </c>
      <c r="B59" s="145"/>
      <c r="C59" s="145"/>
      <c r="D59" s="28">
        <v>0.01</v>
      </c>
      <c r="E59" s="28">
        <v>0.01</v>
      </c>
      <c r="F59" s="28">
        <v>0.02</v>
      </c>
      <c r="H59" s="15"/>
    </row>
    <row r="60" spans="1:11">
      <c r="A60" s="145" t="s">
        <v>79</v>
      </c>
      <c r="B60" s="145"/>
      <c r="C60" s="145"/>
      <c r="D60" s="28">
        <v>5.32</v>
      </c>
      <c r="E60" s="28">
        <v>5.55</v>
      </c>
      <c r="F60" s="28">
        <v>6.42</v>
      </c>
      <c r="G60" s="108">
        <v>8.7200000000000006</v>
      </c>
      <c r="H60" s="122">
        <v>14.23</v>
      </c>
      <c r="I60" s="124">
        <v>6.02</v>
      </c>
    </row>
    <row r="61" spans="1:11" ht="19.3">
      <c r="A61" s="148" t="s">
        <v>80</v>
      </c>
      <c r="B61" s="148"/>
      <c r="C61" s="148"/>
      <c r="D61" s="28"/>
      <c r="E61" s="28"/>
      <c r="F61" s="28"/>
      <c r="H61" s="109"/>
    </row>
    <row r="62" spans="1:11" hidden="1">
      <c r="A62" s="145" t="s">
        <v>77</v>
      </c>
      <c r="B62" s="145"/>
      <c r="C62" s="145"/>
      <c r="D62" s="28">
        <v>5.29</v>
      </c>
      <c r="E62" s="28">
        <v>5.5</v>
      </c>
      <c r="F62" s="28">
        <v>6.34</v>
      </c>
      <c r="H62" s="109"/>
    </row>
    <row r="63" spans="1:11" hidden="1">
      <c r="A63" s="145" t="s">
        <v>78</v>
      </c>
      <c r="B63" s="145"/>
      <c r="C63" s="145"/>
      <c r="D63" s="28">
        <v>1E-3</v>
      </c>
      <c r="E63" s="28">
        <v>1E-3</v>
      </c>
      <c r="F63" s="28">
        <v>2E-3</v>
      </c>
      <c r="H63" s="123"/>
    </row>
    <row r="64" spans="1:11">
      <c r="A64" s="145" t="s">
        <v>79</v>
      </c>
      <c r="B64" s="145"/>
      <c r="C64" s="145"/>
      <c r="D64" s="28">
        <v>5.29</v>
      </c>
      <c r="E64" s="28">
        <v>5.51</v>
      </c>
      <c r="F64" s="28">
        <f>6.36</f>
        <v>6.36</v>
      </c>
      <c r="G64" s="108">
        <v>8.64</v>
      </c>
      <c r="H64" s="122">
        <v>14.1</v>
      </c>
      <c r="I64" s="124">
        <v>5.98</v>
      </c>
    </row>
    <row r="65" spans="1:10" ht="19.3">
      <c r="A65" s="148" t="s">
        <v>81</v>
      </c>
      <c r="B65" s="148"/>
      <c r="C65" s="148"/>
      <c r="D65" s="28"/>
      <c r="E65" s="28"/>
      <c r="F65" s="28"/>
    </row>
    <row r="66" spans="1:10">
      <c r="A66" s="145" t="s">
        <v>82</v>
      </c>
      <c r="B66" s="145"/>
      <c r="C66" s="145"/>
      <c r="D66" s="28">
        <v>546.79999999999995</v>
      </c>
      <c r="E66" s="28">
        <v>528.6</v>
      </c>
      <c r="F66" s="28">
        <v>510.9</v>
      </c>
      <c r="G66" s="108">
        <v>500.6</v>
      </c>
      <c r="H66" s="122">
        <v>488.1</v>
      </c>
      <c r="I66" s="124">
        <v>462.1</v>
      </c>
    </row>
    <row r="67" spans="1:10">
      <c r="A67" s="145" t="s">
        <v>83</v>
      </c>
      <c r="B67" s="145"/>
      <c r="C67" s="145"/>
      <c r="D67" s="28">
        <v>515.6</v>
      </c>
      <c r="E67" s="28">
        <v>533.20000000000005</v>
      </c>
      <c r="F67" s="28">
        <v>550.29999999999995</v>
      </c>
      <c r="G67" s="108">
        <v>505.4</v>
      </c>
      <c r="H67" s="122">
        <v>492.7</v>
      </c>
      <c r="I67" s="124">
        <v>464.7</v>
      </c>
    </row>
    <row r="68" spans="1:10">
      <c r="A68" s="149" t="s">
        <v>84</v>
      </c>
      <c r="B68" s="149"/>
      <c r="C68" s="149"/>
      <c r="D68" s="30">
        <v>0</v>
      </c>
      <c r="E68" s="30">
        <v>0</v>
      </c>
      <c r="F68" s="31">
        <v>4.0999999999999996</v>
      </c>
      <c r="G68" s="125"/>
      <c r="H68" s="126"/>
      <c r="I68" s="127">
        <v>1.1000000000000001</v>
      </c>
    </row>
    <row r="69" spans="1:10">
      <c r="A69" s="146"/>
      <c r="B69" s="146"/>
      <c r="C69" s="146"/>
    </row>
    <row r="70" spans="1:10">
      <c r="A70" s="140" t="s">
        <v>580</v>
      </c>
      <c r="B70" s="140"/>
      <c r="C70" s="140"/>
      <c r="D70" s="2">
        <v>2017</v>
      </c>
      <c r="E70" s="2">
        <v>2018</v>
      </c>
      <c r="F70" s="2">
        <v>2019</v>
      </c>
      <c r="G70" s="2">
        <v>2020</v>
      </c>
      <c r="H70" s="2">
        <v>2021</v>
      </c>
      <c r="I70" s="2">
        <v>2022</v>
      </c>
      <c r="J70" s="2">
        <v>2025</v>
      </c>
    </row>
    <row r="71" spans="1:10">
      <c r="A71" s="147" t="s">
        <v>86</v>
      </c>
      <c r="B71" s="147"/>
      <c r="C71" s="147"/>
    </row>
    <row r="72" spans="1:10">
      <c r="A72" s="145" t="s">
        <v>87</v>
      </c>
      <c r="B72" s="145"/>
      <c r="C72" s="145"/>
      <c r="D72" s="28">
        <v>2914</v>
      </c>
      <c r="E72" s="28">
        <v>2937</v>
      </c>
      <c r="F72" s="28">
        <v>3281</v>
      </c>
      <c r="G72" s="124">
        <v>4368</v>
      </c>
    </row>
    <row r="73" spans="1:10">
      <c r="A73" s="145" t="s">
        <v>88</v>
      </c>
      <c r="B73" s="145"/>
      <c r="C73" s="145"/>
      <c r="D73" s="28">
        <v>6</v>
      </c>
      <c r="E73" s="28">
        <v>7</v>
      </c>
      <c r="F73" s="28">
        <v>12</v>
      </c>
    </row>
    <row r="74" spans="1:10">
      <c r="A74" s="145" t="s">
        <v>73</v>
      </c>
      <c r="B74" s="145"/>
      <c r="C74" s="145"/>
      <c r="D74" s="29">
        <f>D72-D73</f>
        <v>2908</v>
      </c>
      <c r="E74" s="29">
        <f t="shared" ref="E74:G74" si="14">E72-E73</f>
        <v>2930</v>
      </c>
      <c r="F74" s="29">
        <f t="shared" si="14"/>
        <v>3269</v>
      </c>
      <c r="G74" s="29">
        <f t="shared" si="14"/>
        <v>4368</v>
      </c>
      <c r="H74" s="29">
        <f t="shared" ref="H74:I74" si="15">H72-H73</f>
        <v>0</v>
      </c>
      <c r="I74" s="29">
        <f t="shared" si="15"/>
        <v>0</v>
      </c>
      <c r="J74" s="29"/>
    </row>
    <row r="75" spans="1:10">
      <c r="A75" s="145" t="s">
        <v>89</v>
      </c>
      <c r="B75" s="145"/>
      <c r="C75" s="145"/>
      <c r="D75" s="28"/>
      <c r="E75" s="28"/>
      <c r="F75" s="28"/>
    </row>
    <row r="76" spans="1:10">
      <c r="A76" s="145" t="s">
        <v>90</v>
      </c>
      <c r="B76" s="145"/>
      <c r="C76" s="145"/>
      <c r="D76" s="24">
        <v>2476</v>
      </c>
      <c r="E76" s="24">
        <v>2474</v>
      </c>
      <c r="F76" s="24">
        <v>2604</v>
      </c>
      <c r="G76" s="128">
        <v>2485</v>
      </c>
    </row>
    <row r="77" spans="1:10">
      <c r="A77" s="145" t="s">
        <v>91</v>
      </c>
      <c r="B77" s="145"/>
      <c r="C77" s="145"/>
      <c r="D77" s="32">
        <v>112</v>
      </c>
      <c r="E77" s="32">
        <v>132</v>
      </c>
      <c r="F77" s="32">
        <v>147</v>
      </c>
      <c r="G77" s="129">
        <v>200</v>
      </c>
    </row>
    <row r="78" spans="1:10">
      <c r="A78" s="145" t="s">
        <v>92</v>
      </c>
      <c r="B78" s="145"/>
      <c r="C78" s="145"/>
      <c r="D78" s="33">
        <v>-188</v>
      </c>
      <c r="E78" s="32">
        <v>322</v>
      </c>
      <c r="F78" s="32">
        <v>178</v>
      </c>
      <c r="G78" s="33">
        <v>-184</v>
      </c>
    </row>
    <row r="79" spans="1:10">
      <c r="A79" s="149" t="s">
        <v>93</v>
      </c>
      <c r="B79" s="149"/>
      <c r="C79" s="149"/>
      <c r="D79" s="34">
        <v>123</v>
      </c>
      <c r="E79" s="35">
        <v>0</v>
      </c>
      <c r="F79" s="34">
        <v>10</v>
      </c>
      <c r="G79" s="125">
        <v>512</v>
      </c>
      <c r="H79" s="125"/>
      <c r="I79" s="125"/>
    </row>
    <row r="80" spans="1:10">
      <c r="A80" s="145" t="s">
        <v>94</v>
      </c>
      <c r="B80" s="145"/>
      <c r="C80" s="145"/>
      <c r="D80" s="32">
        <v>208</v>
      </c>
      <c r="E80" s="32">
        <v>95</v>
      </c>
      <c r="F80" s="32">
        <v>29</v>
      </c>
      <c r="G80" s="129">
        <v>86</v>
      </c>
    </row>
    <row r="81" spans="1:9">
      <c r="A81" s="145" t="s">
        <v>95</v>
      </c>
      <c r="B81" s="145"/>
      <c r="C81" s="145"/>
      <c r="D81" s="32"/>
      <c r="E81" s="32"/>
      <c r="F81" s="32"/>
    </row>
    <row r="82" spans="1:9">
      <c r="A82" s="145" t="s">
        <v>96</v>
      </c>
      <c r="B82" s="145"/>
      <c r="C82" s="145"/>
      <c r="D82" s="33">
        <v>-348</v>
      </c>
      <c r="E82" s="33">
        <v>-900</v>
      </c>
      <c r="F82" s="32">
        <v>505</v>
      </c>
      <c r="G82" s="33">
        <v>-1661</v>
      </c>
    </row>
    <row r="83" spans="1:9">
      <c r="A83" s="145" t="s">
        <v>97</v>
      </c>
      <c r="B83" s="145"/>
      <c r="C83" s="145"/>
      <c r="D83" s="33">
        <v>-156</v>
      </c>
      <c r="E83" s="33">
        <v>-299</v>
      </c>
      <c r="F83" s="32">
        <v>18</v>
      </c>
      <c r="G83" s="33">
        <v>-137</v>
      </c>
    </row>
    <row r="84" spans="1:9">
      <c r="A84" s="145" t="s">
        <v>45</v>
      </c>
      <c r="B84" s="145"/>
      <c r="C84" s="145"/>
      <c r="D84" s="32">
        <v>1307</v>
      </c>
      <c r="E84" s="32">
        <v>1127</v>
      </c>
      <c r="F84" s="32">
        <v>140</v>
      </c>
      <c r="G84" s="129">
        <v>2925</v>
      </c>
    </row>
    <row r="85" spans="1:9">
      <c r="A85" s="145" t="s">
        <v>98</v>
      </c>
      <c r="B85" s="145"/>
      <c r="C85" s="145"/>
      <c r="D85" s="32">
        <v>419</v>
      </c>
      <c r="E85" s="32">
        <v>89</v>
      </c>
      <c r="F85" s="32">
        <v>199</v>
      </c>
      <c r="G85" s="129">
        <v>1931</v>
      </c>
    </row>
    <row r="86" spans="1:9">
      <c r="A86" s="145" t="s">
        <v>99</v>
      </c>
      <c r="B86" s="145"/>
      <c r="C86" s="145"/>
      <c r="D86" s="32">
        <v>6861</v>
      </c>
      <c r="E86" s="32">
        <v>5970</v>
      </c>
      <c r="F86" s="32">
        <v>7099</v>
      </c>
      <c r="G86" s="129">
        <v>10525</v>
      </c>
    </row>
    <row r="87" spans="1:9">
      <c r="A87" s="145" t="s">
        <v>100</v>
      </c>
      <c r="B87" s="145"/>
      <c r="C87" s="145"/>
      <c r="D87" s="32">
        <v>74</v>
      </c>
      <c r="E87" s="28">
        <v>3</v>
      </c>
      <c r="F87" s="32">
        <v>18</v>
      </c>
    </row>
    <row r="88" spans="1:9">
      <c r="A88" s="145" t="s">
        <v>101</v>
      </c>
      <c r="B88" s="145"/>
      <c r="C88" s="145"/>
      <c r="D88" s="36">
        <f>SUM(D86:D87)</f>
        <v>6935</v>
      </c>
      <c r="E88" s="36">
        <f>SUM(E86:E87)</f>
        <v>5973</v>
      </c>
      <c r="F88" s="36">
        <f t="shared" ref="F88:G88" si="16">SUM(F86:F87)</f>
        <v>7117</v>
      </c>
      <c r="G88" s="36">
        <f t="shared" si="16"/>
        <v>10525</v>
      </c>
      <c r="H88" s="36">
        <f t="shared" ref="H88:I88" si="17">SUM(H86:H87)</f>
        <v>0</v>
      </c>
      <c r="I88" s="36">
        <f t="shared" si="17"/>
        <v>0</v>
      </c>
    </row>
    <row r="89" spans="1:9">
      <c r="A89" s="147" t="s">
        <v>102</v>
      </c>
      <c r="B89" s="147"/>
      <c r="C89" s="147"/>
      <c r="D89" s="28"/>
      <c r="E89" s="28"/>
      <c r="F89" s="28"/>
    </row>
    <row r="90" spans="1:9">
      <c r="A90" s="145" t="s">
        <v>103</v>
      </c>
      <c r="B90" s="145"/>
      <c r="C90" s="145"/>
      <c r="D90" s="24">
        <v>-2533</v>
      </c>
      <c r="E90" s="24">
        <v>-3516</v>
      </c>
      <c r="F90" s="24">
        <v>-3027</v>
      </c>
      <c r="G90" s="24">
        <v>-2649</v>
      </c>
    </row>
    <row r="91" spans="1:9">
      <c r="A91" s="145" t="s">
        <v>104</v>
      </c>
      <c r="B91" s="145"/>
      <c r="C91" s="145"/>
      <c r="D91" s="28">
        <v>31</v>
      </c>
      <c r="E91" s="28">
        <v>85</v>
      </c>
      <c r="F91" s="24">
        <v>63</v>
      </c>
      <c r="G91">
        <v>42</v>
      </c>
    </row>
    <row r="92" spans="1:9">
      <c r="A92" s="149" t="s">
        <v>105</v>
      </c>
      <c r="B92" s="149"/>
      <c r="C92" s="149"/>
      <c r="D92" s="37">
        <v>-518</v>
      </c>
      <c r="E92" s="35">
        <v>0</v>
      </c>
      <c r="F92" s="35">
        <v>0</v>
      </c>
      <c r="G92" s="125"/>
      <c r="H92" s="125"/>
      <c r="I92" s="125"/>
    </row>
    <row r="93" spans="1:9">
      <c r="A93" s="145" t="s">
        <v>106</v>
      </c>
      <c r="B93" s="145"/>
      <c r="C93" s="145"/>
      <c r="D93" s="24">
        <v>-55</v>
      </c>
      <c r="E93" s="28">
        <v>15</v>
      </c>
      <c r="F93" s="24">
        <v>20</v>
      </c>
      <c r="G93">
        <v>16</v>
      </c>
    </row>
    <row r="94" spans="1:9">
      <c r="A94" s="145" t="s">
        <v>107</v>
      </c>
      <c r="B94" s="145"/>
      <c r="C94" s="145"/>
      <c r="D94" s="11">
        <f>SUM(D90:D93)</f>
        <v>-3075</v>
      </c>
      <c r="E94" s="11">
        <f t="shared" ref="E94:G94" si="18">SUM(E90:E93)</f>
        <v>-3416</v>
      </c>
      <c r="F94" s="11">
        <f t="shared" si="18"/>
        <v>-2944</v>
      </c>
      <c r="G94" s="11">
        <f t="shared" si="18"/>
        <v>-2591</v>
      </c>
    </row>
    <row r="95" spans="1:9">
      <c r="A95" s="147" t="s">
        <v>108</v>
      </c>
      <c r="B95" s="147"/>
      <c r="C95" s="147"/>
      <c r="D95" s="28"/>
      <c r="E95" s="28"/>
      <c r="F95" s="28"/>
    </row>
    <row r="96" spans="1:9">
      <c r="A96" s="149" t="s">
        <v>109</v>
      </c>
      <c r="B96" s="149"/>
      <c r="C96" s="149"/>
      <c r="D96" s="31">
        <v>739</v>
      </c>
      <c r="E96" s="35">
        <v>0</v>
      </c>
      <c r="F96" s="37">
        <v>1739</v>
      </c>
      <c r="G96" s="130">
        <v>2480</v>
      </c>
      <c r="H96" s="130">
        <v>1972</v>
      </c>
      <c r="I96" s="125"/>
    </row>
    <row r="97" spans="1:21">
      <c r="A97" s="145" t="s">
        <v>110</v>
      </c>
      <c r="B97" s="145"/>
      <c r="C97" s="145"/>
      <c r="D97" s="24">
        <v>-2192</v>
      </c>
      <c r="E97" s="24">
        <v>-281</v>
      </c>
      <c r="F97" s="24">
        <v>-2069</v>
      </c>
      <c r="G97" s="24">
        <v>-2415</v>
      </c>
      <c r="H97" s="128">
        <v>-1147</v>
      </c>
    </row>
    <row r="98" spans="1:21">
      <c r="A98" s="145" t="s">
        <v>111</v>
      </c>
      <c r="B98" s="145"/>
      <c r="C98" s="145"/>
      <c r="D98" s="24">
        <v>-1338</v>
      </c>
      <c r="E98" s="24">
        <v>-1335</v>
      </c>
      <c r="F98" s="24">
        <v>-1330</v>
      </c>
      <c r="G98" s="24">
        <v>-1343</v>
      </c>
      <c r="H98" s="128">
        <v>-1548</v>
      </c>
    </row>
    <row r="99" spans="1:21">
      <c r="A99" s="145" t="s">
        <v>112</v>
      </c>
      <c r="B99" s="145"/>
      <c r="C99" s="145"/>
      <c r="D99" s="24">
        <v>-1046</v>
      </c>
      <c r="E99" s="24">
        <v>-2124</v>
      </c>
      <c r="F99" s="24">
        <v>-1565</v>
      </c>
      <c r="G99" s="24">
        <v>-745</v>
      </c>
      <c r="H99" s="128">
        <v>-7356</v>
      </c>
    </row>
    <row r="100" spans="1:21">
      <c r="A100" s="145" t="s">
        <v>113</v>
      </c>
      <c r="B100" s="145"/>
      <c r="C100" s="145"/>
      <c r="D100" s="28">
        <v>108</v>
      </c>
      <c r="E100" s="28">
        <v>96</v>
      </c>
      <c r="F100" s="28">
        <v>73</v>
      </c>
      <c r="G100" s="128">
        <v>23</v>
      </c>
      <c r="H100" s="128">
        <v>8</v>
      </c>
    </row>
    <row r="101" spans="1:21">
      <c r="A101" s="145" t="s">
        <v>114</v>
      </c>
      <c r="B101" s="145"/>
      <c r="C101" s="145"/>
      <c r="D101" s="24">
        <v>-3729</v>
      </c>
      <c r="E101" s="24">
        <f>SUM(E96:E100)</f>
        <v>-3644</v>
      </c>
      <c r="F101" s="24">
        <v>-3152</v>
      </c>
      <c r="G101" s="128">
        <v>-2000</v>
      </c>
      <c r="H101" s="128">
        <v>-8071</v>
      </c>
    </row>
    <row r="102" spans="1:21">
      <c r="A102" s="145" t="s">
        <v>115</v>
      </c>
      <c r="B102" s="145"/>
      <c r="C102" s="145"/>
      <c r="D102" s="28">
        <v>131</v>
      </c>
      <c r="E102" s="24">
        <v>-1087</v>
      </c>
      <c r="F102" s="28">
        <v>1021</v>
      </c>
      <c r="G102" s="128">
        <v>5934</v>
      </c>
      <c r="H102" s="128">
        <v>-2600</v>
      </c>
    </row>
    <row r="103" spans="1:21">
      <c r="A103" s="145" t="s">
        <v>116</v>
      </c>
      <c r="B103" s="145"/>
      <c r="C103" s="145"/>
      <c r="D103" s="28">
        <v>2512</v>
      </c>
      <c r="E103" s="28">
        <v>2643</v>
      </c>
      <c r="F103" s="28">
        <v>1556</v>
      </c>
      <c r="G103" s="128">
        <v>2577</v>
      </c>
      <c r="H103" s="128">
        <v>8511</v>
      </c>
    </row>
    <row r="104" spans="1:21">
      <c r="A104" s="145" t="s">
        <v>117</v>
      </c>
      <c r="B104" s="145"/>
      <c r="C104" s="145"/>
      <c r="D104" s="29">
        <f>SUM(D102:D103)</f>
        <v>2643</v>
      </c>
      <c r="E104" s="29">
        <f t="shared" ref="E104:H104" si="19">SUM(E102:E103)</f>
        <v>1556</v>
      </c>
      <c r="F104" s="29">
        <f t="shared" si="19"/>
        <v>2577</v>
      </c>
      <c r="G104" s="29">
        <f t="shared" si="19"/>
        <v>8511</v>
      </c>
      <c r="H104" s="29">
        <f t="shared" si="19"/>
        <v>5911</v>
      </c>
    </row>
    <row r="105" spans="1:21">
      <c r="A105" s="145" t="s">
        <v>118</v>
      </c>
      <c r="B105" s="145"/>
      <c r="C105" s="145"/>
      <c r="D105" s="28"/>
      <c r="E105" s="28"/>
      <c r="F105" s="28"/>
    </row>
    <row r="106" spans="1:21">
      <c r="A106" s="145" t="s">
        <v>119</v>
      </c>
      <c r="B106" s="145"/>
      <c r="C106" s="145"/>
      <c r="D106" s="28">
        <v>678</v>
      </c>
      <c r="E106" s="28">
        <v>476</v>
      </c>
      <c r="F106" s="28">
        <v>492</v>
      </c>
      <c r="G106" s="128">
        <v>939</v>
      </c>
      <c r="H106" s="124">
        <v>414</v>
      </c>
    </row>
    <row r="107" spans="1:21">
      <c r="A107" s="145" t="s">
        <v>120</v>
      </c>
      <c r="B107" s="145"/>
      <c r="C107" s="145"/>
      <c r="D107" s="28">
        <v>934</v>
      </c>
      <c r="E107" s="28">
        <v>373</v>
      </c>
      <c r="F107" s="28">
        <v>696</v>
      </c>
      <c r="G107" s="128">
        <v>1031</v>
      </c>
      <c r="H107" s="124">
        <v>2063</v>
      </c>
    </row>
    <row r="108" spans="1:21">
      <c r="A108" s="145" t="s">
        <v>121</v>
      </c>
      <c r="B108" s="145"/>
      <c r="C108" s="145"/>
      <c r="D108" s="28">
        <v>139</v>
      </c>
      <c r="E108" s="28">
        <v>130</v>
      </c>
      <c r="F108" s="28">
        <v>379</v>
      </c>
      <c r="G108" s="128">
        <v>428</v>
      </c>
      <c r="H108" s="124">
        <v>288</v>
      </c>
    </row>
    <row r="109" spans="1:21">
      <c r="A109" s="145" t="s">
        <v>122</v>
      </c>
      <c r="B109" s="145"/>
      <c r="C109" s="145"/>
      <c r="D109" s="28">
        <v>212</v>
      </c>
      <c r="E109" s="28">
        <v>246</v>
      </c>
      <c r="F109" s="28">
        <v>464</v>
      </c>
      <c r="G109" s="128">
        <v>262</v>
      </c>
      <c r="H109" s="124">
        <v>580</v>
      </c>
    </row>
    <row r="110" spans="1:21">
      <c r="A110" s="145"/>
      <c r="B110" s="145"/>
      <c r="C110" s="145"/>
    </row>
    <row r="111" spans="1:21" ht="14.4" customHeight="1">
      <c r="A111" s="140" t="s">
        <v>587</v>
      </c>
      <c r="B111" s="140"/>
      <c r="C111" s="140"/>
      <c r="D111" s="2">
        <v>2017</v>
      </c>
      <c r="E111" s="2">
        <v>2018</v>
      </c>
      <c r="F111" s="2">
        <v>2019</v>
      </c>
      <c r="G111" s="2">
        <v>2020</v>
      </c>
      <c r="H111" s="2">
        <v>2021</v>
      </c>
      <c r="I111" s="2">
        <v>2022</v>
      </c>
      <c r="J111" s="2"/>
      <c r="K111" s="106"/>
      <c r="L111" s="106"/>
      <c r="M111" s="106"/>
      <c r="Q111" s="157" t="s">
        <v>125</v>
      </c>
      <c r="R111" s="146"/>
      <c r="S111" s="146"/>
      <c r="T111" s="146"/>
      <c r="U111" s="146"/>
    </row>
    <row r="112" spans="1:21">
      <c r="A112" s="146" t="s">
        <v>124</v>
      </c>
      <c r="B112" s="146"/>
      <c r="C112" s="146"/>
      <c r="K112" s="106"/>
      <c r="L112" s="106"/>
      <c r="M112" s="106"/>
      <c r="Q112" s="146"/>
      <c r="R112" s="146"/>
      <c r="S112" s="146"/>
      <c r="T112" s="146"/>
      <c r="U112" s="146"/>
    </row>
    <row r="113" spans="1:21">
      <c r="A113" s="145" t="s">
        <v>126</v>
      </c>
      <c r="B113" s="145"/>
      <c r="C113" s="145"/>
      <c r="D113">
        <f>$D$43</f>
        <v>71786</v>
      </c>
      <c r="E113">
        <f>$E$43</f>
        <v>74433</v>
      </c>
      <c r="F113">
        <f>F$43</f>
        <v>77130</v>
      </c>
      <c r="G113">
        <f t="shared" ref="G113:I113" si="20">G$43</f>
        <v>92400</v>
      </c>
      <c r="H113">
        <f t="shared" si="20"/>
        <v>104611</v>
      </c>
      <c r="I113">
        <f t="shared" si="20"/>
        <v>107588</v>
      </c>
      <c r="K113" s="106"/>
      <c r="L113" s="106"/>
      <c r="M113" s="106"/>
      <c r="Q113" s="146"/>
      <c r="R113" s="146"/>
      <c r="S113" s="146"/>
      <c r="T113" s="146"/>
      <c r="U113" s="146"/>
    </row>
    <row r="114" spans="1:21">
      <c r="A114" s="145" t="s">
        <v>127</v>
      </c>
      <c r="B114" s="145"/>
      <c r="C114" s="145"/>
      <c r="E114" s="38">
        <f>((E113-D113))/D113</f>
        <v>3.6873485080656396E-2</v>
      </c>
      <c r="F114" s="38">
        <f t="shared" ref="F114:I114" si="21">((F113-E113))/E113</f>
        <v>3.6233928499455885E-2</v>
      </c>
      <c r="G114" s="38">
        <f t="shared" si="21"/>
        <v>0.19797744068455853</v>
      </c>
      <c r="H114" s="38">
        <f t="shared" si="21"/>
        <v>0.13215367965367966</v>
      </c>
      <c r="I114" s="38">
        <f t="shared" si="21"/>
        <v>2.8457810364110849E-2</v>
      </c>
      <c r="K114" s="106"/>
      <c r="L114" s="106"/>
      <c r="M114" s="106"/>
      <c r="Q114" s="146"/>
      <c r="R114" s="146"/>
      <c r="S114" s="146"/>
      <c r="T114" s="146"/>
      <c r="U114" s="146"/>
    </row>
    <row r="115" spans="1:21">
      <c r="A115" s="146"/>
      <c r="B115" s="146"/>
      <c r="C115" s="146"/>
      <c r="E115" s="38"/>
      <c r="F115" s="38"/>
      <c r="K115" s="106"/>
      <c r="L115" s="106"/>
      <c r="M115" s="106"/>
    </row>
    <row r="116" spans="1:21">
      <c r="A116" s="146" t="s">
        <v>128</v>
      </c>
      <c r="B116" s="146"/>
      <c r="C116" s="146"/>
      <c r="K116" s="106"/>
      <c r="L116" s="106"/>
      <c r="M116" s="106"/>
      <c r="Q116" s="159" t="s">
        <v>130</v>
      </c>
      <c r="R116" s="160"/>
      <c r="S116" s="160"/>
      <c r="T116" s="160"/>
      <c r="U116" s="160"/>
    </row>
    <row r="117" spans="1:21">
      <c r="A117" s="145" t="s">
        <v>129</v>
      </c>
      <c r="B117" s="145"/>
      <c r="C117" s="145"/>
      <c r="D117">
        <f>$D$45</f>
        <v>72714</v>
      </c>
      <c r="E117">
        <f>$E$45</f>
        <v>75356</v>
      </c>
      <c r="F117">
        <f>F$45</f>
        <v>78112</v>
      </c>
      <c r="G117">
        <f t="shared" ref="G117:I117" si="22">G$45</f>
        <v>93561</v>
      </c>
      <c r="H117">
        <f t="shared" si="22"/>
        <v>106005</v>
      </c>
      <c r="I117">
        <f t="shared" si="22"/>
        <v>109120</v>
      </c>
      <c r="K117" s="106"/>
      <c r="L117" s="106"/>
      <c r="M117" s="106"/>
      <c r="Q117" s="160"/>
      <c r="R117" s="160"/>
      <c r="S117" s="160"/>
      <c r="T117" s="160"/>
      <c r="U117" s="160"/>
    </row>
    <row r="118" spans="1:21">
      <c r="A118" s="150" t="s">
        <v>131</v>
      </c>
      <c r="B118" s="150"/>
      <c r="C118" s="150"/>
      <c r="E118" s="38">
        <f>E117/D117-1</f>
        <v>3.6334130978903589E-2</v>
      </c>
      <c r="F118" s="38">
        <f t="shared" ref="F118:I118" si="23">F117/E117-1</f>
        <v>3.6573066510961372E-2</v>
      </c>
      <c r="G118" s="38">
        <f t="shared" si="23"/>
        <v>0.19778011061040557</v>
      </c>
      <c r="H118" s="38">
        <f t="shared" si="23"/>
        <v>0.13300413633885921</v>
      </c>
      <c r="I118" s="38">
        <f t="shared" si="23"/>
        <v>2.9385406348757082E-2</v>
      </c>
      <c r="Q118" s="160"/>
      <c r="R118" s="160"/>
      <c r="S118" s="160"/>
      <c r="T118" s="160"/>
      <c r="U118" s="160"/>
    </row>
    <row r="119" spans="1:21">
      <c r="A119" s="145" t="s">
        <v>132</v>
      </c>
      <c r="B119" s="145"/>
      <c r="C119" s="145"/>
      <c r="E119" s="38">
        <f>((E117/D117)^(1/1))-1</f>
        <v>3.6334130978903589E-2</v>
      </c>
      <c r="F119" s="38">
        <f t="shared" ref="F119:I119" si="24">((F117/E117)^(1/1))-1</f>
        <v>3.6573066510961372E-2</v>
      </c>
      <c r="G119" s="38">
        <f t="shared" si="24"/>
        <v>0.19778011061040557</v>
      </c>
      <c r="H119" s="38">
        <f t="shared" si="24"/>
        <v>0.13300413633885921</v>
      </c>
      <c r="I119" s="38">
        <f t="shared" si="24"/>
        <v>2.9385406348757082E-2</v>
      </c>
      <c r="Q119" s="160"/>
      <c r="R119" s="160"/>
      <c r="S119" s="160"/>
      <c r="T119" s="160"/>
      <c r="U119" s="160"/>
    </row>
    <row r="120" spans="1:21">
      <c r="A120" s="146"/>
      <c r="B120" s="146"/>
      <c r="C120" s="146"/>
      <c r="G120" s="4"/>
      <c r="Q120" s="160"/>
      <c r="R120" s="160"/>
      <c r="S120" s="160"/>
      <c r="T120" s="160"/>
      <c r="U120" s="160"/>
    </row>
    <row r="121" spans="1:21">
      <c r="A121" s="145" t="s">
        <v>133</v>
      </c>
      <c r="B121" s="145"/>
      <c r="C121" s="145"/>
      <c r="D121" s="12">
        <f>-$D$46</f>
        <v>-51125</v>
      </c>
      <c r="E121" s="12">
        <f>-$E$46</f>
        <v>-53299</v>
      </c>
      <c r="F121" s="12">
        <f>-F$46</f>
        <v>-54864</v>
      </c>
      <c r="G121" s="12">
        <f t="shared" ref="G121:I121" si="25">-G$46</f>
        <v>-66177</v>
      </c>
      <c r="H121" s="12">
        <f t="shared" si="25"/>
        <v>-74963</v>
      </c>
      <c r="I121" s="12">
        <f t="shared" si="25"/>
        <v>-82229</v>
      </c>
      <c r="Q121" s="160"/>
      <c r="R121" s="160"/>
      <c r="S121" s="160"/>
      <c r="T121" s="160"/>
      <c r="U121" s="160"/>
    </row>
    <row r="122" spans="1:21">
      <c r="A122" s="150" t="s">
        <v>134</v>
      </c>
      <c r="B122" s="150"/>
      <c r="C122" s="150"/>
      <c r="D122" s="38">
        <f>-D121/D117</f>
        <v>0.70309706521440163</v>
      </c>
      <c r="E122" s="38">
        <f t="shared" ref="E122:I122" si="26">-E121/E117</f>
        <v>0.70729603482138115</v>
      </c>
      <c r="F122" s="38">
        <f t="shared" si="26"/>
        <v>0.70237607537894309</v>
      </c>
      <c r="G122" s="38">
        <f t="shared" si="26"/>
        <v>0.70731394491294453</v>
      </c>
      <c r="H122" s="38">
        <f t="shared" si="26"/>
        <v>0.70716475637941612</v>
      </c>
      <c r="I122" s="38">
        <f t="shared" si="26"/>
        <v>0.75356488269794719</v>
      </c>
      <c r="Q122" s="160"/>
      <c r="R122" s="160"/>
      <c r="S122" s="160"/>
      <c r="T122" s="160"/>
      <c r="U122" s="160"/>
    </row>
    <row r="123" spans="1:21">
      <c r="A123" s="150" t="s">
        <v>135</v>
      </c>
      <c r="B123" s="150"/>
      <c r="C123" s="150"/>
      <c r="D123" s="82">
        <f>1-D122</f>
        <v>0.29690293478559837</v>
      </c>
      <c r="E123" s="82">
        <f t="shared" ref="E123:I123" si="27">1-E122</f>
        <v>0.29270396517861885</v>
      </c>
      <c r="F123" s="82">
        <f t="shared" si="27"/>
        <v>0.29762392462105691</v>
      </c>
      <c r="G123" s="82">
        <f t="shared" si="27"/>
        <v>0.29268605508705547</v>
      </c>
      <c r="H123" s="82">
        <f t="shared" si="27"/>
        <v>0.29283524362058388</v>
      </c>
      <c r="I123" s="82">
        <f t="shared" si="27"/>
        <v>0.24643511730205281</v>
      </c>
      <c r="Q123" s="160"/>
      <c r="R123" s="160"/>
      <c r="S123" s="160"/>
      <c r="T123" s="160"/>
      <c r="U123" s="160"/>
    </row>
    <row r="124" spans="1:21">
      <c r="A124" s="146"/>
      <c r="B124" s="146"/>
      <c r="C124" s="146"/>
      <c r="G124" s="4"/>
      <c r="Q124" s="160"/>
      <c r="R124" s="160"/>
      <c r="S124" s="160"/>
      <c r="T124" s="160"/>
      <c r="U124" s="160"/>
    </row>
    <row r="125" spans="1:21">
      <c r="A125" s="145" t="s">
        <v>136</v>
      </c>
      <c r="B125" s="145"/>
      <c r="C125" s="145"/>
      <c r="D125" s="12">
        <f>-$D$47</f>
        <v>-15140</v>
      </c>
      <c r="E125" s="12">
        <f>-$E$47</f>
        <v>-15723</v>
      </c>
      <c r="F125" s="12">
        <f>-F$47</f>
        <v>-16233</v>
      </c>
      <c r="G125" s="12">
        <f t="shared" ref="G125:I125" si="28">-G$47</f>
        <v>-18615</v>
      </c>
      <c r="H125" s="12">
        <f t="shared" si="28"/>
        <v>-19752</v>
      </c>
      <c r="I125" s="12">
        <f t="shared" si="28"/>
        <v>-20658</v>
      </c>
      <c r="Q125" s="160"/>
      <c r="R125" s="160"/>
      <c r="S125" s="160"/>
      <c r="T125" s="160"/>
      <c r="U125" s="160"/>
    </row>
    <row r="126" spans="1:21">
      <c r="A126" s="150" t="s">
        <v>137</v>
      </c>
      <c r="B126" s="150"/>
      <c r="C126" s="150"/>
      <c r="D126" s="38">
        <f>-D125/D117</f>
        <v>0.20821299887229419</v>
      </c>
      <c r="E126" s="38">
        <f t="shared" ref="E126:H126" si="29">-E125/E117</f>
        <v>0.20864960985190298</v>
      </c>
      <c r="F126" s="38">
        <f t="shared" si="29"/>
        <v>0.20781698074559607</v>
      </c>
      <c r="G126" s="38">
        <f t="shared" si="29"/>
        <v>0.19896110558886715</v>
      </c>
      <c r="H126" s="38">
        <f t="shared" si="29"/>
        <v>0.18633083345125229</v>
      </c>
      <c r="I126" s="38">
        <f>-I125/I117</f>
        <v>0.18931451612903225</v>
      </c>
      <c r="Q126" s="160"/>
      <c r="R126" s="160"/>
      <c r="S126" s="160"/>
      <c r="T126" s="160"/>
      <c r="U126" s="160"/>
    </row>
    <row r="127" spans="1:21">
      <c r="A127" s="146"/>
      <c r="B127" s="146"/>
      <c r="C127" s="146"/>
      <c r="G127" s="4"/>
      <c r="Q127" s="160"/>
      <c r="R127" s="160"/>
      <c r="S127" s="160"/>
      <c r="T127" s="160"/>
      <c r="U127" s="160"/>
    </row>
    <row r="128" spans="1:21">
      <c r="A128" s="145" t="s">
        <v>138</v>
      </c>
      <c r="B128" s="145"/>
      <c r="C128" s="145"/>
      <c r="D128" s="12">
        <f>-D48</f>
        <v>-2225</v>
      </c>
      <c r="E128" s="12">
        <f t="shared" ref="E128:I128" si="30">-E48</f>
        <v>-2224</v>
      </c>
      <c r="F128" s="12">
        <f t="shared" si="30"/>
        <v>-2357</v>
      </c>
      <c r="G128" s="12">
        <f t="shared" si="30"/>
        <v>-2230</v>
      </c>
      <c r="H128" s="12">
        <f t="shared" si="30"/>
        <v>-2344</v>
      </c>
      <c r="I128" s="12">
        <f t="shared" si="30"/>
        <v>-2385</v>
      </c>
      <c r="Q128" s="4"/>
      <c r="R128" s="4"/>
      <c r="S128" s="4"/>
      <c r="T128" s="4"/>
      <c r="U128" s="4"/>
    </row>
    <row r="129" spans="1:21">
      <c r="A129" s="146"/>
      <c r="B129" s="146"/>
      <c r="C129" s="146"/>
      <c r="G129" s="4"/>
      <c r="Q129" s="161" t="s">
        <v>140</v>
      </c>
      <c r="R129" s="160"/>
      <c r="S129" s="160"/>
      <c r="T129" s="160"/>
      <c r="U129" s="160"/>
    </row>
    <row r="130" spans="1:21">
      <c r="A130" s="145" t="s">
        <v>139</v>
      </c>
      <c r="B130" s="145"/>
      <c r="C130" s="145"/>
      <c r="D130" s="12">
        <f>D117+D125+D121+D128</f>
        <v>4224</v>
      </c>
      <c r="E130" s="12">
        <f t="shared" ref="E130:I130" si="31">E117+E125+E121+E128</f>
        <v>4110</v>
      </c>
      <c r="F130" s="12">
        <f t="shared" si="31"/>
        <v>4658</v>
      </c>
      <c r="G130" s="12">
        <f t="shared" si="31"/>
        <v>6539</v>
      </c>
      <c r="H130" s="12">
        <f t="shared" si="31"/>
        <v>8946</v>
      </c>
      <c r="I130" s="12">
        <f t="shared" si="31"/>
        <v>3848</v>
      </c>
      <c r="Q130" s="160"/>
      <c r="R130" s="160"/>
      <c r="S130" s="160"/>
      <c r="T130" s="160"/>
      <c r="U130" s="160"/>
    </row>
    <row r="131" spans="1:21">
      <c r="A131" s="145" t="s">
        <v>141</v>
      </c>
      <c r="B131" s="145"/>
      <c r="C131" s="145"/>
      <c r="D131" s="39">
        <f>D130/D117</f>
        <v>5.8090601534780101E-2</v>
      </c>
      <c r="E131" s="39">
        <f t="shared" ref="E131:I131" si="32">E130/E117</f>
        <v>5.4541111523966242E-2</v>
      </c>
      <c r="F131" s="39">
        <f t="shared" si="32"/>
        <v>5.9632322818516999E-2</v>
      </c>
      <c r="G131" s="39">
        <f t="shared" si="32"/>
        <v>6.989023204112825E-2</v>
      </c>
      <c r="H131" s="39">
        <f t="shared" si="32"/>
        <v>8.4392245648790151E-2</v>
      </c>
      <c r="I131" s="39">
        <f t="shared" si="32"/>
        <v>3.5263929618768328E-2</v>
      </c>
      <c r="Q131" s="160"/>
      <c r="R131" s="160"/>
      <c r="S131" s="160"/>
      <c r="T131" s="160"/>
      <c r="U131" s="160"/>
    </row>
    <row r="132" spans="1:21">
      <c r="A132" s="146"/>
      <c r="B132" s="146"/>
      <c r="C132" s="146"/>
      <c r="G132" s="4"/>
      <c r="Q132" s="160"/>
      <c r="R132" s="160"/>
      <c r="S132" s="160"/>
      <c r="T132" s="160"/>
      <c r="U132" s="160"/>
    </row>
    <row r="133" spans="1:21">
      <c r="A133" s="145" t="s">
        <v>142</v>
      </c>
      <c r="B133" s="145"/>
      <c r="C133" s="145"/>
      <c r="D133" s="12">
        <f>-D50</f>
        <v>-653</v>
      </c>
      <c r="E133" s="12">
        <f t="shared" ref="E133:I133" si="33">-E50</f>
        <v>-461</v>
      </c>
      <c r="F133" s="12">
        <f t="shared" si="33"/>
        <v>-477</v>
      </c>
      <c r="G133" s="12">
        <f t="shared" si="33"/>
        <v>-977</v>
      </c>
      <c r="H133" s="12">
        <f t="shared" si="33"/>
        <v>-421</v>
      </c>
      <c r="I133" s="12">
        <f t="shared" si="33"/>
        <v>-478</v>
      </c>
      <c r="Q133" s="160"/>
      <c r="R133" s="160"/>
      <c r="S133" s="160"/>
      <c r="T133" s="160"/>
      <c r="U133" s="160"/>
    </row>
    <row r="134" spans="1:21">
      <c r="A134" s="145" t="s">
        <v>143</v>
      </c>
      <c r="B134" s="145"/>
      <c r="C134" s="145"/>
      <c r="D134" s="12">
        <f>D51</f>
        <v>-59</v>
      </c>
      <c r="E134" s="12">
        <f t="shared" ref="E134:I134" si="34">E51</f>
        <v>-27</v>
      </c>
      <c r="F134" s="12">
        <f t="shared" si="34"/>
        <v>-9</v>
      </c>
      <c r="G134" s="12">
        <f t="shared" si="34"/>
        <v>16</v>
      </c>
      <c r="H134" s="12">
        <f t="shared" si="34"/>
        <v>-382</v>
      </c>
      <c r="I134" s="12">
        <f t="shared" si="34"/>
        <v>-48</v>
      </c>
      <c r="Q134" s="160"/>
      <c r="R134" s="160"/>
      <c r="S134" s="160"/>
      <c r="T134" s="160"/>
      <c r="U134" s="160"/>
    </row>
    <row r="135" spans="1:21">
      <c r="A135" s="145"/>
      <c r="B135" s="145"/>
      <c r="C135" s="145"/>
      <c r="D135" s="12"/>
      <c r="E135" s="12"/>
      <c r="F135" s="12"/>
      <c r="Q135" s="160"/>
      <c r="R135" s="160"/>
      <c r="S135" s="160"/>
      <c r="T135" s="160"/>
      <c r="U135" s="160"/>
    </row>
    <row r="136" spans="1:21">
      <c r="A136" s="145" t="s">
        <v>144</v>
      </c>
      <c r="B136" s="145"/>
      <c r="C136" s="145"/>
      <c r="D136" s="12">
        <f>D130+D133-D134</f>
        <v>3630</v>
      </c>
      <c r="E136" s="12">
        <f t="shared" ref="E136:I136" si="35">E130+E133-E134</f>
        <v>3676</v>
      </c>
      <c r="F136" s="12">
        <f t="shared" si="35"/>
        <v>4190</v>
      </c>
      <c r="G136" s="12">
        <f t="shared" si="35"/>
        <v>5546</v>
      </c>
      <c r="H136" s="12">
        <f t="shared" si="35"/>
        <v>8907</v>
      </c>
      <c r="I136" s="12">
        <f t="shared" si="35"/>
        <v>3418</v>
      </c>
      <c r="Q136" s="160"/>
      <c r="R136" s="160"/>
      <c r="S136" s="160"/>
      <c r="T136" s="160"/>
      <c r="U136" s="160"/>
    </row>
    <row r="137" spans="1:21">
      <c r="A137" s="145"/>
      <c r="B137" s="145"/>
      <c r="C137" s="145"/>
      <c r="Q137" s="160"/>
      <c r="R137" s="160"/>
      <c r="S137" s="160"/>
      <c r="T137" s="160"/>
      <c r="U137" s="160"/>
    </row>
    <row r="138" spans="1:21">
      <c r="A138" s="145" t="s">
        <v>145</v>
      </c>
      <c r="B138" s="145"/>
      <c r="C138" s="145"/>
      <c r="D138" s="133">
        <f>-D53</f>
        <v>-722</v>
      </c>
      <c r="E138" s="133">
        <f t="shared" ref="E138:I138" si="36">-E53</f>
        <v>-746</v>
      </c>
      <c r="F138" s="133">
        <f t="shared" si="36"/>
        <v>-921</v>
      </c>
      <c r="G138" s="133">
        <f t="shared" si="36"/>
        <v>-1178</v>
      </c>
      <c r="H138" s="133">
        <f t="shared" si="36"/>
        <v>-1961</v>
      </c>
      <c r="I138" s="133">
        <f t="shared" si="36"/>
        <v>-638</v>
      </c>
      <c r="Q138" s="160"/>
      <c r="R138" s="160"/>
      <c r="S138" s="160"/>
      <c r="T138" s="160"/>
      <c r="U138" s="160"/>
    </row>
    <row r="139" spans="1:21">
      <c r="A139" s="145" t="s">
        <v>146</v>
      </c>
      <c r="B139" s="145"/>
      <c r="C139" s="145"/>
      <c r="D139" s="134">
        <f>-D138/D136</f>
        <v>0.19889807162534434</v>
      </c>
      <c r="E139" s="134">
        <f t="shared" ref="E139:I139" si="37">-E138/E136</f>
        <v>0.2029379760609358</v>
      </c>
      <c r="F139" s="134">
        <f t="shared" si="37"/>
        <v>0.2198090692124105</v>
      </c>
      <c r="G139" s="134">
        <f t="shared" si="37"/>
        <v>0.2124053371799495</v>
      </c>
      <c r="H139" s="134">
        <f t="shared" si="37"/>
        <v>0.22016391602110699</v>
      </c>
      <c r="I139" s="134">
        <f t="shared" si="37"/>
        <v>0.18665886483323582</v>
      </c>
    </row>
    <row r="140" spans="1:21">
      <c r="A140" s="145"/>
      <c r="B140" s="145"/>
      <c r="C140" s="145"/>
      <c r="Q140" s="157" t="s">
        <v>148</v>
      </c>
      <c r="R140" s="157"/>
      <c r="S140" s="157"/>
      <c r="T140" s="157"/>
      <c r="U140" s="157"/>
    </row>
    <row r="141" spans="1:21" ht="14.4" customHeight="1">
      <c r="A141" s="145" t="s">
        <v>147</v>
      </c>
      <c r="B141" s="145"/>
      <c r="C141" s="145"/>
      <c r="D141" s="12">
        <f t="shared" ref="D141:I141" si="38">SUM(D136,D138)</f>
        <v>2908</v>
      </c>
      <c r="E141" s="12">
        <f t="shared" si="38"/>
        <v>2930</v>
      </c>
      <c r="F141" s="12">
        <f t="shared" si="38"/>
        <v>3269</v>
      </c>
      <c r="G141" s="12">
        <f t="shared" si="38"/>
        <v>4368</v>
      </c>
      <c r="H141" s="12">
        <f t="shared" si="38"/>
        <v>6946</v>
      </c>
      <c r="I141" s="12">
        <f t="shared" si="38"/>
        <v>2780</v>
      </c>
      <c r="Q141" s="157"/>
      <c r="R141" s="157"/>
      <c r="S141" s="157"/>
      <c r="T141" s="157"/>
      <c r="U141" s="157"/>
    </row>
    <row r="142" spans="1:21">
      <c r="A142" s="145"/>
      <c r="B142" s="145"/>
      <c r="C142" s="145"/>
      <c r="Q142" s="157"/>
      <c r="R142" s="157"/>
      <c r="S142" s="157"/>
      <c r="T142" s="157"/>
      <c r="U142" s="157"/>
    </row>
    <row r="143" spans="1:21">
      <c r="A143" s="145" t="s">
        <v>149</v>
      </c>
      <c r="B143" s="145"/>
      <c r="C143" s="145"/>
      <c r="D143">
        <f>D55</f>
        <v>6</v>
      </c>
      <c r="E143">
        <f t="shared" ref="E143:I143" si="39">E55</f>
        <v>7</v>
      </c>
      <c r="F143">
        <f t="shared" si="39"/>
        <v>12</v>
      </c>
      <c r="G143">
        <f t="shared" si="39"/>
        <v>0</v>
      </c>
      <c r="H143">
        <f t="shared" si="39"/>
        <v>0</v>
      </c>
      <c r="I143">
        <f t="shared" si="39"/>
        <v>0</v>
      </c>
      <c r="Q143" s="157"/>
      <c r="R143" s="157"/>
      <c r="S143" s="157"/>
      <c r="T143" s="157"/>
      <c r="U143" s="157"/>
    </row>
    <row r="144" spans="1:21">
      <c r="A144" s="147" t="s">
        <v>150</v>
      </c>
      <c r="B144" s="147"/>
      <c r="C144" s="147"/>
      <c r="D144" s="12">
        <f>SUM(D141,D143)</f>
        <v>2914</v>
      </c>
      <c r="E144" s="12">
        <f t="shared" ref="E144:I144" si="40">SUM(E141,E143)</f>
        <v>2937</v>
      </c>
      <c r="F144" s="12">
        <f t="shared" si="40"/>
        <v>3281</v>
      </c>
      <c r="G144" s="12">
        <f t="shared" si="40"/>
        <v>4368</v>
      </c>
      <c r="H144" s="12">
        <f t="shared" si="40"/>
        <v>6946</v>
      </c>
      <c r="I144" s="12">
        <f t="shared" si="40"/>
        <v>2780</v>
      </c>
      <c r="Q144" s="157"/>
      <c r="R144" s="157"/>
      <c r="S144" s="157"/>
      <c r="T144" s="157"/>
      <c r="U144" s="157"/>
    </row>
    <row r="145" spans="1:21">
      <c r="A145" s="150" t="s">
        <v>151</v>
      </c>
      <c r="B145" s="150"/>
      <c r="C145" s="150"/>
      <c r="E145" s="92">
        <f>(E144-D144)/D144</f>
        <v>7.8929306794783809E-3</v>
      </c>
      <c r="F145" s="92">
        <f t="shared" ref="F145:I145" si="41">(F144-E144)/E144</f>
        <v>0.11712631937351038</v>
      </c>
      <c r="G145" s="92">
        <f t="shared" si="41"/>
        <v>0.33130143249009447</v>
      </c>
      <c r="H145" s="92">
        <f t="shared" si="41"/>
        <v>0.59020146520146521</v>
      </c>
      <c r="I145" s="92">
        <f t="shared" si="41"/>
        <v>-0.59976965159804208</v>
      </c>
      <c r="Q145" s="157"/>
      <c r="R145" s="157"/>
      <c r="S145" s="157"/>
      <c r="T145" s="157"/>
      <c r="U145" s="157"/>
    </row>
    <row r="146" spans="1:21">
      <c r="A146" s="146"/>
      <c r="B146" s="146"/>
      <c r="C146" s="146"/>
      <c r="Q146" s="157"/>
      <c r="R146" s="157"/>
      <c r="S146" s="157"/>
      <c r="T146" s="157"/>
      <c r="U146" s="157"/>
    </row>
    <row r="147" spans="1:21">
      <c r="A147" s="145" t="s">
        <v>152</v>
      </c>
      <c r="B147" s="145"/>
      <c r="C147" s="145"/>
      <c r="D147" s="77">
        <f>D60</f>
        <v>5.32</v>
      </c>
      <c r="E147" s="77">
        <f t="shared" ref="E147:I147" si="42">E60</f>
        <v>5.55</v>
      </c>
      <c r="F147" s="77">
        <f t="shared" si="42"/>
        <v>6.42</v>
      </c>
      <c r="G147" s="77">
        <f t="shared" si="42"/>
        <v>8.7200000000000006</v>
      </c>
      <c r="H147" s="77">
        <f t="shared" si="42"/>
        <v>14.23</v>
      </c>
      <c r="I147" s="77">
        <f t="shared" si="42"/>
        <v>6.02</v>
      </c>
      <c r="Q147" s="157"/>
      <c r="R147" s="157"/>
      <c r="S147" s="157"/>
      <c r="T147" s="157"/>
      <c r="U147" s="157"/>
    </row>
    <row r="148" spans="1:21">
      <c r="A148" s="145" t="s">
        <v>153</v>
      </c>
      <c r="B148" s="145"/>
      <c r="C148" s="145"/>
      <c r="D148" s="94">
        <v>2.44</v>
      </c>
      <c r="E148" s="94">
        <v>2.44</v>
      </c>
      <c r="F148" s="94">
        <v>2.44</v>
      </c>
      <c r="G148" s="94">
        <v>2.44</v>
      </c>
      <c r="H148" s="94">
        <v>2.44</v>
      </c>
      <c r="I148" s="94">
        <v>2.44</v>
      </c>
      <c r="Q148" s="157"/>
      <c r="R148" s="157"/>
      <c r="S148" s="157"/>
      <c r="T148" s="157"/>
      <c r="U148" s="157"/>
    </row>
    <row r="149" spans="1:21">
      <c r="A149" s="145" t="s">
        <v>154</v>
      </c>
      <c r="B149" s="145"/>
      <c r="C149" s="145"/>
      <c r="D149" s="132" t="e">
        <f>#REF!</f>
        <v>#REF!</v>
      </c>
      <c r="E149" s="132" t="e">
        <f>#REF!</f>
        <v>#REF!</v>
      </c>
      <c r="F149" s="132" t="e">
        <f>#REF!</f>
        <v>#REF!</v>
      </c>
      <c r="G149" s="132" t="e">
        <f>#REF!</f>
        <v>#REF!</v>
      </c>
      <c r="H149" s="132" t="e">
        <f>#REF!</f>
        <v>#REF!</v>
      </c>
      <c r="I149" s="132" t="e">
        <f>#REF!</f>
        <v>#REF!</v>
      </c>
      <c r="Q149" s="157"/>
      <c r="R149" s="157"/>
      <c r="S149" s="157"/>
      <c r="T149" s="157"/>
      <c r="U149" s="157"/>
    </row>
    <row r="150" spans="1:21">
      <c r="A150" s="146"/>
      <c r="B150" s="146"/>
      <c r="C150" s="146"/>
      <c r="Q150" s="157"/>
      <c r="R150" s="157"/>
      <c r="S150" s="157"/>
      <c r="T150" s="157"/>
      <c r="U150" s="157"/>
    </row>
    <row r="151" spans="1:21">
      <c r="A151" s="146" t="s">
        <v>155</v>
      </c>
      <c r="B151" s="146"/>
      <c r="C151" s="146"/>
      <c r="Q151" s="157"/>
      <c r="R151" s="157"/>
      <c r="S151" s="157"/>
      <c r="T151" s="157"/>
      <c r="U151" s="157"/>
    </row>
    <row r="152" spans="1:21">
      <c r="A152" s="145" t="s">
        <v>82</v>
      </c>
      <c r="B152" s="145"/>
      <c r="C152" s="145"/>
      <c r="D152">
        <f>D66</f>
        <v>546.79999999999995</v>
      </c>
      <c r="E152">
        <f t="shared" ref="E152:I152" si="43">E66</f>
        <v>528.6</v>
      </c>
      <c r="F152">
        <f t="shared" si="43"/>
        <v>510.9</v>
      </c>
      <c r="G152">
        <f t="shared" si="43"/>
        <v>500.6</v>
      </c>
      <c r="H152">
        <f t="shared" si="43"/>
        <v>488.1</v>
      </c>
      <c r="I152">
        <f t="shared" si="43"/>
        <v>462.1</v>
      </c>
      <c r="Q152" s="157"/>
      <c r="R152" s="157"/>
      <c r="S152" s="157"/>
      <c r="T152" s="157"/>
      <c r="U152" s="157"/>
    </row>
    <row r="153" spans="1:21">
      <c r="A153" s="146"/>
      <c r="B153" s="146"/>
      <c r="C153" s="146"/>
    </row>
    <row r="154" spans="1:21">
      <c r="A154" s="146" t="s">
        <v>156</v>
      </c>
      <c r="B154" s="146"/>
      <c r="C154" s="146"/>
      <c r="Q154" s="157" t="s">
        <v>158</v>
      </c>
      <c r="R154" s="146"/>
      <c r="S154" s="146"/>
      <c r="T154" s="146"/>
      <c r="U154" s="146"/>
    </row>
    <row r="155" spans="1:21">
      <c r="A155" s="145" t="s">
        <v>157</v>
      </c>
      <c r="B155" s="145"/>
      <c r="C155" s="145"/>
      <c r="Q155" s="146"/>
      <c r="R155" s="146"/>
      <c r="S155" s="146"/>
      <c r="T155" s="146"/>
      <c r="U155" s="146"/>
    </row>
    <row r="156" spans="1:21">
      <c r="A156" s="145" t="s">
        <v>159</v>
      </c>
      <c r="B156" s="145"/>
      <c r="C156" s="145"/>
      <c r="D156">
        <f>$D$45</f>
        <v>72714</v>
      </c>
      <c r="E156">
        <f>$E$45</f>
        <v>75356</v>
      </c>
      <c r="F156">
        <f>F$45</f>
        <v>78112</v>
      </c>
      <c r="G156">
        <f t="shared" ref="G156:I156" si="44">G$45</f>
        <v>93561</v>
      </c>
      <c r="H156">
        <f t="shared" si="44"/>
        <v>106005</v>
      </c>
      <c r="I156">
        <f t="shared" si="44"/>
        <v>109120</v>
      </c>
      <c r="Q156" s="146"/>
      <c r="R156" s="146"/>
      <c r="S156" s="146"/>
      <c r="T156" s="146"/>
      <c r="U156" s="146"/>
    </row>
    <row r="157" spans="1:21">
      <c r="A157" s="145" t="s">
        <v>133</v>
      </c>
      <c r="B157" s="145"/>
      <c r="C157" s="145"/>
      <c r="D157">
        <f>$D$46</f>
        <v>51125</v>
      </c>
      <c r="E157">
        <f>$E$46</f>
        <v>53299</v>
      </c>
      <c r="F157">
        <f>F$46</f>
        <v>54864</v>
      </c>
      <c r="G157">
        <f t="shared" ref="G157:I157" si="45">G$46</f>
        <v>66177</v>
      </c>
      <c r="H157">
        <f t="shared" si="45"/>
        <v>74963</v>
      </c>
      <c r="I157">
        <f t="shared" si="45"/>
        <v>82229</v>
      </c>
      <c r="Q157" s="146"/>
      <c r="R157" s="146"/>
      <c r="S157" s="146"/>
      <c r="T157" s="146"/>
      <c r="U157" s="146"/>
    </row>
    <row r="158" spans="1:21">
      <c r="A158" s="145"/>
      <c r="B158" s="145"/>
      <c r="C158" s="145"/>
      <c r="Q158" s="146"/>
      <c r="R158" s="146"/>
      <c r="S158" s="146"/>
      <c r="T158" s="146"/>
      <c r="U158" s="146"/>
    </row>
    <row r="159" spans="1:21">
      <c r="A159" s="145" t="s">
        <v>160</v>
      </c>
      <c r="B159" s="145"/>
      <c r="C159" s="145"/>
      <c r="Q159" s="146"/>
      <c r="R159" s="146"/>
      <c r="S159" s="146"/>
      <c r="T159" s="146"/>
      <c r="U159" s="146"/>
    </row>
    <row r="160" spans="1:21">
      <c r="A160" s="145" t="s">
        <v>161</v>
      </c>
      <c r="B160" s="145"/>
      <c r="C160" s="145"/>
      <c r="D160" s="94">
        <v>929</v>
      </c>
      <c r="E160" s="94">
        <v>1100</v>
      </c>
      <c r="F160" s="94">
        <v>962</v>
      </c>
      <c r="Q160" s="146"/>
      <c r="R160" s="146"/>
      <c r="S160" s="146"/>
      <c r="T160" s="146"/>
      <c r="U160" s="146"/>
    </row>
    <row r="161" spans="1:21">
      <c r="A161" s="150" t="s">
        <v>162</v>
      </c>
      <c r="B161" s="150"/>
      <c r="C161" s="150"/>
      <c r="D161" s="96">
        <f>D160*365/D113</f>
        <v>4.7235533390911879</v>
      </c>
      <c r="E161" s="96">
        <f t="shared" ref="E161:F161" si="46">E160*365/E113</f>
        <v>5.3941128263001623</v>
      </c>
      <c r="F161" s="96">
        <f t="shared" si="46"/>
        <v>4.5524439258394915</v>
      </c>
      <c r="Q161" s="146"/>
      <c r="R161" s="146"/>
      <c r="S161" s="146"/>
      <c r="T161" s="146"/>
      <c r="U161" s="146"/>
    </row>
    <row r="162" spans="1:21">
      <c r="A162" s="145" t="s">
        <v>96</v>
      </c>
      <c r="B162" s="145"/>
      <c r="C162" s="145"/>
      <c r="D162" s="73">
        <f>D$5</f>
        <v>8309</v>
      </c>
      <c r="E162" s="73">
        <f t="shared" ref="E162:I162" si="47">E$5</f>
        <v>8597</v>
      </c>
      <c r="F162" s="73">
        <f t="shared" si="47"/>
        <v>9497</v>
      </c>
      <c r="G162" s="73">
        <f t="shared" si="47"/>
        <v>8992</v>
      </c>
      <c r="H162" s="73">
        <f t="shared" si="47"/>
        <v>10653</v>
      </c>
      <c r="I162" s="73">
        <f t="shared" si="47"/>
        <v>13902</v>
      </c>
      <c r="Q162" s="146"/>
      <c r="R162" s="146"/>
      <c r="S162" s="146"/>
      <c r="T162" s="146"/>
      <c r="U162" s="146"/>
    </row>
    <row r="163" spans="1:21">
      <c r="A163" s="150" t="s">
        <v>163</v>
      </c>
      <c r="B163" s="150"/>
      <c r="C163" s="150"/>
      <c r="D163" s="4">
        <f>D162/D157*365</f>
        <v>59.32097799511002</v>
      </c>
      <c r="E163" s="4">
        <f t="shared" ref="E163:I163" si="48">E162/E157*365</f>
        <v>58.873618642000793</v>
      </c>
      <c r="F163" s="4">
        <f t="shared" si="48"/>
        <v>63.181776757072029</v>
      </c>
      <c r="G163" s="4">
        <f t="shared" si="48"/>
        <v>49.59547879172522</v>
      </c>
      <c r="H163" s="4">
        <f t="shared" si="48"/>
        <v>51.870189293384733</v>
      </c>
      <c r="I163" s="4">
        <f t="shared" si="48"/>
        <v>61.708521324593519</v>
      </c>
      <c r="Q163" s="146"/>
      <c r="R163" s="146"/>
      <c r="S163" s="146"/>
      <c r="T163" s="146"/>
      <c r="U163" s="146"/>
    </row>
    <row r="164" spans="1:21">
      <c r="A164" s="145"/>
      <c r="B164" s="145"/>
      <c r="C164" s="145"/>
      <c r="Q164" s="146"/>
      <c r="R164" s="146"/>
      <c r="S164" s="146"/>
      <c r="T164" s="146"/>
      <c r="U164" s="146"/>
    </row>
    <row r="165" spans="1:21">
      <c r="A165" s="145" t="s">
        <v>164</v>
      </c>
      <c r="B165" s="145"/>
      <c r="C165" s="145"/>
      <c r="Q165" s="146"/>
      <c r="R165" s="146"/>
      <c r="S165" s="146"/>
      <c r="T165" s="146"/>
      <c r="U165" s="146"/>
    </row>
    <row r="166" spans="1:21">
      <c r="A166" s="145" t="s">
        <v>165</v>
      </c>
      <c r="B166" s="145"/>
      <c r="C166" s="145"/>
      <c r="D166" s="73">
        <f>D$22</f>
        <v>7252</v>
      </c>
      <c r="E166" s="73">
        <f t="shared" ref="E166:I166" si="49">E$22</f>
        <v>8677</v>
      </c>
      <c r="F166" s="73">
        <f t="shared" si="49"/>
        <v>9761</v>
      </c>
      <c r="G166" s="73">
        <f t="shared" si="49"/>
        <v>9920</v>
      </c>
      <c r="H166" s="73">
        <f t="shared" si="49"/>
        <v>12859</v>
      </c>
      <c r="I166" s="73">
        <f t="shared" si="49"/>
        <v>15478</v>
      </c>
    </row>
    <row r="167" spans="1:21">
      <c r="A167" s="150" t="s">
        <v>166</v>
      </c>
      <c r="B167" s="150"/>
      <c r="C167" s="150"/>
      <c r="D167" s="4">
        <f>D166/D157*365</f>
        <v>51.774669926650368</v>
      </c>
      <c r="E167" s="4">
        <f t="shared" ref="E167:I167" si="50">E166/E157*365</f>
        <v>59.42147132216364</v>
      </c>
      <c r="F167" s="4">
        <f t="shared" si="50"/>
        <v>64.938119714202386</v>
      </c>
      <c r="G167" s="4">
        <f t="shared" si="50"/>
        <v>54.713873400123909</v>
      </c>
      <c r="H167" s="4">
        <f t="shared" si="50"/>
        <v>62.611354935101318</v>
      </c>
      <c r="I167" s="4">
        <f t="shared" si="50"/>
        <v>68.704106823626702</v>
      </c>
      <c r="Q167" s="157" t="s">
        <v>573</v>
      </c>
      <c r="R167" s="157"/>
      <c r="S167" s="157"/>
      <c r="T167" s="157"/>
      <c r="U167" s="157"/>
    </row>
    <row r="168" spans="1:21">
      <c r="A168" s="145" t="s">
        <v>167</v>
      </c>
      <c r="B168" s="145"/>
      <c r="C168" s="145"/>
      <c r="D168" s="79">
        <f>D$23</f>
        <v>3737</v>
      </c>
      <c r="E168" s="79">
        <f t="shared" ref="E168:I168" si="51">E$23</f>
        <v>4254</v>
      </c>
      <c r="F168" s="79">
        <f t="shared" si="51"/>
        <v>4201</v>
      </c>
      <c r="G168" s="79">
        <f t="shared" si="51"/>
        <v>4406</v>
      </c>
      <c r="H168" s="79">
        <f t="shared" si="51"/>
        <v>6122</v>
      </c>
      <c r="I168" s="79">
        <f t="shared" si="51"/>
        <v>6098</v>
      </c>
      <c r="Q168" s="157"/>
      <c r="R168" s="157"/>
      <c r="S168" s="157"/>
      <c r="T168" s="157"/>
      <c r="U168" s="157"/>
    </row>
    <row r="169" spans="1:21">
      <c r="A169" s="150" t="s">
        <v>168</v>
      </c>
      <c r="B169" s="150"/>
      <c r="C169" s="150"/>
      <c r="D169" s="4">
        <f>D168/D113*365</f>
        <v>19.000989050789848</v>
      </c>
      <c r="E169" s="4">
        <f t="shared" ref="E169:I169" si="52">E168/E113*365</f>
        <v>20.860505420982626</v>
      </c>
      <c r="F169" s="4">
        <f t="shared" si="52"/>
        <v>19.880267081550627</v>
      </c>
      <c r="G169" s="4">
        <f t="shared" si="52"/>
        <v>17.404653679653681</v>
      </c>
      <c r="H169" s="4">
        <f t="shared" si="52"/>
        <v>21.36037319211173</v>
      </c>
      <c r="I169" s="4">
        <f t="shared" si="52"/>
        <v>20.687901996505186</v>
      </c>
      <c r="Q169" s="157"/>
      <c r="R169" s="157"/>
      <c r="S169" s="157"/>
      <c r="T169" s="157"/>
      <c r="U169" s="157"/>
    </row>
    <row r="170" spans="1:21">
      <c r="A170" s="146"/>
      <c r="B170" s="146"/>
      <c r="C170" s="146"/>
      <c r="Q170" s="157"/>
      <c r="R170" s="157"/>
      <c r="S170" s="157"/>
      <c r="T170" s="157"/>
      <c r="U170" s="157"/>
    </row>
    <row r="171" spans="1:21">
      <c r="A171" s="146" t="s">
        <v>169</v>
      </c>
      <c r="B171" s="146"/>
      <c r="C171" s="146"/>
      <c r="Q171" s="157"/>
      <c r="R171" s="157"/>
      <c r="S171" s="157"/>
      <c r="T171" s="157"/>
      <c r="U171" s="157"/>
    </row>
    <row r="172" spans="1:21">
      <c r="A172" s="145" t="s">
        <v>170</v>
      </c>
      <c r="B172" s="145"/>
      <c r="C172" s="145"/>
      <c r="D172" s="135">
        <f>D$56</f>
        <v>2914</v>
      </c>
      <c r="E172" s="135">
        <f t="shared" ref="E172:I172" si="53">E$56</f>
        <v>2937</v>
      </c>
      <c r="F172" s="135">
        <f t="shared" si="53"/>
        <v>3281</v>
      </c>
      <c r="G172" s="135">
        <f t="shared" si="53"/>
        <v>4368</v>
      </c>
      <c r="H172" s="135">
        <f t="shared" si="53"/>
        <v>6946</v>
      </c>
      <c r="I172" s="135">
        <f t="shared" si="53"/>
        <v>2780</v>
      </c>
      <c r="Q172" s="157"/>
      <c r="R172" s="157"/>
      <c r="S172" s="157"/>
      <c r="T172" s="157"/>
      <c r="U172" s="157"/>
    </row>
    <row r="173" spans="1:21">
      <c r="A173" s="145" t="s">
        <v>171</v>
      </c>
      <c r="B173" s="145"/>
      <c r="C173" s="145"/>
      <c r="D173" s="136">
        <f>D$38</f>
        <v>10953</v>
      </c>
      <c r="E173" s="136">
        <f t="shared" ref="E173:I173" si="54">E$38</f>
        <v>11709</v>
      </c>
      <c r="F173" s="136">
        <f t="shared" si="54"/>
        <v>11297</v>
      </c>
      <c r="G173" s="136">
        <f t="shared" si="54"/>
        <v>11833</v>
      </c>
      <c r="H173" s="136">
        <f t="shared" si="54"/>
        <v>14440</v>
      </c>
      <c r="I173" s="136">
        <f t="shared" si="54"/>
        <v>12827</v>
      </c>
      <c r="Q173" s="157"/>
      <c r="R173" s="157"/>
      <c r="S173" s="157"/>
      <c r="T173" s="157"/>
      <c r="U173" s="157"/>
    </row>
    <row r="174" spans="1:21">
      <c r="A174" s="150" t="s">
        <v>172</v>
      </c>
      <c r="B174" s="150"/>
      <c r="C174" s="150"/>
      <c r="D174" s="41">
        <f>D172/D173</f>
        <v>0.26604583219209349</v>
      </c>
      <c r="E174" s="41">
        <f t="shared" ref="E174:I174" si="55">E172/E173</f>
        <v>0.25083269280040993</v>
      </c>
      <c r="F174" s="41">
        <f t="shared" si="55"/>
        <v>0.29043108789944233</v>
      </c>
      <c r="G174" s="41">
        <f t="shared" si="55"/>
        <v>0.36913715879320547</v>
      </c>
      <c r="H174" s="41">
        <f t="shared" si="55"/>
        <v>0.48102493074792246</v>
      </c>
      <c r="I174" s="41">
        <f t="shared" si="55"/>
        <v>0.21673033445076792</v>
      </c>
      <c r="Q174" s="157"/>
      <c r="R174" s="157"/>
      <c r="S174" s="157"/>
      <c r="T174" s="157"/>
      <c r="U174" s="157"/>
    </row>
    <row r="175" spans="1:21">
      <c r="A175" s="146"/>
      <c r="B175" s="146"/>
      <c r="C175" s="146"/>
      <c r="Q175" s="157"/>
      <c r="R175" s="157"/>
      <c r="S175" s="157"/>
      <c r="T175" s="157"/>
      <c r="U175" s="157"/>
    </row>
    <row r="176" spans="1:21">
      <c r="A176" s="145" t="s">
        <v>173</v>
      </c>
      <c r="B176" s="145"/>
      <c r="C176" s="145"/>
      <c r="D176" s="135">
        <f>D$19</f>
        <v>37431</v>
      </c>
      <c r="E176" s="135">
        <f t="shared" ref="E176:I176" si="56">E$19</f>
        <v>40785</v>
      </c>
      <c r="F176" s="135">
        <f t="shared" si="56"/>
        <v>41290</v>
      </c>
      <c r="G176" s="135">
        <f t="shared" si="56"/>
        <v>42779</v>
      </c>
      <c r="H176" s="135">
        <f t="shared" si="56"/>
        <v>51248</v>
      </c>
      <c r="I176" s="135">
        <f t="shared" si="56"/>
        <v>53811</v>
      </c>
      <c r="Q176" s="157"/>
      <c r="R176" s="157"/>
      <c r="S176" s="157"/>
      <c r="T176" s="157"/>
      <c r="U176" s="157"/>
    </row>
    <row r="177" spans="1:21">
      <c r="A177" s="150" t="s">
        <v>174</v>
      </c>
      <c r="B177" s="145"/>
      <c r="C177" s="145"/>
      <c r="D177" s="41">
        <f>D172/D176</f>
        <v>7.7849910501990333E-2</v>
      </c>
      <c r="E177" s="41">
        <f t="shared" ref="E177:I177" si="57">E172/E176</f>
        <v>7.2011769032732625E-2</v>
      </c>
      <c r="F177" s="41">
        <f t="shared" si="57"/>
        <v>7.9462339549527736E-2</v>
      </c>
      <c r="G177" s="41">
        <f t="shared" si="57"/>
        <v>0.10210617358984549</v>
      </c>
      <c r="H177" s="41">
        <f t="shared" si="57"/>
        <v>0.13553699656571963</v>
      </c>
      <c r="I177" s="41">
        <f t="shared" si="57"/>
        <v>5.1662299529835906E-2</v>
      </c>
      <c r="Q177" s="157"/>
      <c r="R177" s="157"/>
      <c r="S177" s="157"/>
      <c r="T177" s="157"/>
      <c r="U177" s="157"/>
    </row>
    <row r="178" spans="1:21">
      <c r="A178" s="146"/>
      <c r="B178" s="146"/>
      <c r="C178" s="146"/>
      <c r="Q178" s="157"/>
      <c r="R178" s="157"/>
      <c r="S178" s="157"/>
      <c r="T178" s="157"/>
      <c r="U178" s="157"/>
    </row>
    <row r="179" spans="1:21">
      <c r="A179" s="146" t="s">
        <v>175</v>
      </c>
      <c r="B179" s="146"/>
      <c r="C179" s="146"/>
      <c r="Q179" s="157"/>
      <c r="R179" s="157"/>
      <c r="S179" s="157"/>
      <c r="T179" s="157"/>
      <c r="U179" s="157"/>
    </row>
    <row r="180" spans="1:21">
      <c r="A180" s="146" t="s">
        <v>176</v>
      </c>
      <c r="B180" s="146"/>
      <c r="C180" s="146"/>
      <c r="Q180" s="157"/>
      <c r="R180" s="157"/>
      <c r="S180" s="157"/>
      <c r="T180" s="157"/>
      <c r="U180" s="157"/>
    </row>
    <row r="181" spans="1:21">
      <c r="A181" s="145" t="s">
        <v>177</v>
      </c>
      <c r="B181" s="145"/>
      <c r="C181" s="145"/>
      <c r="D181" s="73">
        <f>$D$7</f>
        <v>11990</v>
      </c>
      <c r="E181" s="73">
        <f t="shared" ref="E181:I181" si="58">$D$7</f>
        <v>11990</v>
      </c>
      <c r="F181" s="73">
        <f t="shared" si="58"/>
        <v>11990</v>
      </c>
      <c r="G181" s="73">
        <f t="shared" si="58"/>
        <v>11990</v>
      </c>
      <c r="H181" s="73">
        <f t="shared" si="58"/>
        <v>11990</v>
      </c>
      <c r="I181" s="73">
        <f t="shared" si="58"/>
        <v>11990</v>
      </c>
      <c r="Q181" s="157"/>
      <c r="R181" s="157"/>
      <c r="S181" s="157"/>
      <c r="T181" s="157"/>
      <c r="U181" s="157"/>
    </row>
    <row r="182" spans="1:21">
      <c r="A182" s="145" t="s">
        <v>178</v>
      </c>
      <c r="B182" s="145"/>
      <c r="C182" s="145"/>
      <c r="D182" s="73">
        <f>D$25</f>
        <v>12707</v>
      </c>
      <c r="E182" s="73">
        <f t="shared" ref="E182:I182" si="59">E$25</f>
        <v>13201</v>
      </c>
      <c r="F182" s="73">
        <f t="shared" si="59"/>
        <v>15014</v>
      </c>
      <c r="G182" s="73">
        <f t="shared" si="59"/>
        <v>14487</v>
      </c>
      <c r="H182" s="73">
        <f t="shared" si="59"/>
        <v>20125</v>
      </c>
      <c r="I182" s="73">
        <f t="shared" si="59"/>
        <v>21747</v>
      </c>
      <c r="Q182" s="157"/>
      <c r="R182" s="157"/>
      <c r="S182" s="157"/>
      <c r="T182" s="157"/>
      <c r="U182" s="157"/>
    </row>
    <row r="183" spans="1:21">
      <c r="A183" s="145" t="s">
        <v>179</v>
      </c>
      <c r="B183" s="145"/>
      <c r="C183" s="145"/>
      <c r="D183" s="73">
        <f>D$4</f>
        <v>2512</v>
      </c>
      <c r="E183" s="73">
        <f t="shared" ref="E183:I183" si="60">E$4</f>
        <v>2643</v>
      </c>
      <c r="F183" s="73">
        <f t="shared" si="60"/>
        <v>1556</v>
      </c>
      <c r="G183" s="73">
        <f t="shared" si="60"/>
        <v>2577</v>
      </c>
      <c r="H183" s="73">
        <f t="shared" si="60"/>
        <v>8511</v>
      </c>
      <c r="I183" s="73">
        <f t="shared" si="60"/>
        <v>5911</v>
      </c>
      <c r="Q183" s="157"/>
      <c r="R183" s="157"/>
      <c r="S183" s="157"/>
      <c r="T183" s="157"/>
      <c r="U183" s="157"/>
    </row>
    <row r="184" spans="1:21">
      <c r="A184" s="145" t="s">
        <v>180</v>
      </c>
      <c r="B184" s="145"/>
      <c r="C184" s="145"/>
      <c r="D184" s="73">
        <f>D$88</f>
        <v>6935</v>
      </c>
      <c r="E184" s="73">
        <f t="shared" ref="E184:I184" si="61">E$88</f>
        <v>5973</v>
      </c>
      <c r="F184" s="73">
        <f t="shared" si="61"/>
        <v>7117</v>
      </c>
      <c r="G184" s="73">
        <f t="shared" si="61"/>
        <v>10525</v>
      </c>
      <c r="H184" s="73">
        <f t="shared" si="61"/>
        <v>0</v>
      </c>
      <c r="I184" s="73">
        <f t="shared" si="61"/>
        <v>0</v>
      </c>
      <c r="Q184" s="157"/>
      <c r="R184" s="157"/>
      <c r="S184" s="157"/>
      <c r="T184" s="157"/>
      <c r="U184" s="157"/>
    </row>
    <row r="185" spans="1:21">
      <c r="A185" s="145" t="s">
        <v>96</v>
      </c>
      <c r="B185" s="145"/>
      <c r="C185" s="145"/>
      <c r="D185" s="73">
        <f>D$5</f>
        <v>8309</v>
      </c>
      <c r="E185" s="73">
        <f t="shared" ref="E185:I185" si="62">E$5</f>
        <v>8597</v>
      </c>
      <c r="F185" s="73">
        <f t="shared" si="62"/>
        <v>9497</v>
      </c>
      <c r="G185" s="73">
        <f t="shared" si="62"/>
        <v>8992</v>
      </c>
      <c r="H185" s="73">
        <f t="shared" si="62"/>
        <v>10653</v>
      </c>
      <c r="I185" s="73">
        <f t="shared" si="62"/>
        <v>13902</v>
      </c>
      <c r="Q185" s="157"/>
      <c r="R185" s="157"/>
      <c r="S185" s="157"/>
      <c r="T185" s="157"/>
      <c r="U185" s="157"/>
    </row>
    <row r="186" spans="1:21">
      <c r="A186" s="145" t="s">
        <v>159</v>
      </c>
      <c r="B186" s="145"/>
      <c r="C186" s="145"/>
      <c r="D186" s="73">
        <f>D$45</f>
        <v>72714</v>
      </c>
      <c r="E186" s="73">
        <f t="shared" ref="E186:I186" si="63">E$45</f>
        <v>75356</v>
      </c>
      <c r="F186" s="73">
        <f t="shared" si="63"/>
        <v>78112</v>
      </c>
      <c r="G186" s="73">
        <f t="shared" si="63"/>
        <v>93561</v>
      </c>
      <c r="H186" s="73">
        <f t="shared" si="63"/>
        <v>106005</v>
      </c>
      <c r="I186" s="73">
        <f t="shared" si="63"/>
        <v>109120</v>
      </c>
      <c r="Q186" s="157"/>
      <c r="R186" s="157"/>
      <c r="S186" s="157"/>
      <c r="T186" s="157"/>
      <c r="U186" s="157"/>
    </row>
    <row r="187" spans="1:21">
      <c r="A187" s="146"/>
      <c r="B187" s="146"/>
      <c r="C187" s="146"/>
      <c r="D187" s="4"/>
      <c r="E187" s="4"/>
      <c r="F187" s="4"/>
      <c r="Q187" s="157"/>
      <c r="R187" s="157"/>
      <c r="S187" s="157"/>
      <c r="T187" s="157"/>
      <c r="U187" s="157"/>
    </row>
    <row r="188" spans="1:21">
      <c r="A188" s="150" t="s">
        <v>181</v>
      </c>
      <c r="B188" s="150"/>
      <c r="C188" s="150"/>
      <c r="D188" s="41">
        <f>D181/D182</f>
        <v>0.94357440780672075</v>
      </c>
      <c r="E188" s="41">
        <f t="shared" ref="E188:I188" si="64">E181/E182</f>
        <v>0.90826452541474134</v>
      </c>
      <c r="F188" s="41">
        <f t="shared" si="64"/>
        <v>0.79858798454775548</v>
      </c>
      <c r="G188" s="41">
        <f t="shared" si="64"/>
        <v>0.82763857251328776</v>
      </c>
      <c r="H188" s="41">
        <f t="shared" si="64"/>
        <v>0.59577639751552791</v>
      </c>
      <c r="I188" s="41">
        <f t="shared" si="64"/>
        <v>0.55134041476985329</v>
      </c>
      <c r="Q188" s="157"/>
      <c r="R188" s="157"/>
      <c r="S188" s="157"/>
      <c r="T188" s="157"/>
      <c r="U188" s="157"/>
    </row>
    <row r="189" spans="1:21">
      <c r="A189" s="145"/>
      <c r="B189" s="145"/>
      <c r="C189" s="145"/>
    </row>
    <row r="190" spans="1:21">
      <c r="A190" s="150" t="s">
        <v>182</v>
      </c>
      <c r="B190" s="150"/>
      <c r="C190" s="150"/>
      <c r="D190" s="41">
        <f>D183/D182</f>
        <v>0.19768631462973166</v>
      </c>
      <c r="E190" s="41">
        <f t="shared" ref="E190:I190" si="65">E183/E182</f>
        <v>0.20021210514354973</v>
      </c>
      <c r="F190" s="41">
        <f t="shared" si="65"/>
        <v>0.10363660583455442</v>
      </c>
      <c r="G190" s="41">
        <f t="shared" si="65"/>
        <v>0.17788361979705944</v>
      </c>
      <c r="H190" s="41">
        <f t="shared" si="65"/>
        <v>0.42290683229813664</v>
      </c>
      <c r="I190" s="41">
        <f t="shared" si="65"/>
        <v>0.27180760564675588</v>
      </c>
      <c r="Q190" s="158" t="s">
        <v>581</v>
      </c>
      <c r="R190" s="157"/>
      <c r="S190" s="157"/>
      <c r="T190" s="157"/>
      <c r="U190" s="157"/>
    </row>
    <row r="191" spans="1:21">
      <c r="A191" s="146"/>
      <c r="B191" s="146"/>
      <c r="C191" s="146"/>
      <c r="D191" s="4"/>
      <c r="E191" s="4"/>
      <c r="F191" s="4"/>
      <c r="Q191" s="157"/>
      <c r="R191" s="157"/>
      <c r="S191" s="157"/>
      <c r="T191" s="157"/>
      <c r="U191" s="157"/>
    </row>
    <row r="192" spans="1:21">
      <c r="A192" s="150" t="s">
        <v>183</v>
      </c>
      <c r="B192" s="150"/>
      <c r="C192" s="150"/>
      <c r="D192" s="41">
        <f>D184/D182</f>
        <v>0.54576217832690643</v>
      </c>
      <c r="E192" s="41">
        <f>E184/E182</f>
        <v>0.45246572229376564</v>
      </c>
      <c r="F192" s="41">
        <f t="shared" ref="F192:I192" si="66">F184/F182</f>
        <v>0.47402424403889704</v>
      </c>
      <c r="G192" s="41">
        <f t="shared" si="66"/>
        <v>0.72651342583005452</v>
      </c>
      <c r="H192" s="41">
        <f t="shared" si="66"/>
        <v>0</v>
      </c>
      <c r="I192" s="41">
        <f t="shared" si="66"/>
        <v>0</v>
      </c>
      <c r="Q192" s="157"/>
      <c r="R192" s="157"/>
      <c r="S192" s="157"/>
      <c r="T192" s="157"/>
      <c r="U192" s="157"/>
    </row>
    <row r="193" spans="1:21">
      <c r="A193" s="146"/>
      <c r="B193" s="146"/>
      <c r="C193" s="146"/>
      <c r="Q193" s="157"/>
      <c r="R193" s="157"/>
      <c r="S193" s="157"/>
      <c r="T193" s="157"/>
      <c r="U193" s="157"/>
    </row>
    <row r="194" spans="1:21">
      <c r="A194" s="150" t="s">
        <v>184</v>
      </c>
      <c r="B194" s="150"/>
      <c r="C194" s="150"/>
      <c r="D194" s="41">
        <f>(D181-D185)/D182</f>
        <v>0.28968285197135435</v>
      </c>
      <c r="E194" s="41">
        <f t="shared" ref="E194:I194" si="67">(E181-E185)/E182</f>
        <v>0.25702598288008482</v>
      </c>
      <c r="F194" s="41">
        <f t="shared" si="67"/>
        <v>0.16604502464366591</v>
      </c>
      <c r="G194" s="41">
        <f t="shared" si="67"/>
        <v>0.20694415683026163</v>
      </c>
      <c r="H194" s="41">
        <f t="shared" si="67"/>
        <v>6.6434782608695647E-2</v>
      </c>
      <c r="I194" s="41">
        <f t="shared" si="67"/>
        <v>-8.7920172897411136E-2</v>
      </c>
      <c r="Q194" s="157"/>
      <c r="R194" s="157"/>
      <c r="S194" s="157"/>
      <c r="T194" s="157"/>
      <c r="U194" s="157"/>
    </row>
    <row r="195" spans="1:21">
      <c r="A195" s="145"/>
      <c r="B195" s="145"/>
      <c r="C195" s="145"/>
      <c r="Q195" s="157"/>
      <c r="R195" s="157"/>
      <c r="S195" s="157"/>
      <c r="T195" s="157"/>
      <c r="U195" s="157"/>
    </row>
    <row r="196" spans="1:21">
      <c r="A196" s="150" t="s">
        <v>185</v>
      </c>
      <c r="B196" s="150"/>
      <c r="C196" s="150"/>
      <c r="D196" s="39">
        <f>D183/D186</f>
        <v>3.4546304700607863E-2</v>
      </c>
      <c r="E196" s="39">
        <f t="shared" ref="E196:I196" si="68">E183/E186</f>
        <v>3.5073517702638148E-2</v>
      </c>
      <c r="F196" s="39">
        <f t="shared" si="68"/>
        <v>1.9920114707087259E-2</v>
      </c>
      <c r="G196" s="39">
        <f t="shared" si="68"/>
        <v>2.7543527751947926E-2</v>
      </c>
      <c r="H196" s="39">
        <f t="shared" si="68"/>
        <v>8.0288665628979766E-2</v>
      </c>
      <c r="I196" s="39">
        <f t="shared" si="68"/>
        <v>5.4169721407624633E-2</v>
      </c>
      <c r="Q196" s="157"/>
      <c r="R196" s="157"/>
      <c r="S196" s="157"/>
      <c r="T196" s="157"/>
      <c r="U196" s="157"/>
    </row>
    <row r="197" spans="1:21">
      <c r="A197" s="146" t="s">
        <v>186</v>
      </c>
      <c r="B197" s="146"/>
      <c r="C197" s="146"/>
      <c r="G197" s="41"/>
      <c r="Q197" s="157"/>
      <c r="R197" s="157"/>
      <c r="S197" s="157"/>
      <c r="T197" s="157"/>
      <c r="U197" s="157"/>
    </row>
    <row r="198" spans="1:21">
      <c r="A198" s="145" t="s">
        <v>176</v>
      </c>
      <c r="B198" s="145"/>
      <c r="C198" s="145"/>
      <c r="Q198" s="157"/>
      <c r="R198" s="157"/>
      <c r="S198" s="157"/>
      <c r="T198" s="157"/>
      <c r="U198" s="157"/>
    </row>
    <row r="199" spans="1:21">
      <c r="A199" s="145" t="s">
        <v>187</v>
      </c>
      <c r="B199" s="145"/>
      <c r="C199" s="145"/>
      <c r="D199" s="73">
        <f>D$25+D$31</f>
        <v>26478</v>
      </c>
      <c r="E199" s="73">
        <f t="shared" ref="E199:I199" si="69">E$25+E$31</f>
        <v>27290</v>
      </c>
      <c r="F199" s="73">
        <f t="shared" si="69"/>
        <v>29993</v>
      </c>
      <c r="G199" s="73">
        <f t="shared" si="69"/>
        <v>30946</v>
      </c>
      <c r="H199" s="73">
        <f t="shared" si="69"/>
        <v>36808</v>
      </c>
      <c r="I199" s="73">
        <f t="shared" si="69"/>
        <v>40984</v>
      </c>
    </row>
    <row r="200" spans="1:21">
      <c r="A200" s="145" t="s">
        <v>188</v>
      </c>
      <c r="B200" s="145"/>
      <c r="C200" s="145"/>
      <c r="D200" s="73">
        <f>D$19</f>
        <v>37431</v>
      </c>
      <c r="E200" s="73">
        <f t="shared" ref="E200:I200" si="70">E$19</f>
        <v>40785</v>
      </c>
      <c r="F200" s="73">
        <f t="shared" si="70"/>
        <v>41290</v>
      </c>
      <c r="G200" s="73">
        <f t="shared" si="70"/>
        <v>42779</v>
      </c>
      <c r="H200" s="73">
        <f t="shared" si="70"/>
        <v>51248</v>
      </c>
      <c r="I200" s="73">
        <f t="shared" si="70"/>
        <v>53811</v>
      </c>
    </row>
    <row r="201" spans="1:21">
      <c r="A201" s="145" t="s">
        <v>171</v>
      </c>
      <c r="B201" s="145"/>
      <c r="C201" s="145"/>
      <c r="D201" s="79">
        <f>D$38</f>
        <v>10953</v>
      </c>
      <c r="E201" s="79">
        <f t="shared" ref="E201:I201" si="71">E$38</f>
        <v>11709</v>
      </c>
      <c r="F201" s="79">
        <f t="shared" si="71"/>
        <v>11297</v>
      </c>
      <c r="G201" s="79">
        <f t="shared" si="71"/>
        <v>11833</v>
      </c>
      <c r="H201" s="79">
        <f t="shared" si="71"/>
        <v>14440</v>
      </c>
      <c r="I201" s="79">
        <f t="shared" si="71"/>
        <v>12827</v>
      </c>
    </row>
    <row r="202" spans="1:21">
      <c r="A202" s="145" t="s">
        <v>139</v>
      </c>
      <c r="B202" s="145"/>
      <c r="C202" s="145"/>
      <c r="D202" s="77">
        <f>D$49</f>
        <v>4224</v>
      </c>
      <c r="E202" s="77">
        <f t="shared" ref="E202:I202" si="72">E$49</f>
        <v>4110</v>
      </c>
      <c r="F202" s="77">
        <f t="shared" si="72"/>
        <v>4658</v>
      </c>
      <c r="G202" s="77">
        <f t="shared" si="72"/>
        <v>6539</v>
      </c>
      <c r="H202" s="77">
        <f t="shared" si="72"/>
        <v>8946</v>
      </c>
      <c r="I202" s="77">
        <f t="shared" si="72"/>
        <v>3848</v>
      </c>
    </row>
    <row r="203" spans="1:21">
      <c r="A203" s="145" t="s">
        <v>189</v>
      </c>
      <c r="B203" s="145"/>
      <c r="C203" s="145"/>
      <c r="D203" s="77">
        <f>D$50</f>
        <v>653</v>
      </c>
      <c r="E203" s="77">
        <f t="shared" ref="E203:I203" si="73">E$50</f>
        <v>461</v>
      </c>
      <c r="F203" s="77">
        <f t="shared" si="73"/>
        <v>477</v>
      </c>
      <c r="G203" s="77">
        <f t="shared" si="73"/>
        <v>977</v>
      </c>
      <c r="H203" s="77">
        <f t="shared" si="73"/>
        <v>421</v>
      </c>
      <c r="I203" s="77">
        <f t="shared" si="73"/>
        <v>478</v>
      </c>
    </row>
    <row r="204" spans="1:21">
      <c r="A204" s="145" t="s">
        <v>190</v>
      </c>
      <c r="B204" s="145"/>
      <c r="C204" s="145"/>
      <c r="D204" s="79">
        <f>D24+D27</f>
        <v>12749</v>
      </c>
      <c r="E204" s="79">
        <f t="shared" ref="E204:I204" si="74">E24+E27</f>
        <v>11587</v>
      </c>
      <c r="F204" s="79">
        <f t="shared" si="74"/>
        <v>11275</v>
      </c>
      <c r="G204" s="79">
        <f t="shared" si="74"/>
        <v>11499</v>
      </c>
      <c r="H204" s="79">
        <f t="shared" si="74"/>
        <v>12680</v>
      </c>
      <c r="I204" s="79">
        <f t="shared" si="74"/>
        <v>13720</v>
      </c>
    </row>
    <row r="205" spans="1:21">
      <c r="A205" s="145" t="s">
        <v>179</v>
      </c>
      <c r="B205" s="145"/>
      <c r="C205" s="145"/>
      <c r="D205" s="79">
        <f>D$4</f>
        <v>2512</v>
      </c>
      <c r="E205" s="79">
        <f t="shared" ref="E205:I205" si="75">E$4</f>
        <v>2643</v>
      </c>
      <c r="F205" s="79">
        <f t="shared" si="75"/>
        <v>1556</v>
      </c>
      <c r="G205" s="79">
        <f t="shared" si="75"/>
        <v>2577</v>
      </c>
      <c r="H205" s="79">
        <f t="shared" si="75"/>
        <v>8511</v>
      </c>
      <c r="I205" s="79">
        <f t="shared" si="75"/>
        <v>5911</v>
      </c>
    </row>
    <row r="206" spans="1:21">
      <c r="A206" s="146"/>
      <c r="B206" s="146"/>
      <c r="C206" s="146"/>
    </row>
    <row r="207" spans="1:21">
      <c r="A207" s="150" t="s">
        <v>191</v>
      </c>
      <c r="B207" s="150"/>
      <c r="C207" s="150"/>
      <c r="D207" s="41">
        <f>D199/D200</f>
        <v>0.70738158211108437</v>
      </c>
      <c r="E207" s="41">
        <f t="shared" ref="E207:I207" si="76">E199/E200</f>
        <v>0.66911854848596297</v>
      </c>
      <c r="F207" s="41">
        <f t="shared" si="76"/>
        <v>0.72639864373940422</v>
      </c>
      <c r="G207" s="41">
        <f t="shared" si="76"/>
        <v>0.72339231866102527</v>
      </c>
      <c r="H207" s="41">
        <f t="shared" si="76"/>
        <v>0.7182329066500156</v>
      </c>
      <c r="I207" s="41">
        <f t="shared" si="76"/>
        <v>0.76162866328445855</v>
      </c>
    </row>
    <row r="208" spans="1:21">
      <c r="A208" s="150"/>
      <c r="B208" s="150"/>
      <c r="C208" s="150"/>
      <c r="D208" s="41"/>
      <c r="E208" s="41"/>
      <c r="F208" s="41"/>
    </row>
    <row r="209" spans="1:22">
      <c r="A209" s="150" t="s">
        <v>192</v>
      </c>
      <c r="B209" s="150"/>
      <c r="C209" s="150"/>
      <c r="D209" s="41">
        <f>(D24+D27)/D200</f>
        <v>0.34060003740215328</v>
      </c>
      <c r="E209" s="41">
        <f t="shared" ref="E209:I209" si="77">(E24+E27)/E200</f>
        <v>0.28409954640186341</v>
      </c>
      <c r="F209" s="41">
        <f t="shared" si="77"/>
        <v>0.27306853959796562</v>
      </c>
      <c r="G209" s="41">
        <f t="shared" si="77"/>
        <v>0.26880011220458638</v>
      </c>
      <c r="H209" s="41">
        <f t="shared" si="77"/>
        <v>0.24742428972837965</v>
      </c>
      <c r="I209" s="41">
        <f t="shared" si="77"/>
        <v>0.25496645667242757</v>
      </c>
    </row>
    <row r="210" spans="1:22">
      <c r="A210" s="150"/>
      <c r="B210" s="150"/>
      <c r="C210" s="150"/>
      <c r="D210" s="41"/>
      <c r="E210" s="41"/>
      <c r="F210" s="41"/>
    </row>
    <row r="211" spans="1:22">
      <c r="A211" s="150" t="s">
        <v>193</v>
      </c>
      <c r="B211" s="150"/>
      <c r="C211" s="150"/>
      <c r="D211" s="41">
        <f>D199/D201</f>
        <v>2.417419884963024</v>
      </c>
      <c r="E211" s="41">
        <f t="shared" ref="E211:I211" si="78">E199/E201</f>
        <v>2.3306857972499788</v>
      </c>
      <c r="F211" s="41">
        <f t="shared" si="78"/>
        <v>2.6549526422944143</v>
      </c>
      <c r="G211" s="41">
        <f t="shared" si="78"/>
        <v>2.6152285979886756</v>
      </c>
      <c r="H211" s="41">
        <f t="shared" si="78"/>
        <v>2.5490304709141274</v>
      </c>
      <c r="I211" s="41">
        <f t="shared" si="78"/>
        <v>3.195135261557652</v>
      </c>
    </row>
    <row r="212" spans="1:22">
      <c r="A212" s="150"/>
      <c r="B212" s="150"/>
      <c r="C212" s="150"/>
    </row>
    <row r="213" spans="1:22">
      <c r="A213" s="150" t="s">
        <v>194</v>
      </c>
      <c r="B213" s="150"/>
      <c r="C213" s="150"/>
      <c r="D213">
        <f>D$56+D$53+D$50+D$48</f>
        <v>6514</v>
      </c>
      <c r="E213">
        <f t="shared" ref="E213:I213" si="79">E$56+E$53+E$50+E$48</f>
        <v>6368</v>
      </c>
      <c r="F213">
        <f t="shared" si="79"/>
        <v>7036</v>
      </c>
      <c r="G213">
        <f t="shared" si="79"/>
        <v>8753</v>
      </c>
      <c r="H213">
        <f t="shared" si="79"/>
        <v>11672</v>
      </c>
      <c r="I213">
        <f t="shared" si="79"/>
        <v>6281</v>
      </c>
    </row>
    <row r="214" spans="1:22">
      <c r="A214" s="146"/>
      <c r="B214" s="146"/>
      <c r="C214" s="146"/>
    </row>
    <row r="215" spans="1:22">
      <c r="A215" s="150" t="s">
        <v>195</v>
      </c>
      <c r="B215" s="150"/>
      <c r="C215" s="150"/>
      <c r="D215" s="41">
        <f>(D204-D205)/D213</f>
        <v>1.5715382253607615</v>
      </c>
      <c r="E215" s="41">
        <f t="shared" ref="E215:I215" si="80">(E204-E205)/E213</f>
        <v>1.4045226130653266</v>
      </c>
      <c r="F215" s="41">
        <f t="shared" si="80"/>
        <v>1.3813246162592383</v>
      </c>
      <c r="G215" s="41">
        <f t="shared" si="80"/>
        <v>1.0193076659431053</v>
      </c>
      <c r="H215" s="41">
        <f t="shared" si="80"/>
        <v>0.35717957505140507</v>
      </c>
      <c r="I215" s="41">
        <f t="shared" si="80"/>
        <v>1.2432733641139946</v>
      </c>
    </row>
    <row r="216" spans="1:22">
      <c r="A216" s="150" t="s">
        <v>196</v>
      </c>
      <c r="B216" s="150"/>
      <c r="C216" s="150"/>
      <c r="D216" s="41">
        <f>D204/D213</f>
        <v>1.9571691740865826</v>
      </c>
      <c r="E216" s="41">
        <f t="shared" ref="E216:I216" si="81">E204/E213</f>
        <v>1.8195665829145728</v>
      </c>
      <c r="F216" s="41">
        <f t="shared" si="81"/>
        <v>1.6024729960204662</v>
      </c>
      <c r="G216" s="41">
        <f t="shared" si="81"/>
        <v>1.3137210099394494</v>
      </c>
      <c r="H216" s="41">
        <f t="shared" si="81"/>
        <v>1.0863605209047293</v>
      </c>
      <c r="I216" s="41">
        <f t="shared" si="81"/>
        <v>2.1843655468874381</v>
      </c>
    </row>
    <row r="217" spans="1:22">
      <c r="A217" s="140" t="s">
        <v>197</v>
      </c>
      <c r="B217" s="140"/>
      <c r="C217" s="140"/>
      <c r="D217" s="2"/>
      <c r="E217" s="2"/>
      <c r="F217" s="2"/>
      <c r="G217" s="2"/>
      <c r="H217" s="2"/>
      <c r="I217" s="2"/>
    </row>
    <row r="218" spans="1:22" ht="14.4" customHeight="1">
      <c r="A218" s="140" t="s">
        <v>310</v>
      </c>
      <c r="B218" s="140"/>
      <c r="C218" s="140"/>
      <c r="D218" s="2">
        <v>2017</v>
      </c>
      <c r="E218" s="2">
        <v>2018</v>
      </c>
      <c r="F218" s="2">
        <v>2019</v>
      </c>
      <c r="G218" s="2">
        <v>2020</v>
      </c>
      <c r="H218" s="2">
        <v>2021</v>
      </c>
      <c r="I218" s="2">
        <v>2022</v>
      </c>
      <c r="J218" s="2" t="s">
        <v>198</v>
      </c>
      <c r="K218" s="101"/>
      <c r="L218" s="101"/>
      <c r="M218" s="101"/>
      <c r="N218" s="101"/>
      <c r="O218" s="101"/>
      <c r="P218" s="101"/>
      <c r="Q218" s="101"/>
      <c r="R218" s="101"/>
      <c r="S218" s="101"/>
      <c r="T218" s="101"/>
      <c r="U218" s="101"/>
      <c r="V218" s="101"/>
    </row>
    <row r="219" spans="1:22" ht="14.4" customHeight="1">
      <c r="A219" s="141" t="s">
        <v>61</v>
      </c>
      <c r="B219" s="141"/>
      <c r="C219" s="141"/>
      <c r="J219" s="101"/>
      <c r="K219" s="101"/>
      <c r="L219" s="101"/>
      <c r="M219" s="101"/>
      <c r="N219" s="101"/>
      <c r="O219" s="101"/>
      <c r="P219" s="101"/>
      <c r="Q219" s="101"/>
      <c r="R219" s="101"/>
      <c r="S219" s="101"/>
      <c r="T219" s="101"/>
      <c r="U219" s="101"/>
      <c r="V219" s="101"/>
    </row>
    <row r="220" spans="1:22" ht="14.4" customHeight="1">
      <c r="A220" s="145" t="s">
        <v>62</v>
      </c>
      <c r="B220" s="145"/>
      <c r="C220" s="145"/>
      <c r="D220" s="138">
        <f>D43</f>
        <v>71786</v>
      </c>
      <c r="E220" s="138">
        <f t="shared" ref="E220:I220" si="82">E43</f>
        <v>74433</v>
      </c>
      <c r="F220" s="138">
        <f t="shared" si="82"/>
        <v>77130</v>
      </c>
      <c r="G220" s="138">
        <f t="shared" si="82"/>
        <v>92400</v>
      </c>
      <c r="H220" s="138">
        <f t="shared" si="82"/>
        <v>104611</v>
      </c>
      <c r="I220" s="138">
        <f t="shared" si="82"/>
        <v>107588</v>
      </c>
      <c r="J220" s="137">
        <f>AVERAGE(D220:I220)</f>
        <v>87991.333333333328</v>
      </c>
      <c r="K220" s="101"/>
      <c r="L220" s="101"/>
      <c r="M220" s="101"/>
      <c r="N220" s="101"/>
      <c r="O220" s="101"/>
      <c r="P220" s="101"/>
      <c r="Q220" s="101"/>
      <c r="R220" s="101"/>
      <c r="S220" s="101"/>
      <c r="T220" s="101"/>
      <c r="U220" s="101"/>
      <c r="V220" s="101"/>
    </row>
    <row r="221" spans="1:22" ht="14.4" customHeight="1">
      <c r="A221" s="145" t="s">
        <v>63</v>
      </c>
      <c r="B221" s="145"/>
      <c r="C221" s="145"/>
      <c r="D221" s="138">
        <f>D44</f>
        <v>928</v>
      </c>
      <c r="E221" s="138">
        <f t="shared" ref="E221:I221" si="83">E44</f>
        <v>923</v>
      </c>
      <c r="F221" s="138">
        <f t="shared" si="83"/>
        <v>982</v>
      </c>
      <c r="G221" s="138">
        <f t="shared" si="83"/>
        <v>1161</v>
      </c>
      <c r="H221" s="138">
        <f t="shared" si="83"/>
        <v>1394</v>
      </c>
      <c r="I221" s="138">
        <f t="shared" si="83"/>
        <v>1532</v>
      </c>
      <c r="J221" s="137">
        <f>AVERAGE(D221:I221)</f>
        <v>1153.3333333333333</v>
      </c>
      <c r="K221" s="101"/>
      <c r="L221" s="101"/>
      <c r="M221" s="101"/>
      <c r="N221" s="101"/>
      <c r="O221" s="101"/>
      <c r="P221" s="101"/>
      <c r="Q221" s="101"/>
      <c r="R221" s="101"/>
      <c r="S221" s="101"/>
      <c r="T221" s="101"/>
      <c r="U221" s="101"/>
      <c r="V221" s="101"/>
    </row>
    <row r="222" spans="1:22" ht="14.4" customHeight="1">
      <c r="A222" s="146" t="s">
        <v>199</v>
      </c>
      <c r="B222" s="146"/>
      <c r="C222" s="146"/>
      <c r="D222" s="28" t="s">
        <v>200</v>
      </c>
      <c r="E222" s="28"/>
      <c r="F222" s="28"/>
      <c r="G222" s="4"/>
      <c r="H222" s="4"/>
      <c r="J222" s="101"/>
      <c r="K222" s="101"/>
      <c r="L222" s="101"/>
      <c r="M222" s="101"/>
      <c r="N222" s="101"/>
      <c r="O222" s="101"/>
      <c r="P222" s="101"/>
      <c r="Q222" s="101"/>
      <c r="R222" s="101"/>
      <c r="S222" s="101"/>
      <c r="T222" s="101"/>
      <c r="U222" s="101"/>
      <c r="V222" s="101"/>
    </row>
    <row r="223" spans="1:22">
      <c r="A223" s="145" t="s">
        <v>64</v>
      </c>
      <c r="B223" s="145"/>
      <c r="C223" s="145"/>
      <c r="D223" s="77">
        <f>D117</f>
        <v>72714</v>
      </c>
      <c r="E223" s="77">
        <f t="shared" ref="E223:I223" si="84">E117</f>
        <v>75356</v>
      </c>
      <c r="F223" s="77">
        <f t="shared" si="84"/>
        <v>78112</v>
      </c>
      <c r="G223" s="77">
        <f t="shared" si="84"/>
        <v>93561</v>
      </c>
      <c r="H223" s="77">
        <f t="shared" si="84"/>
        <v>106005</v>
      </c>
      <c r="I223" s="77">
        <f t="shared" si="84"/>
        <v>109120</v>
      </c>
      <c r="J223" s="101"/>
      <c r="K223" s="101"/>
      <c r="L223" s="101"/>
      <c r="M223" s="101"/>
      <c r="N223" s="101"/>
      <c r="O223" s="101"/>
      <c r="P223" s="101"/>
      <c r="Q223" s="101"/>
      <c r="R223" s="101"/>
      <c r="S223" s="101"/>
      <c r="T223" s="101"/>
      <c r="U223" s="101"/>
      <c r="V223" s="101"/>
    </row>
    <row r="224" spans="1:22">
      <c r="A224" s="150" t="s">
        <v>131</v>
      </c>
      <c r="B224" s="150"/>
      <c r="C224" s="150"/>
      <c r="D224" s="28"/>
      <c r="E224" s="98">
        <f>E223/D223-1</f>
        <v>3.6334130978903589E-2</v>
      </c>
      <c r="F224" s="98">
        <f>F223/E223-1</f>
        <v>3.6573066510961372E-2</v>
      </c>
      <c r="G224" s="98">
        <f>G223/F223-1</f>
        <v>0.19778011061040557</v>
      </c>
      <c r="H224" s="98">
        <f t="shared" ref="H224:I224" si="85">H223/G223-1</f>
        <v>0.13300413633885921</v>
      </c>
      <c r="I224" s="98">
        <f t="shared" si="85"/>
        <v>2.9385406348757082E-2</v>
      </c>
      <c r="J224" s="102">
        <f>AVERAGE(E224:I224)</f>
        <v>8.6615370157577365E-2</v>
      </c>
      <c r="K224" s="101"/>
      <c r="L224" s="101"/>
      <c r="M224" s="101"/>
      <c r="N224" s="101"/>
      <c r="O224" s="101"/>
      <c r="P224" s="101"/>
      <c r="Q224" s="101"/>
      <c r="R224" s="101"/>
      <c r="S224" s="101"/>
      <c r="T224" s="101"/>
      <c r="U224" s="101"/>
      <c r="V224" s="101"/>
    </row>
    <row r="225" spans="1:24">
      <c r="A225" s="151"/>
      <c r="B225" s="151"/>
      <c r="C225" s="151"/>
      <c r="D225" s="28"/>
      <c r="E225" s="80"/>
      <c r="F225" s="80"/>
      <c r="G225" s="80"/>
      <c r="H225" s="80"/>
      <c r="I225" s="80"/>
    </row>
    <row r="226" spans="1:24" ht="14.4" customHeight="1">
      <c r="A226" s="145" t="s">
        <v>201</v>
      </c>
      <c r="B226" s="145"/>
      <c r="C226" s="145"/>
      <c r="D226" s="74">
        <f>D121</f>
        <v>-51125</v>
      </c>
      <c r="E226" s="74">
        <f t="shared" ref="E226:I226" si="86">E121</f>
        <v>-53299</v>
      </c>
      <c r="F226" s="74">
        <f t="shared" si="86"/>
        <v>-54864</v>
      </c>
      <c r="G226" s="74">
        <f t="shared" si="86"/>
        <v>-66177</v>
      </c>
      <c r="H226" s="74">
        <f t="shared" si="86"/>
        <v>-74963</v>
      </c>
      <c r="I226" s="74">
        <f t="shared" si="86"/>
        <v>-82229</v>
      </c>
      <c r="L226" s="157" t="s">
        <v>202</v>
      </c>
      <c r="M226" s="157"/>
      <c r="N226" s="157"/>
      <c r="O226" s="157"/>
      <c r="P226" s="157"/>
      <c r="Q226" s="157"/>
      <c r="R226" s="157"/>
      <c r="S226" s="157"/>
      <c r="T226" s="157"/>
      <c r="U226" s="157"/>
    </row>
    <row r="227" spans="1:24">
      <c r="A227" s="151" t="s">
        <v>134</v>
      </c>
      <c r="B227" s="151"/>
      <c r="C227" s="151"/>
      <c r="D227" s="98">
        <f>-D226/D223</f>
        <v>0.70309706521440163</v>
      </c>
      <c r="E227" s="98">
        <f t="shared" ref="E227:I227" si="87">-E226/E223</f>
        <v>0.70729603482138115</v>
      </c>
      <c r="F227" s="98">
        <f t="shared" si="87"/>
        <v>0.70237607537894309</v>
      </c>
      <c r="G227" s="98">
        <f t="shared" si="87"/>
        <v>0.70731394491294453</v>
      </c>
      <c r="H227" s="98">
        <f t="shared" si="87"/>
        <v>0.70716475637941612</v>
      </c>
      <c r="I227" s="98">
        <f t="shared" si="87"/>
        <v>0.75356488269794719</v>
      </c>
      <c r="J227" s="93">
        <f>AVERAGE(D227:I227)</f>
        <v>0.71346879323417234</v>
      </c>
      <c r="L227" s="157"/>
      <c r="M227" s="157"/>
      <c r="N227" s="157"/>
      <c r="O227" s="157"/>
      <c r="P227" s="157"/>
      <c r="Q227" s="157"/>
      <c r="R227" s="157"/>
      <c r="S227" s="157"/>
      <c r="T227" s="157"/>
      <c r="U227" s="157"/>
    </row>
    <row r="228" spans="1:24">
      <c r="A228" s="151" t="s">
        <v>135</v>
      </c>
      <c r="B228" s="151"/>
      <c r="C228" s="151"/>
      <c r="D228" s="83">
        <f>1-D227</f>
        <v>0.29690293478559837</v>
      </c>
      <c r="E228" s="83">
        <f t="shared" ref="E228:I228" si="88">1-E227</f>
        <v>0.29270396517861885</v>
      </c>
      <c r="F228" s="83">
        <f t="shared" si="88"/>
        <v>0.29762392462105691</v>
      </c>
      <c r="G228" s="83">
        <f t="shared" si="88"/>
        <v>0.29268605508705547</v>
      </c>
      <c r="H228" s="83">
        <f t="shared" si="88"/>
        <v>0.29283524362058388</v>
      </c>
      <c r="I228" s="83">
        <f t="shared" si="88"/>
        <v>0.24643511730205281</v>
      </c>
      <c r="J228" s="93">
        <f>AVERAGE(D228:I228)</f>
        <v>0.28653120676582772</v>
      </c>
      <c r="L228" s="157"/>
      <c r="M228" s="157"/>
      <c r="N228" s="157"/>
      <c r="O228" s="157"/>
      <c r="P228" s="157"/>
      <c r="Q228" s="157"/>
      <c r="R228" s="157"/>
      <c r="S228" s="157"/>
      <c r="T228" s="157"/>
      <c r="U228" s="157"/>
    </row>
    <row r="229" spans="1:24">
      <c r="A229" s="151"/>
      <c r="B229" s="151"/>
      <c r="C229" s="151"/>
      <c r="D229" s="28"/>
      <c r="E229" s="28"/>
      <c r="F229" s="28"/>
      <c r="G229" s="4"/>
      <c r="H229" s="4"/>
    </row>
    <row r="230" spans="1:24" ht="14.4" customHeight="1">
      <c r="A230" s="145" t="s">
        <v>203</v>
      </c>
      <c r="B230" s="145"/>
      <c r="C230" s="145"/>
      <c r="D230" s="74">
        <f>-D47</f>
        <v>-15140</v>
      </c>
      <c r="E230" s="74">
        <f t="shared" ref="E230:I230" si="89">-E47</f>
        <v>-15723</v>
      </c>
      <c r="F230" s="74">
        <f t="shared" si="89"/>
        <v>-16233</v>
      </c>
      <c r="G230" s="74">
        <f t="shared" si="89"/>
        <v>-18615</v>
      </c>
      <c r="H230" s="74">
        <f t="shared" si="89"/>
        <v>-19752</v>
      </c>
      <c r="I230" s="74">
        <f t="shared" si="89"/>
        <v>-20658</v>
      </c>
      <c r="L230" s="157" t="s">
        <v>204</v>
      </c>
      <c r="M230" s="157"/>
      <c r="N230" s="157"/>
      <c r="O230" s="157"/>
      <c r="P230" s="157"/>
      <c r="Q230" s="157"/>
      <c r="R230" s="157"/>
      <c r="S230" s="157"/>
      <c r="T230" s="157"/>
      <c r="U230" s="157"/>
      <c r="V230" s="157"/>
      <c r="W230" s="157"/>
      <c r="X230" s="157"/>
    </row>
    <row r="231" spans="1:24">
      <c r="A231" s="151" t="s">
        <v>137</v>
      </c>
      <c r="B231" s="151"/>
      <c r="C231" s="151"/>
      <c r="D231" s="84">
        <f>-D230/D223</f>
        <v>0.20821299887229419</v>
      </c>
      <c r="E231" s="84">
        <f t="shared" ref="E231:I231" si="90">-E230/E223</f>
        <v>0.20864960985190298</v>
      </c>
      <c r="F231" s="84">
        <f t="shared" si="90"/>
        <v>0.20781698074559607</v>
      </c>
      <c r="G231" s="84">
        <f t="shared" si="90"/>
        <v>0.19896110558886715</v>
      </c>
      <c r="H231" s="84">
        <f t="shared" si="90"/>
        <v>0.18633083345125229</v>
      </c>
      <c r="I231" s="84">
        <f t="shared" si="90"/>
        <v>0.18931451612903225</v>
      </c>
      <c r="L231" s="157"/>
      <c r="M231" s="157"/>
      <c r="N231" s="157"/>
      <c r="O231" s="157"/>
      <c r="P231" s="157"/>
      <c r="Q231" s="157"/>
      <c r="R231" s="157"/>
      <c r="S231" s="157"/>
      <c r="T231" s="157"/>
      <c r="U231" s="157"/>
      <c r="V231" s="157"/>
      <c r="W231" s="157"/>
      <c r="X231" s="157"/>
    </row>
    <row r="232" spans="1:24">
      <c r="A232" s="146"/>
      <c r="B232" s="146"/>
      <c r="C232" s="146"/>
      <c r="D232" s="28"/>
      <c r="E232" s="28"/>
      <c r="F232" s="28"/>
      <c r="G232" s="4"/>
      <c r="H232" s="4"/>
      <c r="L232" s="157"/>
      <c r="M232" s="157"/>
      <c r="N232" s="157"/>
      <c r="O232" s="157"/>
      <c r="P232" s="157"/>
      <c r="Q232" s="157"/>
      <c r="R232" s="157"/>
      <c r="S232" s="157"/>
      <c r="T232" s="157"/>
      <c r="U232" s="157"/>
      <c r="V232" s="157"/>
      <c r="W232" s="157"/>
      <c r="X232" s="157"/>
    </row>
    <row r="233" spans="1:24">
      <c r="A233" s="145" t="s">
        <v>205</v>
      </c>
      <c r="B233" s="145"/>
      <c r="C233" s="145"/>
      <c r="D233" s="74">
        <f>-D48</f>
        <v>-2225</v>
      </c>
      <c r="E233" s="74">
        <f t="shared" ref="E233:I233" si="91">-E48</f>
        <v>-2224</v>
      </c>
      <c r="F233" s="74">
        <f t="shared" si="91"/>
        <v>-2357</v>
      </c>
      <c r="G233" s="74">
        <f t="shared" si="91"/>
        <v>-2230</v>
      </c>
      <c r="H233" s="74">
        <f t="shared" si="91"/>
        <v>-2344</v>
      </c>
      <c r="I233" s="74">
        <f t="shared" si="91"/>
        <v>-2385</v>
      </c>
    </row>
    <row r="234" spans="1:24">
      <c r="A234" s="146"/>
      <c r="B234" s="146"/>
      <c r="C234" s="146"/>
      <c r="D234" s="28"/>
      <c r="E234" s="28"/>
      <c r="F234" s="28"/>
      <c r="G234" s="4"/>
      <c r="H234" s="4"/>
    </row>
    <row r="235" spans="1:24">
      <c r="A235" s="145" t="s">
        <v>68</v>
      </c>
      <c r="B235" s="145"/>
      <c r="C235" s="145"/>
      <c r="D235" s="11">
        <f>SUM(D223,D226,D230,D233)</f>
        <v>4224</v>
      </c>
      <c r="E235" s="11">
        <f t="shared" ref="E235:I235" si="92">SUM(E223,E226,E230,E233)</f>
        <v>4110</v>
      </c>
      <c r="F235" s="11">
        <f t="shared" si="92"/>
        <v>4658</v>
      </c>
      <c r="G235" s="11">
        <f t="shared" si="92"/>
        <v>6539</v>
      </c>
      <c r="H235" s="11">
        <f t="shared" si="92"/>
        <v>8946</v>
      </c>
      <c r="I235" s="11">
        <f t="shared" si="92"/>
        <v>3848</v>
      </c>
      <c r="L235" s="158" t="s">
        <v>574</v>
      </c>
      <c r="M235" s="146"/>
      <c r="N235" s="146"/>
      <c r="O235" s="146"/>
      <c r="P235" s="146"/>
      <c r="Q235" s="146"/>
      <c r="R235" s="146"/>
      <c r="S235" s="146"/>
      <c r="T235" s="146"/>
      <c r="U235" s="146"/>
      <c r="V235" s="146"/>
    </row>
    <row r="236" spans="1:24">
      <c r="A236" s="151" t="s">
        <v>206</v>
      </c>
      <c r="B236" s="151"/>
      <c r="C236" s="151"/>
      <c r="D236" s="80">
        <f t="shared" ref="D236:I236" si="93">D235/D223</f>
        <v>5.8090601534780101E-2</v>
      </c>
      <c r="E236" s="80">
        <f t="shared" si="93"/>
        <v>5.4541111523966242E-2</v>
      </c>
      <c r="F236" s="80">
        <f t="shared" si="93"/>
        <v>5.9632322818516999E-2</v>
      </c>
      <c r="G236" s="80">
        <f t="shared" si="93"/>
        <v>6.989023204112825E-2</v>
      </c>
      <c r="H236" s="80">
        <f t="shared" si="93"/>
        <v>8.4392245648790151E-2</v>
      </c>
      <c r="I236" s="80">
        <f t="shared" si="93"/>
        <v>3.5263929618768328E-2</v>
      </c>
      <c r="L236" s="146"/>
      <c r="M236" s="146"/>
      <c r="N236" s="146"/>
      <c r="O236" s="146"/>
      <c r="P236" s="146"/>
      <c r="Q236" s="146"/>
      <c r="R236" s="146"/>
      <c r="S236" s="146"/>
      <c r="T236" s="146"/>
      <c r="U236" s="146"/>
      <c r="V236" s="146"/>
    </row>
    <row r="237" spans="1:24">
      <c r="A237" s="146"/>
      <c r="B237" s="146"/>
      <c r="C237" s="146"/>
      <c r="D237" s="29"/>
      <c r="E237" s="29"/>
      <c r="F237" s="29"/>
      <c r="G237" s="4"/>
      <c r="H237" s="4"/>
      <c r="L237" s="146"/>
      <c r="M237" s="146"/>
      <c r="N237" s="146"/>
      <c r="O237" s="146"/>
      <c r="P237" s="146"/>
      <c r="Q237" s="146"/>
      <c r="R237" s="146"/>
      <c r="S237" s="146"/>
      <c r="T237" s="146"/>
      <c r="U237" s="146"/>
      <c r="V237" s="146"/>
    </row>
    <row r="238" spans="1:24">
      <c r="A238" s="145" t="s">
        <v>69</v>
      </c>
      <c r="B238" s="145"/>
      <c r="C238" s="145"/>
      <c r="D238" s="24">
        <f>-D50</f>
        <v>-653</v>
      </c>
      <c r="E238" s="24">
        <f t="shared" ref="E238:I238" si="94">-E50</f>
        <v>-461</v>
      </c>
      <c r="F238" s="24">
        <f t="shared" si="94"/>
        <v>-477</v>
      </c>
      <c r="G238" s="24">
        <f t="shared" si="94"/>
        <v>-977</v>
      </c>
      <c r="H238" s="24">
        <f t="shared" si="94"/>
        <v>-421</v>
      </c>
      <c r="I238" s="24">
        <f t="shared" si="94"/>
        <v>-478</v>
      </c>
    </row>
    <row r="239" spans="1:24">
      <c r="A239" s="145" t="s">
        <v>207</v>
      </c>
      <c r="B239" s="145"/>
      <c r="C239" s="145"/>
      <c r="D239" s="24">
        <f>-D51</f>
        <v>59</v>
      </c>
      <c r="E239" s="24">
        <f t="shared" ref="E239:I239" si="95">-E51</f>
        <v>27</v>
      </c>
      <c r="F239" s="24">
        <f t="shared" si="95"/>
        <v>9</v>
      </c>
      <c r="G239" s="24">
        <f t="shared" si="95"/>
        <v>-16</v>
      </c>
      <c r="H239" s="24">
        <f t="shared" si="95"/>
        <v>382</v>
      </c>
      <c r="I239" s="24">
        <f t="shared" si="95"/>
        <v>48</v>
      </c>
      <c r="J239" s="12">
        <f>AVERAGE(D239:I239)</f>
        <v>84.833333333333329</v>
      </c>
      <c r="L239" s="158" t="s">
        <v>575</v>
      </c>
      <c r="M239" s="146"/>
      <c r="N239" s="146"/>
      <c r="O239" s="146"/>
      <c r="P239" s="146"/>
      <c r="Q239" s="146"/>
      <c r="R239" s="146"/>
      <c r="S239" s="146"/>
      <c r="T239" s="146"/>
      <c r="U239" s="146"/>
      <c r="V239" s="146"/>
    </row>
    <row r="240" spans="1:24">
      <c r="A240" s="145" t="s">
        <v>208</v>
      </c>
      <c r="B240" s="145"/>
      <c r="C240" s="145"/>
      <c r="D240" s="11">
        <f>D235+D238+D239</f>
        <v>3630</v>
      </c>
      <c r="E240" s="11">
        <f t="shared" ref="E240:I240" si="96">E235+E238+E239</f>
        <v>3676</v>
      </c>
      <c r="F240" s="11">
        <f>F235+F238+F239</f>
        <v>4190</v>
      </c>
      <c r="G240" s="11">
        <f t="shared" si="96"/>
        <v>5546</v>
      </c>
      <c r="H240" s="11">
        <f t="shared" si="96"/>
        <v>8907</v>
      </c>
      <c r="I240" s="11">
        <f t="shared" si="96"/>
        <v>3418</v>
      </c>
      <c r="L240" s="146"/>
      <c r="M240" s="146"/>
      <c r="N240" s="146"/>
      <c r="O240" s="146"/>
      <c r="P240" s="146"/>
      <c r="Q240" s="146"/>
      <c r="R240" s="146"/>
      <c r="S240" s="146"/>
      <c r="T240" s="146"/>
      <c r="U240" s="146"/>
      <c r="V240" s="146"/>
    </row>
    <row r="241" spans="1:22">
      <c r="A241" s="146"/>
      <c r="B241" s="146"/>
      <c r="C241" s="146"/>
      <c r="G241" s="4"/>
      <c r="H241" s="4"/>
      <c r="L241" s="146"/>
      <c r="M241" s="146"/>
      <c r="N241" s="146"/>
      <c r="O241" s="146"/>
      <c r="P241" s="146"/>
      <c r="Q241" s="146"/>
      <c r="R241" s="146"/>
      <c r="S241" s="146"/>
      <c r="T241" s="146"/>
      <c r="U241" s="146"/>
      <c r="V241" s="146"/>
    </row>
    <row r="242" spans="1:22">
      <c r="A242" s="145"/>
      <c r="B242" s="145"/>
      <c r="C242" s="145"/>
      <c r="D242" s="99"/>
      <c r="E242" s="99"/>
      <c r="F242" s="99"/>
      <c r="G242" s="99"/>
      <c r="H242" s="99"/>
      <c r="I242" s="99"/>
    </row>
    <row r="243" spans="1:22">
      <c r="A243" s="145" t="s">
        <v>72</v>
      </c>
      <c r="B243" s="145"/>
      <c r="C243" s="145"/>
      <c r="D243" s="24">
        <f>D138</f>
        <v>-722</v>
      </c>
      <c r="E243" s="24">
        <f t="shared" ref="E243:I243" si="97">E138</f>
        <v>-746</v>
      </c>
      <c r="F243" s="24">
        <f t="shared" si="97"/>
        <v>-921</v>
      </c>
      <c r="G243" s="24">
        <f t="shared" si="97"/>
        <v>-1178</v>
      </c>
      <c r="H243" s="24">
        <f t="shared" si="97"/>
        <v>-1961</v>
      </c>
      <c r="I243" s="24">
        <f t="shared" si="97"/>
        <v>-638</v>
      </c>
      <c r="L243" s="158" t="s">
        <v>576</v>
      </c>
      <c r="M243" s="146"/>
      <c r="N243" s="146"/>
      <c r="O243" s="146"/>
      <c r="P243" s="146"/>
      <c r="Q243" s="146"/>
      <c r="R243" s="146"/>
      <c r="S243" s="146"/>
      <c r="T243" s="146"/>
      <c r="U243" s="146"/>
      <c r="V243" s="146"/>
    </row>
    <row r="244" spans="1:22">
      <c r="A244" s="145" t="s">
        <v>73</v>
      </c>
      <c r="B244" s="145"/>
      <c r="C244" s="145"/>
      <c r="D244" s="11">
        <f>D240+D243</f>
        <v>2908</v>
      </c>
      <c r="E244" s="29">
        <v>2930</v>
      </c>
      <c r="F244" s="29">
        <v>3269</v>
      </c>
      <c r="G244" s="11">
        <f>G240+G243</f>
        <v>4368</v>
      </c>
      <c r="H244" s="29">
        <v>3608</v>
      </c>
      <c r="I244" s="29">
        <v>3947</v>
      </c>
      <c r="L244" s="146"/>
      <c r="M244" s="146"/>
      <c r="N244" s="146"/>
      <c r="O244" s="146"/>
      <c r="P244" s="146"/>
      <c r="Q244" s="146"/>
      <c r="R244" s="146"/>
      <c r="S244" s="146"/>
      <c r="T244" s="146"/>
      <c r="U244" s="146"/>
      <c r="V244" s="146"/>
    </row>
    <row r="245" spans="1:22">
      <c r="A245" s="145" t="s">
        <v>74</v>
      </c>
      <c r="B245" s="145"/>
      <c r="C245" s="145"/>
      <c r="D245" s="28">
        <v>6</v>
      </c>
      <c r="E245" s="28">
        <v>7</v>
      </c>
      <c r="F245" s="28">
        <v>12</v>
      </c>
      <c r="G245" s="12">
        <f>$J$245</f>
        <v>8.3333333333333339</v>
      </c>
      <c r="H245" s="12">
        <f>$J$245</f>
        <v>8.3333333333333339</v>
      </c>
      <c r="I245" s="12">
        <f>$J$245</f>
        <v>8.3333333333333339</v>
      </c>
      <c r="J245" s="4">
        <f>AVERAGE(D245:F245)</f>
        <v>8.3333333333333339</v>
      </c>
      <c r="L245" s="146"/>
      <c r="M245" s="146"/>
      <c r="N245" s="146"/>
      <c r="O245" s="146"/>
      <c r="P245" s="146"/>
      <c r="Q245" s="146"/>
      <c r="R245" s="146"/>
      <c r="S245" s="146"/>
      <c r="T245" s="146"/>
      <c r="U245" s="146"/>
      <c r="V245" s="146"/>
    </row>
    <row r="246" spans="1:22">
      <c r="A246" s="147" t="s">
        <v>75</v>
      </c>
      <c r="B246" s="147"/>
      <c r="C246" s="147"/>
      <c r="D246" s="29">
        <f>SUM(D244:D245)</f>
        <v>2914</v>
      </c>
      <c r="E246" s="29">
        <f>SUM(E244:E245)</f>
        <v>2937</v>
      </c>
      <c r="F246" s="29">
        <f>SUM(F244:F245)</f>
        <v>3281</v>
      </c>
      <c r="G246" s="100">
        <f t="shared" ref="G246:I246" si="98">SUM(G244:G245)</f>
        <v>4376.333333333333</v>
      </c>
      <c r="H246" s="23">
        <f t="shared" si="98"/>
        <v>3616.3333333333335</v>
      </c>
      <c r="I246" s="23">
        <f t="shared" si="98"/>
        <v>3955.3333333333335</v>
      </c>
      <c r="L246" s="146"/>
      <c r="M246" s="146"/>
      <c r="N246" s="146"/>
      <c r="O246" s="146"/>
      <c r="P246" s="146"/>
      <c r="Q246" s="146"/>
      <c r="R246" s="146"/>
      <c r="S246" s="146"/>
      <c r="T246" s="146"/>
      <c r="U246" s="146"/>
      <c r="V246" s="146"/>
    </row>
    <row r="247" spans="1:22">
      <c r="A247" s="152"/>
      <c r="B247" s="152"/>
      <c r="C247" s="152"/>
      <c r="D247" s="29"/>
      <c r="E247" s="29"/>
      <c r="F247" s="29"/>
      <c r="G247" s="4"/>
      <c r="H247" s="4"/>
    </row>
    <row r="248" spans="1:22">
      <c r="A248" s="145" t="s">
        <v>210</v>
      </c>
      <c r="B248" s="145"/>
      <c r="C248" s="145"/>
      <c r="D248" s="28">
        <f>D60</f>
        <v>5.32</v>
      </c>
      <c r="E248" s="28">
        <f t="shared" ref="E248:I248" si="99">E60</f>
        <v>5.55</v>
      </c>
      <c r="F248" s="28">
        <f t="shared" si="99"/>
        <v>6.42</v>
      </c>
      <c r="G248" s="28">
        <f t="shared" si="99"/>
        <v>8.7200000000000006</v>
      </c>
      <c r="H248" s="28">
        <f t="shared" si="99"/>
        <v>14.23</v>
      </c>
      <c r="I248" s="28">
        <f t="shared" si="99"/>
        <v>6.02</v>
      </c>
      <c r="L248" s="154" t="s">
        <v>577</v>
      </c>
      <c r="M248" s="146"/>
      <c r="N248" s="146"/>
      <c r="O248" s="146"/>
      <c r="P248" s="146"/>
      <c r="Q248" s="146"/>
      <c r="R248" s="146"/>
      <c r="S248" s="146"/>
      <c r="T248" s="146"/>
      <c r="U248" s="146"/>
      <c r="V248" s="146"/>
    </row>
    <row r="249" spans="1:22">
      <c r="A249" s="146" t="s">
        <v>211</v>
      </c>
      <c r="B249" s="146"/>
      <c r="C249" s="146"/>
      <c r="D249" s="71">
        <v>10.92</v>
      </c>
      <c r="E249" s="71">
        <v>12.88</v>
      </c>
      <c r="F249" s="71">
        <v>14.012499999999999</v>
      </c>
      <c r="G249" s="71">
        <v>19.565999999999999</v>
      </c>
      <c r="H249" s="41">
        <f>G249+2</f>
        <v>21.565999999999999</v>
      </c>
      <c r="I249" s="41">
        <f>H249+2</f>
        <v>23.565999999999999</v>
      </c>
      <c r="J249" s="41">
        <f>AVERAGE(D249:G249)</f>
        <v>14.344625000000001</v>
      </c>
      <c r="L249" s="146"/>
      <c r="M249" s="146"/>
      <c r="N249" s="146"/>
      <c r="O249" s="146"/>
      <c r="P249" s="146"/>
      <c r="Q249" s="146"/>
      <c r="R249" s="146"/>
      <c r="S249" s="146"/>
      <c r="T249" s="146"/>
      <c r="U249" s="146"/>
      <c r="V249" s="146"/>
    </row>
    <row r="250" spans="1:22">
      <c r="A250" s="146" t="s">
        <v>212</v>
      </c>
      <c r="B250" s="146"/>
      <c r="C250" s="146"/>
      <c r="D250" s="23">
        <f>D248*D249</f>
        <v>58.0944</v>
      </c>
      <c r="E250" s="23">
        <f t="shared" ref="E250:I250" si="100">E248*E249</f>
        <v>71.484000000000009</v>
      </c>
      <c r="F250" s="23">
        <f t="shared" si="100"/>
        <v>89.960249999999988</v>
      </c>
      <c r="G250" s="23">
        <f>G248*G249</f>
        <v>170.61552</v>
      </c>
      <c r="H250" s="23">
        <f t="shared" si="100"/>
        <v>306.88418000000001</v>
      </c>
      <c r="I250" s="23">
        <f t="shared" si="100"/>
        <v>141.86731999999998</v>
      </c>
      <c r="L250" s="146"/>
      <c r="M250" s="146"/>
      <c r="N250" s="146"/>
      <c r="O250" s="146"/>
      <c r="P250" s="146"/>
      <c r="Q250" s="146"/>
      <c r="R250" s="146"/>
      <c r="S250" s="146"/>
      <c r="T250" s="146"/>
      <c r="U250" s="146"/>
      <c r="V250" s="146"/>
    </row>
    <row r="251" spans="1:22">
      <c r="A251" s="146"/>
      <c r="B251" s="146"/>
      <c r="C251" s="146"/>
      <c r="D251" s="28"/>
      <c r="E251" s="28"/>
      <c r="F251" s="28"/>
      <c r="G251" s="41"/>
      <c r="H251" s="41"/>
      <c r="I251" s="41"/>
      <c r="L251" s="146"/>
      <c r="M251" s="146"/>
      <c r="N251" s="146"/>
      <c r="O251" s="146"/>
      <c r="P251" s="146"/>
      <c r="Q251" s="146"/>
      <c r="R251" s="146"/>
      <c r="S251" s="146"/>
      <c r="T251" s="146"/>
      <c r="U251" s="146"/>
      <c r="V251" s="146"/>
    </row>
    <row r="252" spans="1:22">
      <c r="A252" s="146"/>
      <c r="B252" s="146"/>
      <c r="C252" s="146"/>
      <c r="D252" s="28"/>
      <c r="E252" s="28"/>
      <c r="F252" s="28"/>
      <c r="G252" s="41"/>
      <c r="H252" s="41"/>
      <c r="I252" s="41"/>
    </row>
    <row r="253" spans="1:22" ht="14.4" customHeight="1">
      <c r="A253" s="145" t="s">
        <v>213</v>
      </c>
      <c r="B253" s="145"/>
      <c r="C253" s="145"/>
      <c r="D253" s="28">
        <f>D66</f>
        <v>546.79999999999995</v>
      </c>
      <c r="E253" s="28">
        <f t="shared" ref="E253:I253" si="101">E66</f>
        <v>528.6</v>
      </c>
      <c r="F253" s="28">
        <f t="shared" si="101"/>
        <v>510.9</v>
      </c>
      <c r="G253" s="28">
        <f t="shared" si="101"/>
        <v>500.6</v>
      </c>
      <c r="H253" s="28">
        <f t="shared" si="101"/>
        <v>488.1</v>
      </c>
      <c r="I253" s="28">
        <f t="shared" si="101"/>
        <v>462.1</v>
      </c>
      <c r="L253" s="158" t="s">
        <v>578</v>
      </c>
      <c r="M253" s="158"/>
      <c r="N253" s="158"/>
      <c r="O253" s="158"/>
      <c r="P253" s="158"/>
      <c r="Q253" s="158"/>
      <c r="R253" s="158"/>
      <c r="S253" s="158"/>
      <c r="T253" s="158"/>
      <c r="U253" s="158"/>
      <c r="V253" s="158"/>
    </row>
    <row r="254" spans="1:22">
      <c r="A254" s="146"/>
      <c r="B254" s="146"/>
      <c r="C254" s="146"/>
      <c r="G254" s="41"/>
      <c r="H254" s="41"/>
      <c r="L254" s="158"/>
      <c r="M254" s="158"/>
      <c r="N254" s="158"/>
      <c r="O254" s="158"/>
      <c r="P254" s="158"/>
      <c r="Q254" s="158"/>
      <c r="R254" s="158"/>
      <c r="S254" s="158"/>
      <c r="T254" s="158"/>
      <c r="U254" s="158"/>
      <c r="V254" s="158"/>
    </row>
    <row r="255" spans="1:22">
      <c r="A255" s="146" t="s">
        <v>214</v>
      </c>
      <c r="B255" s="146"/>
      <c r="C255" s="146"/>
      <c r="D255">
        <v>2.44</v>
      </c>
      <c r="E255">
        <v>2.52</v>
      </c>
      <c r="F255">
        <v>2.6</v>
      </c>
      <c r="G255">
        <f>$J$255</f>
        <v>2.52</v>
      </c>
      <c r="H255">
        <f>$J$255</f>
        <v>2.52</v>
      </c>
      <c r="I255">
        <f>$J$255</f>
        <v>2.52</v>
      </c>
      <c r="J255">
        <f>AVERAGE(D255:F255)</f>
        <v>2.52</v>
      </c>
      <c r="L255" s="158"/>
      <c r="M255" s="158"/>
      <c r="N255" s="158"/>
      <c r="O255" s="158"/>
      <c r="P255" s="158"/>
      <c r="Q255" s="158"/>
      <c r="R255" s="158"/>
      <c r="S255" s="158"/>
      <c r="T255" s="158"/>
      <c r="U255" s="158"/>
      <c r="V255" s="158"/>
    </row>
    <row r="256" spans="1:22">
      <c r="A256" s="146"/>
      <c r="B256" s="146"/>
      <c r="C256" s="146"/>
      <c r="L256" s="158"/>
      <c r="M256" s="158"/>
      <c r="N256" s="158"/>
      <c r="O256" s="158"/>
      <c r="P256" s="158"/>
      <c r="Q256" s="158"/>
      <c r="R256" s="158"/>
      <c r="S256" s="158"/>
      <c r="T256" s="158"/>
      <c r="U256" s="158"/>
      <c r="V256" s="158"/>
    </row>
    <row r="306" ht="14.4" customHeight="1"/>
    <row r="320" ht="14.4" customHeight="1"/>
    <row r="402" spans="1:3">
      <c r="A402" s="146"/>
      <c r="B402" s="146"/>
      <c r="C402" s="146"/>
    </row>
    <row r="403" spans="1:3">
      <c r="A403" s="146"/>
      <c r="B403" s="146"/>
      <c r="C403" s="146"/>
    </row>
    <row r="441" spans="1:3">
      <c r="A441" s="146"/>
      <c r="B441" s="146"/>
      <c r="C441" s="146"/>
    </row>
    <row r="442" spans="1:3">
      <c r="A442" s="146"/>
      <c r="B442" s="146"/>
      <c r="C442" s="146"/>
    </row>
    <row r="443" spans="1:3">
      <c r="A443" s="146"/>
      <c r="B443" s="146"/>
      <c r="C443" s="146"/>
    </row>
    <row r="444" spans="1:3">
      <c r="A444" s="146"/>
      <c r="B444" s="146"/>
      <c r="C444" s="146"/>
    </row>
    <row r="445" spans="1:3">
      <c r="A445" s="146"/>
      <c r="B445" s="146"/>
      <c r="C445" s="146"/>
    </row>
    <row r="446" spans="1:3">
      <c r="A446" s="146"/>
      <c r="B446" s="146"/>
      <c r="C446" s="146"/>
    </row>
    <row r="447" spans="1:3">
      <c r="A447" s="146"/>
      <c r="B447" s="146"/>
      <c r="C447" s="146"/>
    </row>
    <row r="448" spans="1:3">
      <c r="A448" s="146"/>
      <c r="B448" s="146"/>
      <c r="C448" s="146"/>
    </row>
    <row r="449" spans="1:3">
      <c r="A449" s="146"/>
      <c r="B449" s="146"/>
      <c r="C449" s="146"/>
    </row>
    <row r="450" spans="1:3">
      <c r="A450" s="146"/>
      <c r="B450" s="146"/>
      <c r="C450" s="146"/>
    </row>
    <row r="451" spans="1:3">
      <c r="A451" s="146"/>
      <c r="B451" s="146"/>
      <c r="C451" s="146"/>
    </row>
    <row r="452" spans="1:3">
      <c r="A452" s="146"/>
      <c r="B452" s="146"/>
      <c r="C452" s="146"/>
    </row>
    <row r="453" spans="1:3">
      <c r="A453" s="146"/>
      <c r="B453" s="146"/>
      <c r="C453" s="146"/>
    </row>
    <row r="454" spans="1:3">
      <c r="A454" s="146"/>
      <c r="B454" s="146"/>
      <c r="C454" s="146"/>
    </row>
    <row r="455" spans="1:3">
      <c r="A455" s="146"/>
      <c r="B455" s="146"/>
      <c r="C455" s="146"/>
    </row>
    <row r="456" spans="1:3">
      <c r="A456" s="146"/>
      <c r="B456" s="146"/>
      <c r="C456" s="146"/>
    </row>
    <row r="457" spans="1:3">
      <c r="A457" s="146"/>
      <c r="B457" s="146"/>
      <c r="C457" s="146"/>
    </row>
    <row r="458" spans="1:3">
      <c r="A458" s="146"/>
      <c r="B458" s="146"/>
      <c r="C458" s="146"/>
    </row>
    <row r="459" spans="1:3">
      <c r="A459" s="146"/>
      <c r="B459" s="146"/>
      <c r="C459" s="146"/>
    </row>
    <row r="460" spans="1:3">
      <c r="A460" s="146"/>
      <c r="B460" s="146"/>
      <c r="C460" s="146"/>
    </row>
    <row r="461" spans="1:3">
      <c r="A461" s="146"/>
      <c r="B461" s="146"/>
      <c r="C461" s="146"/>
    </row>
    <row r="462" spans="1:3">
      <c r="A462" s="146"/>
      <c r="B462" s="146"/>
      <c r="C462" s="146"/>
    </row>
    <row r="463" spans="1:3">
      <c r="A463" s="146"/>
      <c r="B463" s="146"/>
      <c r="C463" s="146"/>
    </row>
    <row r="464" spans="1:3">
      <c r="A464" s="146"/>
      <c r="B464" s="146"/>
      <c r="C464" s="146"/>
    </row>
    <row r="465" spans="1:3">
      <c r="A465" s="146"/>
      <c r="B465" s="146"/>
      <c r="C465" s="146"/>
    </row>
    <row r="466" spans="1:3">
      <c r="A466" s="146"/>
      <c r="B466" s="146"/>
      <c r="C466" s="146"/>
    </row>
    <row r="467" spans="1:3">
      <c r="A467" s="146"/>
      <c r="B467" s="146"/>
      <c r="C467" s="146"/>
    </row>
    <row r="468" spans="1:3">
      <c r="A468" s="146"/>
      <c r="B468" s="146"/>
      <c r="C468" s="146"/>
    </row>
    <row r="469" spans="1:3">
      <c r="A469" s="146"/>
      <c r="B469" s="146"/>
      <c r="C469" s="146"/>
    </row>
    <row r="470" spans="1:3">
      <c r="A470" s="146"/>
      <c r="B470" s="146"/>
      <c r="C470" s="146"/>
    </row>
    <row r="471" spans="1:3">
      <c r="A471" s="146"/>
      <c r="B471" s="146"/>
      <c r="C471" s="146"/>
    </row>
    <row r="472" spans="1:3">
      <c r="A472" s="146"/>
      <c r="B472" s="146"/>
      <c r="C472" s="146"/>
    </row>
    <row r="473" spans="1:3">
      <c r="A473" s="146"/>
      <c r="B473" s="146"/>
      <c r="C473" s="146"/>
    </row>
    <row r="474" spans="1:3">
      <c r="A474" s="146"/>
      <c r="B474" s="146"/>
      <c r="C474" s="146"/>
    </row>
    <row r="475" spans="1:3">
      <c r="A475" s="146"/>
      <c r="B475" s="146"/>
      <c r="C475" s="146"/>
    </row>
    <row r="476" spans="1:3">
      <c r="A476" s="146"/>
      <c r="B476" s="146"/>
      <c r="C476" s="146"/>
    </row>
    <row r="477" spans="1:3">
      <c r="A477" s="146"/>
      <c r="B477" s="146"/>
      <c r="C477" s="146"/>
    </row>
    <row r="478" spans="1:3">
      <c r="A478" s="146"/>
      <c r="B478" s="146"/>
      <c r="C478" s="146"/>
    </row>
    <row r="479" spans="1:3">
      <c r="A479" s="146"/>
      <c r="B479" s="146"/>
      <c r="C479" s="146"/>
    </row>
    <row r="480" spans="1:3">
      <c r="A480" s="146"/>
      <c r="B480" s="146"/>
      <c r="C480" s="146"/>
    </row>
  </sheetData>
  <mergeCells count="311">
    <mergeCell ref="Q140:U152"/>
    <mergeCell ref="Q154:U165"/>
    <mergeCell ref="L226:U228"/>
    <mergeCell ref="Q111:U114"/>
    <mergeCell ref="Q116:U127"/>
    <mergeCell ref="Q129:U138"/>
    <mergeCell ref="L235:V237"/>
    <mergeCell ref="Q167:U188"/>
    <mergeCell ref="Q190:U198"/>
    <mergeCell ref="A473:C473"/>
    <mergeCell ref="A474:C474"/>
    <mergeCell ref="A475:C475"/>
    <mergeCell ref="A476:C476"/>
    <mergeCell ref="A477:C477"/>
    <mergeCell ref="A478:C478"/>
    <mergeCell ref="A479:C479"/>
    <mergeCell ref="A480:C480"/>
    <mergeCell ref="L230:X232"/>
    <mergeCell ref="L239:V241"/>
    <mergeCell ref="L243:V246"/>
    <mergeCell ref="L248:V251"/>
    <mergeCell ref="L253:V256"/>
    <mergeCell ref="A464:C464"/>
    <mergeCell ref="A465:C465"/>
    <mergeCell ref="A466:C466"/>
    <mergeCell ref="A467:C467"/>
    <mergeCell ref="A468:C468"/>
    <mergeCell ref="A469:C469"/>
    <mergeCell ref="A470:C470"/>
    <mergeCell ref="A471:C471"/>
    <mergeCell ref="A472:C472"/>
    <mergeCell ref="A455:C455"/>
    <mergeCell ref="A456:C456"/>
    <mergeCell ref="A457:C457"/>
    <mergeCell ref="A458:C458"/>
    <mergeCell ref="A459:C459"/>
    <mergeCell ref="A460:C460"/>
    <mergeCell ref="A461:C461"/>
    <mergeCell ref="A462:C462"/>
    <mergeCell ref="A463:C463"/>
    <mergeCell ref="A446:C446"/>
    <mergeCell ref="A447:C447"/>
    <mergeCell ref="A448:C448"/>
    <mergeCell ref="A449:C449"/>
    <mergeCell ref="A450:C450"/>
    <mergeCell ref="A451:C451"/>
    <mergeCell ref="A452:C452"/>
    <mergeCell ref="A453:C453"/>
    <mergeCell ref="A454:C454"/>
    <mergeCell ref="A441:C441"/>
    <mergeCell ref="A442:C442"/>
    <mergeCell ref="A443:C443"/>
    <mergeCell ref="A444:C444"/>
    <mergeCell ref="A445:C445"/>
    <mergeCell ref="A402:C402"/>
    <mergeCell ref="A403:C403"/>
    <mergeCell ref="A253:C253"/>
    <mergeCell ref="A254:C254"/>
    <mergeCell ref="A255:C255"/>
    <mergeCell ref="A256:C256"/>
    <mergeCell ref="A244:C244"/>
    <mergeCell ref="A245:C245"/>
    <mergeCell ref="A246:C246"/>
    <mergeCell ref="A247:C247"/>
    <mergeCell ref="A248:C248"/>
    <mergeCell ref="A249:C249"/>
    <mergeCell ref="A250:C250"/>
    <mergeCell ref="A251:C251"/>
    <mergeCell ref="A252:C252"/>
    <mergeCell ref="A236:C236"/>
    <mergeCell ref="A237:C237"/>
    <mergeCell ref="A238:C238"/>
    <mergeCell ref="A239:C239"/>
    <mergeCell ref="A240:C240"/>
    <mergeCell ref="A241:C241"/>
    <mergeCell ref="A242:C242"/>
    <mergeCell ref="A243:C243"/>
    <mergeCell ref="A227:C227"/>
    <mergeCell ref="A228:C228"/>
    <mergeCell ref="A229:C229"/>
    <mergeCell ref="A230:C230"/>
    <mergeCell ref="A231:C231"/>
    <mergeCell ref="A232:C232"/>
    <mergeCell ref="A233:C233"/>
    <mergeCell ref="A234:C234"/>
    <mergeCell ref="A235:C235"/>
    <mergeCell ref="A218:C218"/>
    <mergeCell ref="A219:C219"/>
    <mergeCell ref="A220:C220"/>
    <mergeCell ref="A221:C221"/>
    <mergeCell ref="A222:C222"/>
    <mergeCell ref="A223:C223"/>
    <mergeCell ref="A224:C224"/>
    <mergeCell ref="A225:C225"/>
    <mergeCell ref="A226:C226"/>
    <mergeCell ref="A209:C209"/>
    <mergeCell ref="A210:C210"/>
    <mergeCell ref="A211:C211"/>
    <mergeCell ref="A212:C212"/>
    <mergeCell ref="A213:C213"/>
    <mergeCell ref="A214:C214"/>
    <mergeCell ref="A215:C215"/>
    <mergeCell ref="A216:C216"/>
    <mergeCell ref="A217:C217"/>
    <mergeCell ref="A200:C200"/>
    <mergeCell ref="A201:C201"/>
    <mergeCell ref="A202:C202"/>
    <mergeCell ref="A203:C203"/>
    <mergeCell ref="A204:C204"/>
    <mergeCell ref="A205:C205"/>
    <mergeCell ref="A206:C206"/>
    <mergeCell ref="A207:C207"/>
    <mergeCell ref="A208:C208"/>
    <mergeCell ref="A191:C191"/>
    <mergeCell ref="A192:C192"/>
    <mergeCell ref="A193:C193"/>
    <mergeCell ref="A194:C194"/>
    <mergeCell ref="A195:C195"/>
    <mergeCell ref="A196:C196"/>
    <mergeCell ref="A197:C197"/>
    <mergeCell ref="A198:C198"/>
    <mergeCell ref="A199:C199"/>
    <mergeCell ref="A182:C182"/>
    <mergeCell ref="A183:C183"/>
    <mergeCell ref="A184:C184"/>
    <mergeCell ref="A185:C185"/>
    <mergeCell ref="A186:C186"/>
    <mergeCell ref="A187:C187"/>
    <mergeCell ref="A188:C188"/>
    <mergeCell ref="A189:C189"/>
    <mergeCell ref="A190:C190"/>
    <mergeCell ref="A173:C173"/>
    <mergeCell ref="A174:C174"/>
    <mergeCell ref="A175:C175"/>
    <mergeCell ref="A176:C176"/>
    <mergeCell ref="A177:C177"/>
    <mergeCell ref="A178:C178"/>
    <mergeCell ref="A179:C179"/>
    <mergeCell ref="A180:C180"/>
    <mergeCell ref="A181:C181"/>
    <mergeCell ref="A164:C164"/>
    <mergeCell ref="A165:C165"/>
    <mergeCell ref="A166:C166"/>
    <mergeCell ref="A167:C167"/>
    <mergeCell ref="A168:C168"/>
    <mergeCell ref="A169:C169"/>
    <mergeCell ref="A170:C170"/>
    <mergeCell ref="A171:C171"/>
    <mergeCell ref="A172:C172"/>
    <mergeCell ref="A155:C155"/>
    <mergeCell ref="A156:C156"/>
    <mergeCell ref="A157:C157"/>
    <mergeCell ref="A158:C158"/>
    <mergeCell ref="A159:C159"/>
    <mergeCell ref="A160:C160"/>
    <mergeCell ref="A161:C161"/>
    <mergeCell ref="A162:C162"/>
    <mergeCell ref="A163:C163"/>
    <mergeCell ref="A146:C146"/>
    <mergeCell ref="A147:C147"/>
    <mergeCell ref="A148:C148"/>
    <mergeCell ref="A149:C149"/>
    <mergeCell ref="A150:C150"/>
    <mergeCell ref="A151:C151"/>
    <mergeCell ref="A152:C152"/>
    <mergeCell ref="A153:C153"/>
    <mergeCell ref="A154:C154"/>
    <mergeCell ref="A137:C137"/>
    <mergeCell ref="A138:C138"/>
    <mergeCell ref="A139:C139"/>
    <mergeCell ref="A140:C140"/>
    <mergeCell ref="A141:C141"/>
    <mergeCell ref="A142:C142"/>
    <mergeCell ref="A143:C143"/>
    <mergeCell ref="A144:C144"/>
    <mergeCell ref="A145:C145"/>
    <mergeCell ref="A128:C128"/>
    <mergeCell ref="A129:C129"/>
    <mergeCell ref="A130:C130"/>
    <mergeCell ref="A131:C131"/>
    <mergeCell ref="A132:C132"/>
    <mergeCell ref="A133:C133"/>
    <mergeCell ref="A134:C134"/>
    <mergeCell ref="A135:C135"/>
    <mergeCell ref="A136:C136"/>
    <mergeCell ref="A119:C119"/>
    <mergeCell ref="A120:C120"/>
    <mergeCell ref="A121:C121"/>
    <mergeCell ref="A122:C122"/>
    <mergeCell ref="A123:C123"/>
    <mergeCell ref="A124:C124"/>
    <mergeCell ref="A125:C125"/>
    <mergeCell ref="A126:C126"/>
    <mergeCell ref="A127:C127"/>
    <mergeCell ref="A110:C110"/>
    <mergeCell ref="A111:C111"/>
    <mergeCell ref="A112:C112"/>
    <mergeCell ref="A113:C113"/>
    <mergeCell ref="A114:C114"/>
    <mergeCell ref="A115:C115"/>
    <mergeCell ref="A116:C116"/>
    <mergeCell ref="A117:C117"/>
    <mergeCell ref="A118:C118"/>
    <mergeCell ref="A101:C101"/>
    <mergeCell ref="A102:C102"/>
    <mergeCell ref="A103:C103"/>
    <mergeCell ref="A104:C104"/>
    <mergeCell ref="A105:C105"/>
    <mergeCell ref="A106:C106"/>
    <mergeCell ref="A107:C107"/>
    <mergeCell ref="A108:C108"/>
    <mergeCell ref="A109:C109"/>
    <mergeCell ref="A92:C92"/>
    <mergeCell ref="A93:C93"/>
    <mergeCell ref="A94:C94"/>
    <mergeCell ref="A95:C95"/>
    <mergeCell ref="A96:C96"/>
    <mergeCell ref="A97:C97"/>
    <mergeCell ref="A98:C98"/>
    <mergeCell ref="A99:C99"/>
    <mergeCell ref="A100:C100"/>
    <mergeCell ref="A83:C83"/>
    <mergeCell ref="A84:C84"/>
    <mergeCell ref="A85:C85"/>
    <mergeCell ref="A86:C86"/>
    <mergeCell ref="A87:C87"/>
    <mergeCell ref="A88:C88"/>
    <mergeCell ref="A89:C89"/>
    <mergeCell ref="A90:C90"/>
    <mergeCell ref="A91:C91"/>
    <mergeCell ref="A74:C74"/>
    <mergeCell ref="A75:C75"/>
    <mergeCell ref="A76:C76"/>
    <mergeCell ref="A77:C77"/>
    <mergeCell ref="A78:C78"/>
    <mergeCell ref="A79:C79"/>
    <mergeCell ref="A80:C80"/>
    <mergeCell ref="A81:C81"/>
    <mergeCell ref="A82:C82"/>
    <mergeCell ref="A65:C65"/>
    <mergeCell ref="A66:C66"/>
    <mergeCell ref="A67:C67"/>
    <mergeCell ref="A68:C68"/>
    <mergeCell ref="A69:C69"/>
    <mergeCell ref="A70:C70"/>
    <mergeCell ref="A71:C71"/>
    <mergeCell ref="A72:C72"/>
    <mergeCell ref="A73:C73"/>
    <mergeCell ref="A56:C56"/>
    <mergeCell ref="A57:C57"/>
    <mergeCell ref="A58:C58"/>
    <mergeCell ref="A59:C59"/>
    <mergeCell ref="A60:C60"/>
    <mergeCell ref="A61:C61"/>
    <mergeCell ref="A62:C62"/>
    <mergeCell ref="A63:C63"/>
    <mergeCell ref="A64:C64"/>
    <mergeCell ref="A47:C47"/>
    <mergeCell ref="A48:C48"/>
    <mergeCell ref="A49:C49"/>
    <mergeCell ref="A50:C50"/>
    <mergeCell ref="A51:C51"/>
    <mergeCell ref="A52:C52"/>
    <mergeCell ref="A53:C53"/>
    <mergeCell ref="A54:C54"/>
    <mergeCell ref="A55:C55"/>
    <mergeCell ref="A37:C37"/>
    <mergeCell ref="A38:C38"/>
    <mergeCell ref="A39:C39"/>
    <mergeCell ref="A41:C41"/>
    <mergeCell ref="A42:C42"/>
    <mergeCell ref="A43:C43"/>
    <mergeCell ref="A44:C44"/>
    <mergeCell ref="A45:C45"/>
    <mergeCell ref="A46:C46"/>
    <mergeCell ref="A28:C28"/>
    <mergeCell ref="A29:C29"/>
    <mergeCell ref="A30:C30"/>
    <mergeCell ref="A31:C31"/>
    <mergeCell ref="A32:C32"/>
    <mergeCell ref="A33:C33"/>
    <mergeCell ref="A34:C34"/>
    <mergeCell ref="A35:C35"/>
    <mergeCell ref="A36:C36"/>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C1"/>
    <mergeCell ref="A2:C2"/>
    <mergeCell ref="A3:C3"/>
    <mergeCell ref="A4:C4"/>
    <mergeCell ref="A5:C5"/>
    <mergeCell ref="A6:C6"/>
    <mergeCell ref="A7:C7"/>
    <mergeCell ref="A8:C8"/>
    <mergeCell ref="A9:C9"/>
  </mergeCells>
  <pageMargins left="0.69930555555555596" right="0.69930555555555596"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2"/>
  <sheetViews>
    <sheetView zoomScale="99" zoomScaleNormal="130" workbookViewId="0">
      <selection activeCell="E7" sqref="E7:J11"/>
    </sheetView>
  </sheetViews>
  <sheetFormatPr defaultColWidth="9" defaultRowHeight="14.6"/>
  <cols>
    <col min="1" max="1" width="15.53515625" customWidth="1"/>
    <col min="2" max="2" width="6.765625" customWidth="1"/>
    <col min="3" max="3" width="4.15234375" customWidth="1"/>
    <col min="4" max="4" width="12.3828125" customWidth="1"/>
    <col min="5" max="5" width="21.07421875" customWidth="1"/>
    <col min="6" max="6" width="22.15234375" bestFit="1" customWidth="1"/>
    <col min="7" max="8" width="10.3828125" customWidth="1"/>
    <col min="9" max="9" width="11.23046875" customWidth="1"/>
    <col min="10" max="10" width="17.3828125" customWidth="1"/>
    <col min="11" max="11" width="11.3046875" customWidth="1"/>
    <col min="12" max="12" width="16.765625" customWidth="1"/>
    <col min="13" max="13" width="13.765625" customWidth="1"/>
    <col min="14" max="14" width="18.84375" customWidth="1"/>
    <col min="15" max="15" width="9.921875" hidden="1" customWidth="1"/>
    <col min="16" max="16" width="16.07421875" hidden="1" customWidth="1"/>
    <col min="17" max="17" width="9.69140625" customWidth="1"/>
    <col min="19" max="19" width="9.84375" customWidth="1"/>
  </cols>
  <sheetData>
    <row r="1" spans="1:22">
      <c r="A1" s="140" t="s">
        <v>256</v>
      </c>
      <c r="B1" s="140"/>
      <c r="C1" s="140"/>
      <c r="D1" s="2" t="s">
        <v>257</v>
      </c>
      <c r="E1" s="2" t="s">
        <v>258</v>
      </c>
      <c r="F1" s="2" t="s">
        <v>259</v>
      </c>
      <c r="G1" s="2" t="s">
        <v>190</v>
      </c>
      <c r="H1" s="2" t="s">
        <v>260</v>
      </c>
      <c r="I1" s="2" t="s">
        <v>261</v>
      </c>
      <c r="J1" s="2" t="s">
        <v>262</v>
      </c>
      <c r="K1" s="2" t="s">
        <v>263</v>
      </c>
      <c r="L1" s="2" t="s">
        <v>264</v>
      </c>
      <c r="M1" s="2" t="s">
        <v>265</v>
      </c>
      <c r="N1" s="2" t="s">
        <v>266</v>
      </c>
      <c r="O1" s="2" t="s">
        <v>267</v>
      </c>
      <c r="P1" s="2" t="s">
        <v>268</v>
      </c>
      <c r="Q1" s="2" t="s">
        <v>269</v>
      </c>
      <c r="R1" s="2" t="s">
        <v>194</v>
      </c>
      <c r="S1" s="2" t="s">
        <v>270</v>
      </c>
      <c r="T1" s="2" t="s">
        <v>211</v>
      </c>
    </row>
    <row r="2" spans="1:22">
      <c r="A2" s="146" t="s">
        <v>271</v>
      </c>
      <c r="B2" s="146"/>
      <c r="C2" s="146"/>
      <c r="D2" t="s">
        <v>272</v>
      </c>
      <c r="E2" s="6">
        <f>441228027</f>
        <v>441228027</v>
      </c>
      <c r="F2">
        <v>371.8</v>
      </c>
      <c r="G2" s="94">
        <f>96+7529</f>
        <v>7625</v>
      </c>
      <c r="H2" s="94">
        <v>13590</v>
      </c>
      <c r="I2" s="94">
        <v>0.67</v>
      </c>
      <c r="J2" s="95">
        <f>E2*F2/1000000</f>
        <v>164048.58043860001</v>
      </c>
      <c r="K2" s="39">
        <f>G2/J2</f>
        <v>4.6480133992100464E-2</v>
      </c>
      <c r="L2" s="39">
        <v>0.2437</v>
      </c>
      <c r="M2" s="41">
        <f>I2*(1+K2*(1-L2))</f>
        <v>0.69355245997661119</v>
      </c>
      <c r="P2" s="94">
        <v>4002</v>
      </c>
      <c r="Q2" s="4">
        <f>J2+G2-H2</f>
        <v>158083.58043860001</v>
      </c>
      <c r="R2" s="29">
        <v>8386</v>
      </c>
      <c r="S2" s="41">
        <f>Q2/R2</f>
        <v>18.850892015096591</v>
      </c>
      <c r="T2" s="54">
        <f>J2/P2</f>
        <v>40.991649285007497</v>
      </c>
    </row>
    <row r="3" spans="1:22">
      <c r="A3" s="146" t="s">
        <v>273</v>
      </c>
      <c r="B3" s="146"/>
      <c r="C3" s="146"/>
      <c r="D3" t="s">
        <v>274</v>
      </c>
      <c r="E3" s="6">
        <f>2832277220</f>
        <v>2832277220</v>
      </c>
      <c r="F3">
        <v>145.58000000000001</v>
      </c>
      <c r="G3" s="94">
        <f>4358+40849</f>
        <v>45207</v>
      </c>
      <c r="H3" s="94">
        <v>14325</v>
      </c>
      <c r="I3" s="94">
        <v>0.44</v>
      </c>
      <c r="J3" s="95">
        <f>E3*F3/1000000</f>
        <v>412322.91768760001</v>
      </c>
      <c r="K3" s="39">
        <f>G3/J3</f>
        <v>0.10963979458995649</v>
      </c>
      <c r="L3" s="39">
        <v>0.26900000000000002</v>
      </c>
      <c r="M3" s="41">
        <f>I3*(1+K3*(1-L3))</f>
        <v>0.47526454353191366</v>
      </c>
      <c r="N3" s="94">
        <v>22383</v>
      </c>
      <c r="O3" s="94">
        <v>11161</v>
      </c>
      <c r="P3" s="94">
        <v>20008</v>
      </c>
      <c r="Q3" s="4">
        <f>J3+G3-H3</f>
        <v>443204.91768760001</v>
      </c>
      <c r="R3">
        <f>SUM(N3:O3)</f>
        <v>33544</v>
      </c>
      <c r="S3" s="41">
        <f>Q3/R3</f>
        <v>13.212643622931076</v>
      </c>
      <c r="T3" s="41">
        <f>J3/P3</f>
        <v>20.607902723290685</v>
      </c>
    </row>
    <row r="4" spans="1:22">
      <c r="A4" s="146" t="s">
        <v>275</v>
      </c>
      <c r="B4" s="146"/>
      <c r="C4" s="146"/>
      <c r="D4" t="s">
        <v>276</v>
      </c>
      <c r="E4" s="6">
        <f>498525023</f>
        <v>498525023</v>
      </c>
      <c r="F4">
        <v>3165.12</v>
      </c>
      <c r="G4" s="94">
        <v>23414</v>
      </c>
      <c r="H4" s="94">
        <v>37842</v>
      </c>
      <c r="I4" s="94">
        <v>1.2</v>
      </c>
      <c r="J4" s="95">
        <f>E4*F4/1000000</f>
        <v>1577891.52079776</v>
      </c>
      <c r="K4" s="39">
        <f>G4/J4</f>
        <v>1.4838789417007709E-2</v>
      </c>
      <c r="L4" s="39">
        <v>8.3599999999999994E-2</v>
      </c>
      <c r="M4" s="41">
        <f>I4*(1+K4*(1-L4))</f>
        <v>1.2163179199460949</v>
      </c>
      <c r="N4">
        <f>244483+66824</f>
        <v>311307</v>
      </c>
      <c r="O4" s="94">
        <f>23803</f>
        <v>23803</v>
      </c>
      <c r="P4" s="94">
        <v>17377</v>
      </c>
      <c r="Q4" s="4">
        <f>J4+G4-H4</f>
        <v>1563463.52079776</v>
      </c>
      <c r="R4">
        <f>SUM(N4:O4)</f>
        <v>335110</v>
      </c>
      <c r="S4" s="41">
        <f>Q4/R4</f>
        <v>4.6655233230812572</v>
      </c>
      <c r="T4" s="41">
        <f>J4/P4</f>
        <v>90.80344828208321</v>
      </c>
    </row>
    <row r="5" spans="1:22">
      <c r="A5" s="146" t="s">
        <v>277</v>
      </c>
      <c r="B5" s="146"/>
      <c r="C5" s="146"/>
      <c r="D5" t="s">
        <v>278</v>
      </c>
      <c r="E5" s="6">
        <v>865915666</v>
      </c>
      <c r="F5">
        <v>41.33</v>
      </c>
      <c r="G5" s="94">
        <f>12111-5996</f>
        <v>6115</v>
      </c>
      <c r="H5" s="94">
        <v>768</v>
      </c>
      <c r="I5" s="94">
        <v>0.5</v>
      </c>
      <c r="J5" s="95">
        <f>E5*F5/1000000</f>
        <v>35788.29447578</v>
      </c>
      <c r="K5" s="39">
        <f>G5/J5</f>
        <v>0.17086592388856006</v>
      </c>
      <c r="L5" s="40">
        <v>0.155</v>
      </c>
      <c r="M5" s="41">
        <f>I5*(1+K5*(1-L5))</f>
        <v>0.5721908528429166</v>
      </c>
      <c r="N5" s="94">
        <v>1944</v>
      </c>
      <c r="O5" s="94">
        <v>2038</v>
      </c>
      <c r="P5" s="94">
        <v>1284</v>
      </c>
      <c r="Q5" s="4">
        <f>J5+G5-H5</f>
        <v>41135.29447578</v>
      </c>
      <c r="R5">
        <f>SUM(N5:O5)</f>
        <v>3982</v>
      </c>
      <c r="S5" s="41">
        <f>Q5/R5</f>
        <v>10.330310014008036</v>
      </c>
      <c r="T5" s="41">
        <f>J5/P5</f>
        <v>27.872503485809968</v>
      </c>
    </row>
    <row r="6" spans="1:22">
      <c r="A6" s="146" t="s">
        <v>198</v>
      </c>
      <c r="B6" s="146"/>
      <c r="C6" s="146"/>
      <c r="M6" s="41">
        <f>AVERAGE(M2:M5)</f>
        <v>0.73933144407438411</v>
      </c>
      <c r="S6" s="41">
        <f>AVERAGE(S2:S5)</f>
        <v>11.76484224377924</v>
      </c>
      <c r="T6" s="41">
        <f>AVERAGE(T2:T5)</f>
        <v>45.068875944047839</v>
      </c>
      <c r="U6" s="54">
        <f>AVERAGE(T2,T3,T5)</f>
        <v>29.82401849803605</v>
      </c>
    </row>
    <row r="7" spans="1:22" ht="14.4" customHeight="1">
      <c r="A7" s="146"/>
      <c r="B7" s="146"/>
      <c r="C7" s="146"/>
      <c r="E7" s="158" t="s">
        <v>585</v>
      </c>
      <c r="F7" s="146"/>
      <c r="G7" s="146"/>
      <c r="H7" s="146"/>
      <c r="I7" s="146"/>
      <c r="J7" s="146"/>
    </row>
    <row r="8" spans="1:22">
      <c r="A8" s="146"/>
      <c r="B8" s="146"/>
      <c r="C8" s="146"/>
      <c r="E8" s="146"/>
      <c r="F8" s="146"/>
      <c r="G8" s="146"/>
      <c r="H8" s="146"/>
      <c r="I8" s="146"/>
      <c r="J8" s="146"/>
    </row>
    <row r="9" spans="1:22">
      <c r="A9" s="146"/>
      <c r="B9" s="146"/>
      <c r="C9" s="146"/>
      <c r="E9" s="146"/>
      <c r="F9" s="146"/>
      <c r="G9" s="146"/>
      <c r="H9" s="146"/>
      <c r="I9" s="146"/>
      <c r="J9" s="146"/>
    </row>
    <row r="10" spans="1:22">
      <c r="A10" s="146"/>
      <c r="B10" s="146"/>
      <c r="C10" s="146"/>
      <c r="E10" s="146"/>
      <c r="F10" s="146"/>
      <c r="G10" s="146"/>
      <c r="H10" s="146"/>
      <c r="I10" s="146"/>
      <c r="J10" s="146"/>
    </row>
    <row r="11" spans="1:22">
      <c r="A11" s="146"/>
      <c r="B11" s="146"/>
      <c r="C11" s="146"/>
      <c r="E11" s="146"/>
      <c r="F11" s="146"/>
      <c r="G11" s="146"/>
      <c r="H11" s="146"/>
      <c r="I11" s="146"/>
      <c r="J11" s="146"/>
    </row>
    <row r="12" spans="1:22">
      <c r="A12" s="146"/>
      <c r="B12" s="146"/>
      <c r="C12" s="146"/>
    </row>
    <row r="13" spans="1:22">
      <c r="A13" s="146" t="s">
        <v>279</v>
      </c>
      <c r="B13" s="146"/>
      <c r="C13" s="146"/>
      <c r="D13" t="s">
        <v>280</v>
      </c>
      <c r="E13" s="6">
        <f>500961951</f>
        <v>500961951</v>
      </c>
      <c r="F13">
        <v>171.41</v>
      </c>
      <c r="G13" s="94">
        <f>131+12490</f>
        <v>12621</v>
      </c>
      <c r="H13" s="94">
        <v>5996</v>
      </c>
      <c r="I13" s="41">
        <f>M6*(1+K13*(1-L13))</f>
        <v>0.84799703536280646</v>
      </c>
      <c r="J13" s="4">
        <f>E13*F13/1000000</f>
        <v>85869.888020910003</v>
      </c>
      <c r="K13" s="39">
        <f>G13/J13</f>
        <v>0.14697818165230034</v>
      </c>
      <c r="L13" s="40">
        <f>'Part 1,3'!G242</f>
        <v>0</v>
      </c>
      <c r="O13">
        <f>1848+637</f>
        <v>2485</v>
      </c>
      <c r="P13" s="94">
        <v>3268</v>
      </c>
      <c r="Q13">
        <f>P13*T6</f>
        <v>147285.08658514832</v>
      </c>
      <c r="R13">
        <f>'Part 1,3'!F213</f>
        <v>7036</v>
      </c>
      <c r="U13" t="s">
        <v>154</v>
      </c>
      <c r="V13" s="4">
        <f>Q13/E14</f>
        <v>294.00453725306642</v>
      </c>
    </row>
    <row r="14" spans="1:22">
      <c r="E14" s="4">
        <f>E13/1000000</f>
        <v>500.961951</v>
      </c>
      <c r="U14" t="s">
        <v>154</v>
      </c>
      <c r="V14" s="4">
        <f>U6*P13/E14</f>
        <v>194.55547922756674</v>
      </c>
    </row>
    <row r="15" spans="1:22" ht="14.4" customHeight="1">
      <c r="A15" t="s">
        <v>281</v>
      </c>
      <c r="B15" s="38">
        <v>9.1999999999999998E-3</v>
      </c>
      <c r="D15" s="1" t="s">
        <v>282</v>
      </c>
      <c r="F15" s="158" t="s">
        <v>583</v>
      </c>
      <c r="G15" s="146"/>
      <c r="J15" s="158" t="s">
        <v>586</v>
      </c>
      <c r="K15" s="158"/>
      <c r="L15" s="158"/>
      <c r="M15" s="158"/>
      <c r="N15" s="158"/>
      <c r="O15" s="158"/>
      <c r="P15" s="158"/>
      <c r="Q15" s="158"/>
      <c r="R15" s="106"/>
    </row>
    <row r="16" spans="1:22">
      <c r="A16" t="s">
        <v>283</v>
      </c>
      <c r="B16" s="92">
        <v>7.1999999999999995E-2</v>
      </c>
      <c r="D16" t="s">
        <v>284</v>
      </c>
      <c r="E16" s="39" t="e">
        <f>'Part 1,3'!#REF!</f>
        <v>#REF!</v>
      </c>
      <c r="F16" s="146"/>
      <c r="G16" s="146"/>
      <c r="J16" s="158"/>
      <c r="K16" s="158"/>
      <c r="L16" s="158"/>
      <c r="M16" s="158"/>
      <c r="N16" s="158"/>
      <c r="O16" s="158"/>
      <c r="P16" s="158"/>
      <c r="Q16" s="158"/>
      <c r="R16" s="106"/>
    </row>
    <row r="17" spans="1:19">
      <c r="A17" t="s">
        <v>285</v>
      </c>
      <c r="B17" s="39">
        <f>B15+(B16*I13)</f>
        <v>7.0255786546122051E-2</v>
      </c>
      <c r="D17" t="s">
        <v>286</v>
      </c>
      <c r="E17" s="40">
        <f>'Part 1,3'!G242</f>
        <v>0</v>
      </c>
      <c r="F17" s="146"/>
      <c r="G17" s="146"/>
      <c r="J17" s="158"/>
      <c r="K17" s="158"/>
      <c r="L17" s="158"/>
      <c r="M17" s="158"/>
      <c r="N17" s="158"/>
      <c r="O17" s="158"/>
      <c r="P17" s="158"/>
      <c r="Q17" s="158"/>
      <c r="R17" s="106"/>
    </row>
    <row r="18" spans="1:19">
      <c r="A18" s="158" t="s">
        <v>584</v>
      </c>
      <c r="B18" s="146"/>
      <c r="D18" t="s">
        <v>287</v>
      </c>
      <c r="E18" s="39">
        <f>G13/(G13+J13)</f>
        <v>0.12814383394858325</v>
      </c>
      <c r="F18" s="146"/>
      <c r="G18" s="146"/>
      <c r="J18" s="158"/>
      <c r="K18" s="158"/>
      <c r="L18" s="158"/>
      <c r="M18" s="158"/>
      <c r="N18" s="158"/>
      <c r="O18" s="158"/>
      <c r="P18" s="158"/>
      <c r="Q18" s="158"/>
      <c r="R18" s="106"/>
    </row>
    <row r="19" spans="1:19">
      <c r="A19" s="146"/>
      <c r="B19" s="146"/>
      <c r="D19" t="s">
        <v>288</v>
      </c>
      <c r="E19" s="93" t="e">
        <f>E16*(1-E17)*E18</f>
        <v>#REF!</v>
      </c>
      <c r="F19" s="146"/>
      <c r="G19" s="146"/>
      <c r="H19" s="107"/>
      <c r="J19" s="158"/>
      <c r="K19" s="158"/>
      <c r="L19" s="158"/>
      <c r="M19" s="158"/>
      <c r="N19" s="158"/>
      <c r="O19" s="158"/>
      <c r="P19" s="158"/>
      <c r="Q19" s="158"/>
      <c r="R19" s="106"/>
    </row>
    <row r="20" spans="1:19">
      <c r="A20" s="146"/>
      <c r="B20" s="146"/>
      <c r="D20" t="s">
        <v>289</v>
      </c>
      <c r="E20" s="40">
        <f>B17</f>
        <v>7.0255786546122051E-2</v>
      </c>
      <c r="F20" s="146"/>
      <c r="G20" s="146"/>
      <c r="J20" s="158"/>
      <c r="K20" s="158"/>
      <c r="L20" s="158"/>
      <c r="M20" s="158"/>
      <c r="N20" s="158"/>
      <c r="O20" s="158"/>
      <c r="P20" s="158"/>
      <c r="Q20" s="158"/>
    </row>
    <row r="21" spans="1:19">
      <c r="A21" s="146"/>
      <c r="B21" s="146"/>
      <c r="D21" t="s">
        <v>290</v>
      </c>
      <c r="E21" s="40">
        <f>1-E18</f>
        <v>0.8718561660514168</v>
      </c>
      <c r="J21" s="158"/>
      <c r="K21" s="158"/>
      <c r="L21" s="158"/>
      <c r="M21" s="158"/>
      <c r="N21" s="158"/>
      <c r="O21" s="158"/>
      <c r="P21" s="158"/>
      <c r="Q21" s="158"/>
    </row>
    <row r="22" spans="1:19">
      <c r="D22" t="s">
        <v>291</v>
      </c>
      <c r="E22" s="82">
        <f>E20*E21</f>
        <v>6.1252940701028678E-2</v>
      </c>
      <c r="J22" s="158"/>
      <c r="K22" s="158"/>
      <c r="L22" s="158"/>
      <c r="M22" s="158"/>
      <c r="N22" s="158"/>
      <c r="O22" s="158"/>
      <c r="P22" s="158"/>
      <c r="Q22" s="158"/>
    </row>
    <row r="23" spans="1:19">
      <c r="D23" t="s">
        <v>282</v>
      </c>
      <c r="E23" s="40" t="e">
        <f>(E18*E16*(1-E17))+E21*E20</f>
        <v>#REF!</v>
      </c>
      <c r="J23" s="158"/>
      <c r="K23" s="158"/>
      <c r="L23" s="158"/>
      <c r="M23" s="158"/>
      <c r="N23" s="158"/>
      <c r="O23" s="158"/>
      <c r="P23" s="158"/>
      <c r="Q23" s="158"/>
    </row>
    <row r="24" spans="1:19">
      <c r="A24" s="107"/>
    </row>
    <row r="25" spans="1:19">
      <c r="B25" t="s">
        <v>209</v>
      </c>
      <c r="C25" s="40">
        <f>L13</f>
        <v>0</v>
      </c>
    </row>
    <row r="26" spans="1:19">
      <c r="A26" s="140" t="s">
        <v>292</v>
      </c>
      <c r="B26" s="140"/>
      <c r="C26" s="140"/>
      <c r="D26" s="2"/>
      <c r="E26" s="2">
        <v>2017</v>
      </c>
      <c r="F26" s="2">
        <v>2018</v>
      </c>
      <c r="G26" s="2">
        <v>2019</v>
      </c>
      <c r="H26" s="2">
        <v>2020</v>
      </c>
      <c r="I26" s="2">
        <v>2021</v>
      </c>
      <c r="J26" s="2">
        <v>2022</v>
      </c>
      <c r="K26" s="2">
        <v>2023</v>
      </c>
      <c r="L26" s="2">
        <v>2024</v>
      </c>
      <c r="M26" s="2" t="s">
        <v>293</v>
      </c>
      <c r="N26" s="2"/>
      <c r="O26" s="2"/>
      <c r="P26" s="2"/>
      <c r="Q26" s="2"/>
      <c r="R26" s="2"/>
      <c r="S26" s="2"/>
    </row>
    <row r="27" spans="1:19">
      <c r="A27" s="146"/>
      <c r="B27" s="146"/>
      <c r="C27" s="146"/>
    </row>
    <row r="28" spans="1:19">
      <c r="A28" s="146" t="s">
        <v>216</v>
      </c>
      <c r="B28" s="146"/>
      <c r="C28" s="146"/>
      <c r="E28" s="4">
        <f>-'Part 1,3'!D233</f>
        <v>2225</v>
      </c>
      <c r="F28" s="4">
        <f>-'Part 1,3'!E233</f>
        <v>2224</v>
      </c>
      <c r="G28" s="4">
        <f>-'Part 1,3'!F233</f>
        <v>2357</v>
      </c>
      <c r="H28" s="4">
        <f>-'Part 1,3'!G233</f>
        <v>2230</v>
      </c>
      <c r="I28" s="4">
        <f>-'Part 1,3'!H233</f>
        <v>2344</v>
      </c>
      <c r="J28" s="4">
        <f>-'Part 1,3'!I233</f>
        <v>2385</v>
      </c>
      <c r="K28" s="4" t="e">
        <f>-'Part 1,3'!#REF!</f>
        <v>#REF!</v>
      </c>
      <c r="L28" s="4" t="e">
        <f>-'Part 1,3'!#REF!</f>
        <v>#REF!</v>
      </c>
    </row>
    <row r="29" spans="1:19">
      <c r="A29" s="146"/>
      <c r="B29" s="146"/>
      <c r="C29" s="146"/>
    </row>
    <row r="30" spans="1:19">
      <c r="A30" s="146" t="s">
        <v>150</v>
      </c>
      <c r="B30" s="146"/>
      <c r="C30" s="146"/>
      <c r="E30">
        <f>'Part 1,3'!D246</f>
        <v>2914</v>
      </c>
      <c r="F30">
        <f>'Part 1,3'!E246</f>
        <v>2937</v>
      </c>
      <c r="G30">
        <f>'Part 1,3'!F246</f>
        <v>3281</v>
      </c>
      <c r="H30" s="4">
        <f>'Part 1,3'!G246</f>
        <v>4376.333333333333</v>
      </c>
      <c r="I30" s="4">
        <f>'Part 1,3'!H246</f>
        <v>3616.3333333333335</v>
      </c>
      <c r="J30" s="4">
        <f>'Part 1,3'!I246</f>
        <v>3955.3333333333335</v>
      </c>
      <c r="K30" s="4" t="e">
        <f>'Part 1,3'!#REF!</f>
        <v>#REF!</v>
      </c>
      <c r="L30" s="4" t="e">
        <f>'Part 1,3'!#REF!</f>
        <v>#REF!</v>
      </c>
    </row>
    <row r="31" spans="1:19">
      <c r="A31" s="146"/>
      <c r="B31" s="146"/>
      <c r="C31" s="146"/>
    </row>
    <row r="32" spans="1:19">
      <c r="A32" s="146" t="s">
        <v>294</v>
      </c>
      <c r="B32" s="146"/>
      <c r="C32" s="146"/>
      <c r="E32">
        <f>'Part 1,3'!D235</f>
        <v>4224</v>
      </c>
      <c r="F32">
        <f>'Part 1,3'!E235</f>
        <v>4110</v>
      </c>
      <c r="G32">
        <f>'Part 1,3'!F235</f>
        <v>4658</v>
      </c>
      <c r="H32" s="4">
        <f>'Part 1,3'!G235</f>
        <v>6539</v>
      </c>
      <c r="I32" s="4">
        <f>'Part 1,3'!H235</f>
        <v>8946</v>
      </c>
      <c r="J32" s="4">
        <f>'Part 1,3'!I235</f>
        <v>3848</v>
      </c>
      <c r="K32" s="4" t="e">
        <f>'Part 1,3'!#REF!</f>
        <v>#REF!</v>
      </c>
      <c r="L32" s="4" t="e">
        <f>'Part 1,3'!#REF!</f>
        <v>#REF!</v>
      </c>
    </row>
    <row r="33" spans="1:13">
      <c r="A33" s="146" t="s">
        <v>295</v>
      </c>
      <c r="B33" s="146"/>
      <c r="C33" s="146"/>
      <c r="E33" s="12">
        <f>-E32*$C$25</f>
        <v>0</v>
      </c>
      <c r="F33" s="12">
        <f t="shared" ref="F33:L33" si="0">-F32*$C$25</f>
        <v>0</v>
      </c>
      <c r="G33" s="12">
        <f t="shared" si="0"/>
        <v>0</v>
      </c>
      <c r="H33" s="12">
        <f t="shared" si="0"/>
        <v>0</v>
      </c>
      <c r="I33" s="12">
        <f t="shared" si="0"/>
        <v>0</v>
      </c>
      <c r="J33" s="12">
        <f t="shared" si="0"/>
        <v>0</v>
      </c>
      <c r="K33" s="12" t="e">
        <f t="shared" si="0"/>
        <v>#REF!</v>
      </c>
      <c r="L33" s="12" t="e">
        <f t="shared" si="0"/>
        <v>#REF!</v>
      </c>
    </row>
    <row r="34" spans="1:13">
      <c r="A34" s="152" t="s">
        <v>296</v>
      </c>
      <c r="B34" s="152"/>
      <c r="C34" s="152"/>
      <c r="E34" s="4">
        <f>SUM(E32:E33)</f>
        <v>4224</v>
      </c>
      <c r="F34" s="4">
        <f t="shared" ref="F34:L34" si="1">SUM(F32:F33)</f>
        <v>4110</v>
      </c>
      <c r="G34" s="4">
        <f t="shared" si="1"/>
        <v>4658</v>
      </c>
      <c r="H34" s="4">
        <f t="shared" si="1"/>
        <v>6539</v>
      </c>
      <c r="I34" s="4">
        <f t="shared" si="1"/>
        <v>8946</v>
      </c>
      <c r="J34" s="4">
        <f t="shared" si="1"/>
        <v>3848</v>
      </c>
      <c r="K34" s="4" t="e">
        <f t="shared" si="1"/>
        <v>#REF!</v>
      </c>
      <c r="L34" s="4" t="e">
        <f t="shared" si="1"/>
        <v>#REF!</v>
      </c>
    </row>
    <row r="35" spans="1:13">
      <c r="A35" s="146" t="s">
        <v>297</v>
      </c>
      <c r="B35" s="146"/>
      <c r="C35" s="146"/>
      <c r="E35" s="4">
        <f>E28</f>
        <v>2225</v>
      </c>
      <c r="F35" s="4">
        <f t="shared" ref="F35:L35" si="2">F28</f>
        <v>2224</v>
      </c>
      <c r="G35" s="4">
        <f t="shared" si="2"/>
        <v>2357</v>
      </c>
      <c r="H35" s="4">
        <f t="shared" si="2"/>
        <v>2230</v>
      </c>
      <c r="I35" s="4">
        <f t="shared" si="2"/>
        <v>2344</v>
      </c>
      <c r="J35" s="4">
        <f t="shared" si="2"/>
        <v>2385</v>
      </c>
      <c r="K35" s="4" t="e">
        <f t="shared" si="2"/>
        <v>#REF!</v>
      </c>
      <c r="L35" s="4" t="e">
        <f t="shared" si="2"/>
        <v>#REF!</v>
      </c>
    </row>
    <row r="36" spans="1:13">
      <c r="A36" s="146" t="s">
        <v>217</v>
      </c>
      <c r="B36" s="146"/>
      <c r="C36" s="146"/>
      <c r="D36" s="74"/>
      <c r="F36" s="74" t="e">
        <f>'Part 1,3'!#REF!</f>
        <v>#REF!</v>
      </c>
      <c r="G36" s="74" t="e">
        <f>'Part 1,3'!#REF!</f>
        <v>#REF!</v>
      </c>
      <c r="H36" s="74" t="e">
        <f>'Part 1,3'!#REF!</f>
        <v>#REF!</v>
      </c>
      <c r="I36" s="74" t="e">
        <f>'Part 1,3'!#REF!</f>
        <v>#REF!</v>
      </c>
      <c r="J36" s="74" t="e">
        <f>'Part 1,3'!#REF!</f>
        <v>#REF!</v>
      </c>
      <c r="K36" s="74" t="e">
        <f>'Part 1,3'!#REF!</f>
        <v>#REF!</v>
      </c>
      <c r="L36" s="74" t="e">
        <f>'Part 1,3'!#REF!</f>
        <v>#REF!</v>
      </c>
    </row>
    <row r="37" spans="1:13">
      <c r="A37" s="146" t="s">
        <v>218</v>
      </c>
      <c r="B37" s="146"/>
      <c r="C37" s="146"/>
      <c r="D37" s="74"/>
      <c r="F37" s="74" t="e">
        <f>'Part 1,3'!#REF!</f>
        <v>#REF!</v>
      </c>
      <c r="G37" s="74" t="e">
        <f>'Part 1,3'!#REF!</f>
        <v>#REF!</v>
      </c>
      <c r="H37" s="74" t="e">
        <f>'Part 1,3'!#REF!</f>
        <v>#REF!</v>
      </c>
      <c r="I37" s="74" t="e">
        <f>'Part 1,3'!#REF!</f>
        <v>#REF!</v>
      </c>
      <c r="J37" s="74" t="e">
        <f>'Part 1,3'!#REF!</f>
        <v>#REF!</v>
      </c>
      <c r="K37" s="74" t="e">
        <f>'Part 1,3'!#REF!</f>
        <v>#REF!</v>
      </c>
      <c r="L37" s="74" t="e">
        <f>'Part 1,3'!#REF!</f>
        <v>#REF!</v>
      </c>
    </row>
    <row r="38" spans="1:13">
      <c r="A38" s="146" t="s">
        <v>219</v>
      </c>
      <c r="B38" s="146"/>
      <c r="C38" s="146"/>
      <c r="D38" s="74"/>
      <c r="F38" s="74" t="e">
        <f>'Part 1,3'!#REF!</f>
        <v>#REF!</v>
      </c>
      <c r="G38" s="74" t="e">
        <f>'Part 1,3'!#REF!</f>
        <v>#REF!</v>
      </c>
      <c r="H38" s="74" t="e">
        <f>'Part 1,3'!#REF!</f>
        <v>#REF!</v>
      </c>
      <c r="I38" s="74" t="e">
        <f>'Part 1,3'!#REF!</f>
        <v>#REF!</v>
      </c>
      <c r="J38" s="74" t="e">
        <f>'Part 1,3'!#REF!</f>
        <v>#REF!</v>
      </c>
      <c r="K38" s="74" t="e">
        <f>'Part 1,3'!#REF!</f>
        <v>#REF!</v>
      </c>
      <c r="L38" s="74" t="e">
        <f>'Part 1,3'!#REF!</f>
        <v>#REF!</v>
      </c>
    </row>
    <row r="39" spans="1:13">
      <c r="A39" s="146" t="s">
        <v>298</v>
      </c>
      <c r="B39" s="146"/>
      <c r="C39" s="146"/>
      <c r="F39" s="12" t="e">
        <f t="shared" ref="F39:L39" si="3">SUM(F36:F38)</f>
        <v>#REF!</v>
      </c>
      <c r="G39" s="12" t="e">
        <f t="shared" si="3"/>
        <v>#REF!</v>
      </c>
      <c r="H39" s="12" t="e">
        <f t="shared" si="3"/>
        <v>#REF!</v>
      </c>
      <c r="I39" s="12" t="e">
        <f t="shared" si="3"/>
        <v>#REF!</v>
      </c>
      <c r="J39" s="12" t="e">
        <f t="shared" si="3"/>
        <v>#REF!</v>
      </c>
      <c r="K39" s="12" t="e">
        <f t="shared" si="3"/>
        <v>#REF!</v>
      </c>
      <c r="L39" s="12" t="e">
        <f t="shared" si="3"/>
        <v>#REF!</v>
      </c>
    </row>
    <row r="40" spans="1:13">
      <c r="A40" s="146" t="s">
        <v>299</v>
      </c>
      <c r="B40" s="146"/>
      <c r="C40" s="146"/>
      <c r="F40" s="12" t="e">
        <f>'Part 1,3'!#REF!</f>
        <v>#REF!</v>
      </c>
      <c r="G40" s="12" t="e">
        <f>'Part 1,3'!#REF!</f>
        <v>#REF!</v>
      </c>
      <c r="H40" s="12" t="e">
        <f>'Part 1,3'!#REF!</f>
        <v>#REF!</v>
      </c>
      <c r="I40" s="12" t="e">
        <f>'Part 1,3'!#REF!</f>
        <v>#REF!</v>
      </c>
      <c r="J40" s="12" t="e">
        <f>'Part 1,3'!#REF!</f>
        <v>#REF!</v>
      </c>
      <c r="K40" s="12" t="e">
        <f>'Part 1,3'!#REF!</f>
        <v>#REF!</v>
      </c>
      <c r="L40" s="12" t="e">
        <f>'Part 1,3'!#REF!</f>
        <v>#REF!</v>
      </c>
    </row>
    <row r="41" spans="1:13">
      <c r="A41" s="146" t="s">
        <v>300</v>
      </c>
      <c r="B41" s="146"/>
      <c r="C41" s="146"/>
      <c r="F41" s="4" t="e">
        <f>SUM(F34:F40)</f>
        <v>#REF!</v>
      </c>
      <c r="G41" s="4" t="e">
        <f t="shared" ref="G41:L41" si="4">SUM(G34:G40)</f>
        <v>#REF!</v>
      </c>
      <c r="H41" s="4" t="e">
        <f t="shared" si="4"/>
        <v>#REF!</v>
      </c>
      <c r="I41" s="4" t="e">
        <f t="shared" si="4"/>
        <v>#REF!</v>
      </c>
      <c r="J41" s="4" t="e">
        <f t="shared" si="4"/>
        <v>#REF!</v>
      </c>
      <c r="K41" s="4" t="e">
        <f t="shared" si="4"/>
        <v>#REF!</v>
      </c>
      <c r="L41" s="4" t="e">
        <f t="shared" si="4"/>
        <v>#REF!</v>
      </c>
      <c r="M41" s="4">
        <f>D43*R13</f>
        <v>82777.43002723073</v>
      </c>
    </row>
    <row r="42" spans="1:13">
      <c r="A42" s="146"/>
      <c r="B42" s="146"/>
      <c r="C42" s="146"/>
      <c r="D42" s="82"/>
    </row>
    <row r="43" spans="1:13">
      <c r="A43" s="146" t="s">
        <v>301</v>
      </c>
      <c r="B43" s="146"/>
      <c r="C43" s="146"/>
      <c r="D43" s="4">
        <f>S6</f>
        <v>11.76484224377924</v>
      </c>
    </row>
    <row r="44" spans="1:13">
      <c r="A44" s="146" t="s">
        <v>282</v>
      </c>
      <c r="B44" s="146"/>
      <c r="C44" s="146"/>
      <c r="D44" s="82" t="e">
        <f>E23</f>
        <v>#REF!</v>
      </c>
    </row>
    <row r="45" spans="1:13">
      <c r="A45" s="146"/>
      <c r="B45" s="146"/>
      <c r="C45" s="146"/>
    </row>
    <row r="46" spans="1:13">
      <c r="A46" s="146" t="s">
        <v>302</v>
      </c>
      <c r="B46" s="146"/>
      <c r="C46" s="146"/>
      <c r="D46" s="4" t="e">
        <f>NPV(D44,F41:L41)+M41/(1+D44)^5</f>
        <v>#REF!</v>
      </c>
    </row>
    <row r="47" spans="1:13">
      <c r="A47" s="146" t="s">
        <v>303</v>
      </c>
      <c r="B47" s="146"/>
      <c r="C47" s="146"/>
      <c r="D47" s="12" t="e">
        <f>-('Part 1,3'!#REF!+'Part 1,3'!G27)</f>
        <v>#REF!</v>
      </c>
    </row>
    <row r="48" spans="1:13">
      <c r="A48" s="146" t="s">
        <v>304</v>
      </c>
      <c r="B48" s="146"/>
      <c r="C48" s="146"/>
      <c r="D48" s="4" t="e">
        <f>'Part 1,3'!#REF!</f>
        <v>#REF!</v>
      </c>
    </row>
    <row r="49" spans="1:12">
      <c r="A49" s="146" t="s">
        <v>305</v>
      </c>
      <c r="B49" s="146"/>
      <c r="C49" s="146"/>
      <c r="D49" s="4" t="e">
        <f>SUM(D46:D48)</f>
        <v>#REF!</v>
      </c>
    </row>
    <row r="50" spans="1:12">
      <c r="A50" s="146"/>
      <c r="B50" s="146"/>
      <c r="C50" s="146"/>
    </row>
    <row r="51" spans="1:12">
      <c r="A51" s="146" t="s">
        <v>306</v>
      </c>
      <c r="B51" s="146"/>
      <c r="C51" s="146"/>
      <c r="D51" s="4">
        <f>E13/1000000</f>
        <v>500.961951</v>
      </c>
    </row>
    <row r="52" spans="1:12">
      <c r="A52" s="146" t="s">
        <v>307</v>
      </c>
      <c r="B52" s="146"/>
      <c r="C52" s="146"/>
      <c r="D52" s="54" t="e">
        <f>D49/D51</f>
        <v>#REF!</v>
      </c>
    </row>
    <row r="53" spans="1:12">
      <c r="A53" s="146" t="s">
        <v>308</v>
      </c>
      <c r="B53" s="146"/>
      <c r="C53" s="146"/>
      <c r="D53" s="54">
        <f>F13</f>
        <v>171.41</v>
      </c>
    </row>
    <row r="54" spans="1:12">
      <c r="A54" s="146"/>
      <c r="B54" s="146"/>
      <c r="C54" s="146"/>
    </row>
    <row r="55" spans="1:12">
      <c r="A55" s="158" t="s">
        <v>582</v>
      </c>
      <c r="B55" s="154"/>
      <c r="C55" s="154"/>
      <c r="D55" s="154"/>
      <c r="E55" s="154"/>
      <c r="F55" s="154"/>
      <c r="G55" s="154"/>
      <c r="H55" s="154"/>
      <c r="I55" s="154"/>
      <c r="J55" s="154"/>
      <c r="K55" s="154"/>
      <c r="L55" s="154"/>
    </row>
    <row r="56" spans="1:12">
      <c r="A56" s="154"/>
      <c r="B56" s="154"/>
      <c r="C56" s="154"/>
      <c r="D56" s="154"/>
      <c r="E56" s="154"/>
      <c r="F56" s="154"/>
      <c r="G56" s="154"/>
      <c r="H56" s="154"/>
      <c r="I56" s="154"/>
      <c r="J56" s="154"/>
      <c r="K56" s="154"/>
      <c r="L56" s="154"/>
    </row>
    <row r="57" spans="1:12">
      <c r="A57" s="154"/>
      <c r="B57" s="154"/>
      <c r="C57" s="154"/>
      <c r="D57" s="154"/>
      <c r="E57" s="154"/>
      <c r="F57" s="154"/>
      <c r="G57" s="154"/>
      <c r="H57" s="154"/>
      <c r="I57" s="154"/>
      <c r="J57" s="154"/>
      <c r="K57" s="154"/>
      <c r="L57" s="154"/>
    </row>
    <row r="58" spans="1:12">
      <c r="A58" s="154"/>
      <c r="B58" s="154"/>
      <c r="C58" s="154"/>
      <c r="D58" s="154"/>
      <c r="E58" s="154"/>
      <c r="F58" s="154"/>
      <c r="G58" s="154"/>
      <c r="H58" s="154"/>
      <c r="I58" s="154"/>
      <c r="J58" s="154"/>
      <c r="K58" s="154"/>
      <c r="L58" s="154"/>
    </row>
    <row r="59" spans="1:12">
      <c r="A59" s="154"/>
      <c r="B59" s="154"/>
      <c r="C59" s="154"/>
      <c r="D59" s="154"/>
      <c r="E59" s="154"/>
      <c r="F59" s="154"/>
      <c r="G59" s="154"/>
      <c r="H59" s="154"/>
      <c r="I59" s="154"/>
      <c r="J59" s="154"/>
      <c r="K59" s="154"/>
      <c r="L59" s="154"/>
    </row>
    <row r="60" spans="1:12">
      <c r="A60" s="154"/>
      <c r="B60" s="154"/>
      <c r="C60" s="154"/>
      <c r="D60" s="154"/>
      <c r="E60" s="154"/>
      <c r="F60" s="154"/>
      <c r="G60" s="154"/>
      <c r="H60" s="154"/>
      <c r="I60" s="154"/>
      <c r="J60" s="154"/>
      <c r="K60" s="154"/>
      <c r="L60" s="154"/>
    </row>
    <row r="61" spans="1:12">
      <c r="A61" s="154"/>
      <c r="B61" s="154"/>
      <c r="C61" s="154"/>
      <c r="D61" s="154"/>
      <c r="E61" s="154"/>
      <c r="F61" s="154"/>
      <c r="G61" s="154"/>
      <c r="H61" s="154"/>
      <c r="I61" s="154"/>
      <c r="J61" s="154"/>
      <c r="K61" s="154"/>
      <c r="L61" s="154"/>
    </row>
    <row r="62" spans="1:12">
      <c r="A62" s="154"/>
      <c r="B62" s="154"/>
      <c r="C62" s="154"/>
      <c r="D62" s="154"/>
      <c r="E62" s="154"/>
      <c r="F62" s="154"/>
      <c r="G62" s="154"/>
      <c r="H62" s="154"/>
      <c r="I62" s="154"/>
      <c r="J62" s="154"/>
      <c r="K62" s="154"/>
      <c r="L62" s="154"/>
    </row>
  </sheetData>
  <mergeCells count="47">
    <mergeCell ref="E7:J11"/>
    <mergeCell ref="A7:C7"/>
    <mergeCell ref="J15:Q23"/>
    <mergeCell ref="A55:L62"/>
    <mergeCell ref="F15:G20"/>
    <mergeCell ref="A18:B21"/>
    <mergeCell ref="A52:C52"/>
    <mergeCell ref="A53:C53"/>
    <mergeCell ref="A54:C54"/>
    <mergeCell ref="A47:C47"/>
    <mergeCell ref="A48:C48"/>
    <mergeCell ref="A49:C49"/>
    <mergeCell ref="A50:C50"/>
    <mergeCell ref="A51:C51"/>
    <mergeCell ref="A42:C42"/>
    <mergeCell ref="A43:C43"/>
    <mergeCell ref="A44:C44"/>
    <mergeCell ref="A45:C45"/>
    <mergeCell ref="A46:C46"/>
    <mergeCell ref="A37:C37"/>
    <mergeCell ref="A38:C38"/>
    <mergeCell ref="A39:C39"/>
    <mergeCell ref="A40:C40"/>
    <mergeCell ref="A41:C41"/>
    <mergeCell ref="A33:C33"/>
    <mergeCell ref="A34:C34"/>
    <mergeCell ref="A35:C35"/>
    <mergeCell ref="A36:C36"/>
    <mergeCell ref="A28:C28"/>
    <mergeCell ref="A29:C29"/>
    <mergeCell ref="A30:C30"/>
    <mergeCell ref="A31:C31"/>
    <mergeCell ref="A32:C32"/>
    <mergeCell ref="A11:C11"/>
    <mergeCell ref="A12:C12"/>
    <mergeCell ref="A13:C13"/>
    <mergeCell ref="A26:C26"/>
    <mergeCell ref="A27:C27"/>
    <mergeCell ref="A6:C6"/>
    <mergeCell ref="A8:C8"/>
    <mergeCell ref="A9:C9"/>
    <mergeCell ref="A10:C10"/>
    <mergeCell ref="A1:C1"/>
    <mergeCell ref="A2:C2"/>
    <mergeCell ref="A3:C3"/>
    <mergeCell ref="A4:C4"/>
    <mergeCell ref="A5:C5"/>
  </mergeCells>
  <pageMargins left="0.69930555555555596" right="0.69930555555555596" top="0.75" bottom="0.75" header="0.3" footer="0.3"/>
  <ignoredErrors>
    <ignoredError sqref="R3 R5" formulaRange="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1"/>
  <sheetViews>
    <sheetView workbookViewId="0">
      <selection activeCell="B9" sqref="B9"/>
    </sheetView>
  </sheetViews>
  <sheetFormatPr defaultColWidth="9" defaultRowHeight="14.6"/>
  <cols>
    <col min="1" max="1" width="37.84375" customWidth="1"/>
    <col min="2" max="2" width="10.84375" customWidth="1"/>
    <col min="3" max="3" width="11.3046875" customWidth="1"/>
  </cols>
  <sheetData>
    <row r="1" spans="1:12" ht="14.4" customHeight="1">
      <c r="A1" s="2" t="s">
        <v>340</v>
      </c>
      <c r="B1" s="2" t="s">
        <v>341</v>
      </c>
      <c r="C1" s="2" t="s">
        <v>342</v>
      </c>
      <c r="D1" s="2" t="s">
        <v>343</v>
      </c>
      <c r="E1" s="2">
        <v>2023</v>
      </c>
      <c r="F1" s="2">
        <v>2024</v>
      </c>
      <c r="G1" s="2">
        <v>2025</v>
      </c>
      <c r="H1" s="157" t="s">
        <v>344</v>
      </c>
      <c r="I1" s="157"/>
      <c r="J1" s="157"/>
      <c r="K1" s="157"/>
      <c r="L1" s="157"/>
    </row>
    <row r="2" spans="1:12">
      <c r="A2" t="s">
        <v>345</v>
      </c>
      <c r="H2" s="157"/>
      <c r="I2" s="157"/>
      <c r="J2" s="157"/>
      <c r="K2" s="157"/>
      <c r="L2" s="157"/>
    </row>
    <row r="3" spans="1:12">
      <c r="A3" t="s">
        <v>346</v>
      </c>
      <c r="B3">
        <v>6.39</v>
      </c>
      <c r="C3">
        <v>9.11</v>
      </c>
      <c r="D3">
        <v>8.7200000000000006</v>
      </c>
      <c r="E3">
        <v>9.27</v>
      </c>
      <c r="H3" s="157"/>
      <c r="I3" s="157"/>
      <c r="J3" s="157"/>
      <c r="K3" s="157"/>
      <c r="L3" s="157"/>
    </row>
    <row r="4" spans="1:12">
      <c r="A4" t="s">
        <v>347</v>
      </c>
      <c r="B4">
        <v>9.23</v>
      </c>
      <c r="C4">
        <v>8.44</v>
      </c>
      <c r="D4">
        <v>8.9700000000000006</v>
      </c>
      <c r="H4" s="157"/>
      <c r="I4" s="157"/>
      <c r="J4" s="157"/>
      <c r="K4" s="157"/>
      <c r="L4" s="157"/>
    </row>
    <row r="5" spans="1:12">
      <c r="A5" t="s">
        <v>348</v>
      </c>
      <c r="B5">
        <v>6.42</v>
      </c>
      <c r="C5">
        <v>9.5299999999999994</v>
      </c>
      <c r="D5">
        <v>8.25</v>
      </c>
      <c r="E5">
        <v>8.85</v>
      </c>
      <c r="F5">
        <v>9.44</v>
      </c>
      <c r="G5">
        <v>10.06</v>
      </c>
      <c r="H5" s="157"/>
      <c r="I5" s="157"/>
      <c r="J5" s="157"/>
      <c r="K5" s="157"/>
      <c r="L5" s="157"/>
    </row>
    <row r="6" spans="1:12">
      <c r="A6" t="s">
        <v>349</v>
      </c>
      <c r="B6">
        <v>6.39</v>
      </c>
      <c r="C6">
        <v>9.5</v>
      </c>
      <c r="D6">
        <v>8.5</v>
      </c>
      <c r="E6">
        <v>9</v>
      </c>
      <c r="H6" s="157"/>
      <c r="I6" s="157"/>
      <c r="J6" s="157"/>
      <c r="K6" s="157"/>
      <c r="L6" s="157"/>
    </row>
    <row r="7" spans="1:12">
      <c r="H7" s="157"/>
      <c r="I7" s="157"/>
      <c r="J7" s="157"/>
      <c r="K7" s="157"/>
      <c r="L7" s="157"/>
    </row>
    <row r="8" spans="1:12">
      <c r="A8" t="s">
        <v>198</v>
      </c>
      <c r="B8" s="41">
        <f>AVERAGE(B3:B6)</f>
        <v>7.1074999999999999</v>
      </c>
      <c r="C8" s="41">
        <f t="shared" ref="C8:D8" si="0">AVERAGE(C3:C6)</f>
        <v>9.1449999999999996</v>
      </c>
      <c r="D8" s="41">
        <f t="shared" si="0"/>
        <v>8.61</v>
      </c>
      <c r="H8" s="157"/>
      <c r="I8" s="157"/>
      <c r="J8" s="157"/>
      <c r="K8" s="157"/>
      <c r="L8" s="157"/>
    </row>
    <row r="9" spans="1:12">
      <c r="H9" s="157"/>
      <c r="I9" s="157"/>
      <c r="J9" s="157"/>
      <c r="K9" s="157"/>
      <c r="L9" s="157"/>
    </row>
    <row r="10" spans="1:12">
      <c r="H10" s="157"/>
      <c r="I10" s="157"/>
      <c r="J10" s="157"/>
      <c r="K10" s="157"/>
      <c r="L10" s="157"/>
    </row>
    <row r="11" spans="1:12">
      <c r="H11" s="157"/>
      <c r="I11" s="157"/>
      <c r="J11" s="157"/>
      <c r="K11" s="157"/>
      <c r="L11" s="157"/>
    </row>
  </sheetData>
  <mergeCells count="1">
    <mergeCell ref="H1:L11"/>
  </mergeCell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55"/>
  <sheetViews>
    <sheetView zoomScale="99" zoomScaleNormal="99" workbookViewId="0">
      <selection activeCell="E209" sqref="E209"/>
    </sheetView>
  </sheetViews>
  <sheetFormatPr defaultColWidth="8.84375" defaultRowHeight="14.6"/>
  <cols>
    <col min="3" max="3" width="25.3828125" customWidth="1"/>
    <col min="4" max="11" width="10.61328125" customWidth="1"/>
    <col min="12" max="12" width="9.61328125" customWidth="1"/>
  </cols>
  <sheetData>
    <row r="1" spans="1:12">
      <c r="A1" s="140" t="s">
        <v>309</v>
      </c>
      <c r="B1" s="140"/>
      <c r="C1" s="140"/>
      <c r="D1" s="2">
        <v>2017</v>
      </c>
      <c r="E1" s="2">
        <v>2018</v>
      </c>
      <c r="F1" s="2">
        <v>2019</v>
      </c>
      <c r="G1" s="2">
        <v>2020</v>
      </c>
      <c r="H1" s="2">
        <v>2021</v>
      </c>
      <c r="I1" s="2">
        <v>2022</v>
      </c>
      <c r="J1" s="2">
        <v>2023</v>
      </c>
      <c r="K1" s="2">
        <v>2024</v>
      </c>
      <c r="L1" s="2">
        <v>2025</v>
      </c>
    </row>
    <row r="2" spans="1:12">
      <c r="A2" s="141" t="s">
        <v>26</v>
      </c>
      <c r="B2" s="141"/>
      <c r="C2" s="141"/>
    </row>
    <row r="3" spans="1:12" ht="19.3">
      <c r="A3" s="142" t="s">
        <v>27</v>
      </c>
      <c r="B3" s="142"/>
      <c r="C3" s="142"/>
    </row>
    <row r="4" spans="1:12">
      <c r="A4" s="141" t="s">
        <v>28</v>
      </c>
      <c r="B4" s="141"/>
      <c r="C4" s="141"/>
      <c r="D4" s="20">
        <v>2643</v>
      </c>
      <c r="E4" s="20">
        <v>1556</v>
      </c>
      <c r="F4" s="20">
        <v>2577</v>
      </c>
      <c r="K4" s="10"/>
    </row>
    <row r="5" spans="1:12">
      <c r="A5" s="141" t="s">
        <v>29</v>
      </c>
      <c r="B5" s="141"/>
      <c r="C5" s="141"/>
      <c r="D5" s="21">
        <v>8657</v>
      </c>
      <c r="E5" s="22">
        <v>9497</v>
      </c>
      <c r="F5" s="20">
        <v>8992</v>
      </c>
      <c r="G5" s="73"/>
      <c r="H5" s="73"/>
      <c r="I5" s="73"/>
      <c r="J5" s="73"/>
      <c r="K5" s="73"/>
    </row>
    <row r="6" spans="1:12">
      <c r="A6" s="141" t="s">
        <v>30</v>
      </c>
      <c r="B6" s="141"/>
      <c r="C6" s="141"/>
      <c r="D6" s="21">
        <v>1264</v>
      </c>
      <c r="E6" s="22">
        <v>1466</v>
      </c>
      <c r="F6" s="20">
        <v>1333</v>
      </c>
      <c r="K6" s="6"/>
    </row>
    <row r="7" spans="1:12">
      <c r="A7" s="143" t="s">
        <v>31</v>
      </c>
      <c r="B7" s="143"/>
      <c r="C7" s="143"/>
      <c r="D7" s="23">
        <f>SUM(D4:D6)</f>
        <v>12564</v>
      </c>
      <c r="E7" s="23">
        <f>SUM(E4:E6)</f>
        <v>12519</v>
      </c>
      <c r="F7" s="23">
        <f>SUM(F4:F6)</f>
        <v>12902</v>
      </c>
      <c r="K7" s="6"/>
    </row>
    <row r="8" spans="1:12">
      <c r="A8" s="144"/>
      <c r="B8" s="144"/>
      <c r="C8" s="144"/>
      <c r="D8" s="4"/>
      <c r="F8" s="4"/>
      <c r="I8" s="13" t="s">
        <v>32</v>
      </c>
    </row>
    <row r="9" spans="1:12" ht="19.3">
      <c r="A9" s="142" t="s">
        <v>33</v>
      </c>
      <c r="B9" s="142"/>
      <c r="C9" s="142"/>
      <c r="F9" s="4"/>
      <c r="K9" s="6"/>
    </row>
    <row r="10" spans="1:12">
      <c r="A10" s="141" t="s">
        <v>34</v>
      </c>
      <c r="B10" s="141"/>
      <c r="C10" s="141"/>
      <c r="D10" s="21">
        <v>6095</v>
      </c>
      <c r="E10" s="22">
        <v>6064</v>
      </c>
      <c r="F10" s="20">
        <v>6036</v>
      </c>
      <c r="K10" s="6"/>
    </row>
    <row r="11" spans="1:12">
      <c r="A11" s="141" t="s">
        <v>35</v>
      </c>
      <c r="B11" s="141"/>
      <c r="C11" s="141"/>
      <c r="D11" s="21">
        <v>28396</v>
      </c>
      <c r="E11" s="22">
        <v>29240</v>
      </c>
      <c r="F11" s="20">
        <v>30603</v>
      </c>
      <c r="K11" s="6"/>
    </row>
    <row r="12" spans="1:12">
      <c r="A12" s="141" t="s">
        <v>36</v>
      </c>
      <c r="B12" s="141"/>
      <c r="C12" s="141"/>
      <c r="D12" s="21">
        <v>5623</v>
      </c>
      <c r="E12" s="22">
        <v>5912</v>
      </c>
      <c r="F12" s="20">
        <v>6083</v>
      </c>
      <c r="K12" s="6"/>
    </row>
    <row r="13" spans="1:12">
      <c r="A13" s="141" t="s">
        <v>37</v>
      </c>
      <c r="B13" s="141"/>
      <c r="C13" s="141"/>
      <c r="D13" s="21">
        <v>2645</v>
      </c>
      <c r="E13" s="22">
        <v>2544</v>
      </c>
      <c r="F13" s="20">
        <v>2692</v>
      </c>
      <c r="K13" s="6"/>
    </row>
    <row r="14" spans="1:12">
      <c r="A14" s="141" t="s">
        <v>38</v>
      </c>
      <c r="B14" s="141"/>
      <c r="C14" s="141"/>
      <c r="D14" s="21">
        <v>440</v>
      </c>
      <c r="E14" s="22">
        <v>460</v>
      </c>
      <c r="F14" s="20">
        <v>533</v>
      </c>
      <c r="K14" s="7"/>
    </row>
    <row r="15" spans="1:12">
      <c r="A15" s="141" t="s">
        <v>39</v>
      </c>
      <c r="B15" s="141"/>
      <c r="C15" s="141"/>
      <c r="D15" s="24">
        <v>-18181</v>
      </c>
      <c r="E15" s="24">
        <v>-18687</v>
      </c>
      <c r="F15" s="24">
        <v>-19664</v>
      </c>
      <c r="K15" s="6"/>
    </row>
    <row r="16" spans="1:12">
      <c r="A16" s="141" t="s">
        <v>40</v>
      </c>
      <c r="B16" s="141"/>
      <c r="C16" s="141"/>
      <c r="D16" s="25">
        <f>SUM(D10:D15)</f>
        <v>25018</v>
      </c>
      <c r="E16" s="25">
        <f>SUM(E10:E15)</f>
        <v>25533</v>
      </c>
      <c r="F16" s="25">
        <f>SUM(F10:F15)</f>
        <v>26283</v>
      </c>
      <c r="I16" s="9"/>
      <c r="K16" s="6"/>
    </row>
    <row r="17" spans="1:11">
      <c r="A17" s="149" t="s">
        <v>41</v>
      </c>
      <c r="B17" s="149"/>
      <c r="C17" s="149"/>
      <c r="D17" s="26">
        <v>0</v>
      </c>
      <c r="E17" s="27">
        <v>1965</v>
      </c>
      <c r="F17" s="27">
        <v>2236</v>
      </c>
      <c r="I17" s="9"/>
      <c r="K17" s="6"/>
    </row>
    <row r="18" spans="1:11">
      <c r="A18" s="141" t="s">
        <v>42</v>
      </c>
      <c r="B18" s="141"/>
      <c r="C18" s="141"/>
      <c r="D18" s="21">
        <v>1417</v>
      </c>
      <c r="E18" s="22">
        <v>1273</v>
      </c>
      <c r="F18" s="22">
        <v>1358</v>
      </c>
      <c r="I18" s="14" t="s">
        <v>32</v>
      </c>
      <c r="K18" s="10"/>
    </row>
    <row r="19" spans="1:11">
      <c r="A19" s="143" t="s">
        <v>43</v>
      </c>
      <c r="B19" s="143"/>
      <c r="C19" s="143"/>
      <c r="D19" s="23">
        <f>SUM(D16:D18,D7)</f>
        <v>38999</v>
      </c>
      <c r="E19" s="23">
        <f>SUM(E16:E18,E7)</f>
        <v>41290</v>
      </c>
      <c r="F19" s="23">
        <f>SUM(F16:F18,F7)</f>
        <v>42779</v>
      </c>
      <c r="H19" s="9"/>
    </row>
    <row r="20" spans="1:11">
      <c r="A20" s="144"/>
      <c r="B20" s="144"/>
      <c r="C20" s="144"/>
      <c r="F20" s="10"/>
      <c r="K20" s="10"/>
    </row>
    <row r="21" spans="1:11">
      <c r="A21" s="141" t="s">
        <v>44</v>
      </c>
      <c r="B21" s="141"/>
      <c r="C21" s="141"/>
      <c r="K21" s="6"/>
    </row>
    <row r="22" spans="1:11">
      <c r="A22" s="141" t="s">
        <v>45</v>
      </c>
      <c r="B22" s="141"/>
      <c r="C22" s="141"/>
      <c r="D22" s="20">
        <v>8677</v>
      </c>
      <c r="E22" s="20">
        <v>9761</v>
      </c>
      <c r="F22" s="20">
        <v>9920</v>
      </c>
      <c r="K22" s="6"/>
    </row>
    <row r="23" spans="1:11">
      <c r="A23" s="141" t="s">
        <v>46</v>
      </c>
      <c r="B23" s="141"/>
      <c r="C23" s="141"/>
      <c r="D23" s="21">
        <v>4254</v>
      </c>
      <c r="E23" s="22">
        <v>4201</v>
      </c>
      <c r="F23" s="22">
        <v>4406</v>
      </c>
      <c r="K23" s="6"/>
    </row>
    <row r="24" spans="1:11">
      <c r="A24" s="141" t="s">
        <v>47</v>
      </c>
      <c r="B24" s="141"/>
      <c r="C24" s="141"/>
      <c r="D24" s="21">
        <v>270</v>
      </c>
      <c r="E24" s="22">
        <v>1052</v>
      </c>
      <c r="F24" s="22">
        <v>161</v>
      </c>
      <c r="K24" s="6"/>
    </row>
    <row r="25" spans="1:11">
      <c r="A25" s="143" t="s">
        <v>48</v>
      </c>
      <c r="B25" s="143"/>
      <c r="C25" s="143"/>
      <c r="D25" s="23">
        <f>SUM(D22:D24)</f>
        <v>13201</v>
      </c>
      <c r="E25" s="23">
        <f>SUM(E22:E24)</f>
        <v>15014</v>
      </c>
      <c r="F25" s="23">
        <f>SUM(F22:F24)</f>
        <v>14487</v>
      </c>
      <c r="H25" s="4"/>
      <c r="K25" s="6"/>
    </row>
    <row r="26" spans="1:11">
      <c r="A26" s="144"/>
      <c r="B26" s="144"/>
      <c r="C26" s="144"/>
      <c r="D26" s="28"/>
      <c r="E26" s="28"/>
      <c r="F26" s="22"/>
      <c r="K26" s="6"/>
    </row>
    <row r="27" spans="1:11">
      <c r="A27" s="141" t="s">
        <v>49</v>
      </c>
      <c r="B27" s="141"/>
      <c r="C27" s="141"/>
      <c r="D27" s="21">
        <v>11317</v>
      </c>
      <c r="E27" s="22">
        <v>10223</v>
      </c>
      <c r="F27" s="22">
        <v>11338</v>
      </c>
      <c r="K27" s="6"/>
    </row>
    <row r="28" spans="1:11">
      <c r="A28" s="141" t="s">
        <v>51</v>
      </c>
      <c r="B28" s="141"/>
      <c r="C28" s="141"/>
      <c r="D28" s="21">
        <v>713</v>
      </c>
      <c r="E28" s="22">
        <v>972</v>
      </c>
      <c r="F28" s="22">
        <v>1122</v>
      </c>
    </row>
    <row r="29" spans="1:11">
      <c r="A29" s="141" t="s">
        <v>52</v>
      </c>
      <c r="B29" s="141"/>
      <c r="C29" s="141"/>
      <c r="D29" s="21">
        <v>2059</v>
      </c>
      <c r="E29" s="22">
        <v>1780</v>
      </c>
      <c r="F29" s="22">
        <v>1724</v>
      </c>
      <c r="K29" s="6"/>
    </row>
    <row r="30" spans="1:11">
      <c r="A30" s="143" t="s">
        <v>53</v>
      </c>
      <c r="B30" s="143"/>
      <c r="C30" s="143"/>
      <c r="D30" s="21">
        <f>SUM(D27:D29)</f>
        <v>14089</v>
      </c>
      <c r="E30" s="22">
        <v>14979</v>
      </c>
      <c r="F30" s="22">
        <v>16459</v>
      </c>
      <c r="K30" s="6"/>
    </row>
    <row r="31" spans="1:11">
      <c r="A31" s="144"/>
      <c r="B31" s="144"/>
      <c r="C31" s="144"/>
      <c r="D31" s="28"/>
      <c r="E31" s="28"/>
      <c r="F31" s="22"/>
      <c r="K31" s="6"/>
    </row>
    <row r="32" spans="1:11">
      <c r="A32" s="141" t="s">
        <v>54</v>
      </c>
      <c r="B32" s="141"/>
      <c r="C32" s="141"/>
      <c r="D32" s="28"/>
      <c r="E32" s="28"/>
      <c r="F32" s="28"/>
      <c r="K32" s="7"/>
    </row>
    <row r="33" spans="1:12">
      <c r="A33" s="141" t="s">
        <v>55</v>
      </c>
      <c r="B33" s="141"/>
      <c r="C33" s="141"/>
      <c r="D33" s="21">
        <v>45</v>
      </c>
      <c r="E33" s="22">
        <v>43</v>
      </c>
      <c r="F33" s="22">
        <v>42</v>
      </c>
      <c r="K33" s="6"/>
    </row>
    <row r="34" spans="1:12">
      <c r="A34" s="141" t="s">
        <v>56</v>
      </c>
      <c r="B34" s="141"/>
      <c r="C34" s="141"/>
      <c r="D34" s="21">
        <v>5858</v>
      </c>
      <c r="E34" s="22">
        <v>6042</v>
      </c>
      <c r="F34" s="22">
        <v>6226</v>
      </c>
      <c r="K34" s="10"/>
    </row>
    <row r="35" spans="1:12">
      <c r="A35" s="141" t="s">
        <v>57</v>
      </c>
      <c r="B35" s="141"/>
      <c r="C35" s="141"/>
      <c r="D35" s="21">
        <v>6553</v>
      </c>
      <c r="E35" s="22">
        <v>6017</v>
      </c>
      <c r="F35" s="22">
        <v>6433</v>
      </c>
    </row>
    <row r="36" spans="1:12">
      <c r="A36" s="141" t="s">
        <v>58</v>
      </c>
      <c r="B36" s="141"/>
      <c r="C36" s="141"/>
      <c r="D36" s="24">
        <v>-747</v>
      </c>
      <c r="E36" s="24">
        <v>-805</v>
      </c>
      <c r="F36" s="24">
        <v>-868</v>
      </c>
    </row>
    <row r="37" spans="1:12">
      <c r="A37" s="143" t="s">
        <v>59</v>
      </c>
      <c r="B37" s="143"/>
      <c r="C37" s="143"/>
      <c r="D37" s="25">
        <f>SUM(D33:D36)</f>
        <v>11709</v>
      </c>
      <c r="E37" s="25">
        <f>SUM(E33:E36)</f>
        <v>11297</v>
      </c>
      <c r="F37" s="25">
        <f>SUM(F33:F36)</f>
        <v>11833</v>
      </c>
    </row>
    <row r="38" spans="1:12">
      <c r="A38" s="143" t="s">
        <v>60</v>
      </c>
      <c r="B38" s="143"/>
      <c r="C38" s="143"/>
      <c r="D38" s="23">
        <f>SUM(D37,D30,D25)</f>
        <v>38999</v>
      </c>
      <c r="E38" s="23">
        <f>SUM(E37,E30,E25)</f>
        <v>41290</v>
      </c>
      <c r="F38" s="23">
        <f>SUM(F37,F30,F25)</f>
        <v>42779</v>
      </c>
    </row>
    <row r="39" spans="1:12" ht="13.85" customHeight="1"/>
    <row r="40" spans="1:12">
      <c r="A40" s="140" t="s">
        <v>310</v>
      </c>
      <c r="B40" s="140"/>
      <c r="C40" s="140"/>
      <c r="D40" s="2">
        <v>2017</v>
      </c>
      <c r="E40" s="2">
        <v>2018</v>
      </c>
      <c r="F40" s="2">
        <v>2019</v>
      </c>
      <c r="G40" s="2">
        <v>2020</v>
      </c>
      <c r="H40" s="2">
        <v>2021</v>
      </c>
      <c r="I40" s="2">
        <v>2022</v>
      </c>
      <c r="J40" s="2">
        <v>2023</v>
      </c>
      <c r="K40" s="2">
        <v>2024</v>
      </c>
      <c r="L40" s="2">
        <v>2025</v>
      </c>
    </row>
    <row r="41" spans="1:12">
      <c r="A41" s="141" t="s">
        <v>61</v>
      </c>
      <c r="B41" s="141"/>
      <c r="C41" s="141"/>
    </row>
    <row r="42" spans="1:12">
      <c r="A42" s="145" t="s">
        <v>62</v>
      </c>
      <c r="B42" s="145"/>
      <c r="C42" s="145"/>
      <c r="D42" s="28">
        <v>71786</v>
      </c>
      <c r="E42" s="28">
        <v>74433</v>
      </c>
      <c r="F42" s="28">
        <v>77130</v>
      </c>
      <c r="G42" s="73">
        <f>Sheet3!G158</f>
        <v>94574.014817281655</v>
      </c>
      <c r="H42" s="4">
        <f>H44-H43</f>
        <v>93475.741262151525</v>
      </c>
      <c r="I42" s="4">
        <f t="shared" ref="I42:K42" si="0">I44-I43</f>
        <v>86055.319300566232</v>
      </c>
      <c r="J42" s="4">
        <f t="shared" si="0"/>
        <v>89237.163382776373</v>
      </c>
      <c r="K42" s="4">
        <f t="shared" si="0"/>
        <v>92535.377260232694</v>
      </c>
    </row>
    <row r="43" spans="1:12">
      <c r="A43" s="145" t="s">
        <v>63</v>
      </c>
      <c r="B43" s="145"/>
      <c r="C43" s="145"/>
      <c r="D43" s="28">
        <v>928</v>
      </c>
      <c r="E43" s="28">
        <v>923</v>
      </c>
      <c r="F43" s="28">
        <v>982</v>
      </c>
      <c r="G43" s="73">
        <f>Sheet3!G159</f>
        <v>1098.2735551301289</v>
      </c>
      <c r="H43" s="73">
        <f>Sheet3!G159</f>
        <v>1098.2735551301289</v>
      </c>
      <c r="I43" s="73">
        <f>AVERAGE(D43:F43)</f>
        <v>944.33333333333337</v>
      </c>
      <c r="J43" s="73">
        <f>I43</f>
        <v>944.33333333333337</v>
      </c>
      <c r="K43" s="73">
        <f>J43</f>
        <v>944.33333333333337</v>
      </c>
    </row>
    <row r="44" spans="1:12">
      <c r="A44" s="145" t="s">
        <v>64</v>
      </c>
      <c r="B44" s="145"/>
      <c r="C44" s="145"/>
      <c r="D44" s="28">
        <v>72714</v>
      </c>
      <c r="E44" s="28">
        <v>75356</v>
      </c>
      <c r="F44" s="28">
        <f>SUM(F42:F43)</f>
        <v>78112</v>
      </c>
      <c r="G44" s="73">
        <f>Sheet3!G160</f>
        <v>95809.817149227601</v>
      </c>
      <c r="H44" s="73">
        <f>H208</f>
        <v>94574.014817281655</v>
      </c>
      <c r="I44" s="73">
        <f>I208</f>
        <v>86999.652633899561</v>
      </c>
      <c r="J44" s="73">
        <f>J208</f>
        <v>90181.496716109701</v>
      </c>
      <c r="K44" s="73">
        <f>K208</f>
        <v>93479.710593566022</v>
      </c>
    </row>
    <row r="45" spans="1:12">
      <c r="A45" s="145" t="s">
        <v>65</v>
      </c>
      <c r="B45" s="145"/>
      <c r="C45" s="145"/>
      <c r="D45" s="28">
        <v>51125</v>
      </c>
      <c r="E45" s="28">
        <v>53299</v>
      </c>
      <c r="F45" s="28">
        <v>54864</v>
      </c>
      <c r="G45" s="73">
        <f>Sheet3!G161</f>
        <v>68434.623348894456</v>
      </c>
      <c r="H45" s="4"/>
      <c r="I45" s="4"/>
      <c r="J45" s="4"/>
      <c r="K45" s="4"/>
    </row>
    <row r="46" spans="1:12">
      <c r="A46" s="145" t="s">
        <v>66</v>
      </c>
      <c r="B46" s="145"/>
      <c r="C46" s="145"/>
      <c r="D46" s="28">
        <v>15140</v>
      </c>
      <c r="E46" s="28">
        <v>15723</v>
      </c>
      <c r="F46" s="28">
        <v>16233</v>
      </c>
      <c r="G46" s="73">
        <f>Sheet3!G162</f>
        <v>18367.989006725395</v>
      </c>
      <c r="H46" s="4"/>
      <c r="I46" s="4"/>
      <c r="J46" s="4"/>
      <c r="K46" s="4"/>
    </row>
    <row r="47" spans="1:12">
      <c r="A47" s="145" t="s">
        <v>67</v>
      </c>
      <c r="B47" s="145"/>
      <c r="C47" s="145"/>
      <c r="D47" s="28">
        <v>2225</v>
      </c>
      <c r="E47" s="28">
        <v>2224</v>
      </c>
      <c r="F47" s="28">
        <v>2357</v>
      </c>
      <c r="G47" s="73">
        <f>Sheet3!G163</f>
        <v>2368.7776866283839</v>
      </c>
      <c r="H47" s="4"/>
      <c r="I47" s="4"/>
      <c r="J47" s="4"/>
      <c r="K47" s="4"/>
    </row>
    <row r="48" spans="1:12">
      <c r="A48" s="145" t="s">
        <v>68</v>
      </c>
      <c r="B48" s="145"/>
      <c r="C48" s="145"/>
      <c r="D48" s="29">
        <f>D44-SUM(D45:D47)</f>
        <v>4224</v>
      </c>
      <c r="E48" s="29">
        <f>E44-SUM(E45:E47)</f>
        <v>4110</v>
      </c>
      <c r="F48" s="29">
        <f>F44-SUM(F45:F47)</f>
        <v>4658</v>
      </c>
      <c r="G48" s="73">
        <f>Sheet3!G164</f>
        <v>6243.8922079994618</v>
      </c>
      <c r="H48" s="4"/>
      <c r="I48" s="4"/>
      <c r="J48" s="4"/>
      <c r="K48" s="4"/>
    </row>
    <row r="49" spans="1:11">
      <c r="A49" s="145" t="s">
        <v>69</v>
      </c>
      <c r="B49" s="145"/>
      <c r="C49" s="145"/>
      <c r="D49" s="28">
        <v>653</v>
      </c>
      <c r="E49" s="28">
        <v>461</v>
      </c>
      <c r="F49" s="24">
        <v>477</v>
      </c>
      <c r="G49" s="73">
        <f>Sheet3!G165</f>
        <v>989.0454020777222</v>
      </c>
      <c r="H49" s="4"/>
      <c r="I49" s="4"/>
      <c r="J49" s="4"/>
      <c r="K49" s="4"/>
    </row>
    <row r="50" spans="1:11">
      <c r="A50" s="145" t="s">
        <v>70</v>
      </c>
      <c r="B50" s="145"/>
      <c r="C50" s="145"/>
      <c r="D50" s="24">
        <v>-59</v>
      </c>
      <c r="E50" s="24">
        <v>-27</v>
      </c>
      <c r="F50" s="24">
        <v>-9</v>
      </c>
      <c r="G50" s="74">
        <f>Sheet3!G166</f>
        <v>-7.7638888888888893</v>
      </c>
      <c r="H50" s="12"/>
    </row>
    <row r="51" spans="1:11">
      <c r="A51" s="145" t="s">
        <v>71</v>
      </c>
      <c r="B51" s="145"/>
      <c r="C51" s="145"/>
      <c r="D51" s="11">
        <f>D48-D49-D50</f>
        <v>3630</v>
      </c>
      <c r="E51" s="11">
        <f>E48-E49-E50</f>
        <v>3676</v>
      </c>
      <c r="F51" s="11">
        <f>F48-F49-F50</f>
        <v>4190</v>
      </c>
      <c r="G51" s="73">
        <f>Sheet3!G167</f>
        <v>5176.3311475639503</v>
      </c>
      <c r="H51" s="4"/>
    </row>
    <row r="52" spans="1:11">
      <c r="A52" s="145" t="s">
        <v>72</v>
      </c>
      <c r="B52" s="145"/>
      <c r="C52" s="145"/>
      <c r="D52" s="28">
        <v>722</v>
      </c>
      <c r="E52" s="28">
        <v>746</v>
      </c>
      <c r="F52" s="28">
        <v>921</v>
      </c>
      <c r="G52" s="73">
        <f>Sheet3!G168</f>
        <v>1030.7406043041833</v>
      </c>
      <c r="H52" s="4"/>
    </row>
    <row r="53" spans="1:11">
      <c r="A53" s="145" t="s">
        <v>73</v>
      </c>
      <c r="B53" s="145"/>
      <c r="C53" s="145"/>
      <c r="D53" s="28">
        <v>2908</v>
      </c>
      <c r="E53" s="28">
        <v>2930</v>
      </c>
      <c r="F53" s="28">
        <v>3269</v>
      </c>
      <c r="G53" s="73">
        <f>Sheet3!G169</f>
        <v>4018.9796227143961</v>
      </c>
      <c r="H53" s="4"/>
    </row>
    <row r="54" spans="1:11">
      <c r="A54" s="145" t="s">
        <v>74</v>
      </c>
      <c r="B54" s="145"/>
      <c r="C54" s="145"/>
      <c r="D54" s="28">
        <v>6</v>
      </c>
      <c r="E54" s="28">
        <v>7</v>
      </c>
      <c r="F54" s="28">
        <v>12</v>
      </c>
      <c r="G54" s="75">
        <f>Sheet3!G170</f>
        <v>-6.9444444444444461E-2</v>
      </c>
      <c r="H54" s="4"/>
    </row>
    <row r="55" spans="1:11">
      <c r="A55" s="147" t="s">
        <v>75</v>
      </c>
      <c r="B55" s="147"/>
      <c r="C55" s="147"/>
      <c r="D55" s="29">
        <f>SUM(D53:D54)</f>
        <v>2914</v>
      </c>
      <c r="E55" s="29">
        <f>SUM(E53:E54)</f>
        <v>2937</v>
      </c>
      <c r="F55" s="29">
        <f>SUM(F53:F54)</f>
        <v>3281</v>
      </c>
      <c r="G55" s="73">
        <f>Sheet3!G171</f>
        <v>4010.7480207517092</v>
      </c>
      <c r="H55" s="4"/>
    </row>
    <row r="56" spans="1:11" ht="19.3">
      <c r="A56" s="148" t="s">
        <v>76</v>
      </c>
      <c r="B56" s="148"/>
      <c r="C56" s="148"/>
      <c r="D56" s="28"/>
      <c r="E56" s="28"/>
      <c r="F56" s="28"/>
      <c r="G56" s="73"/>
      <c r="H56" s="4"/>
    </row>
    <row r="57" spans="1:11">
      <c r="A57" s="145" t="s">
        <v>77</v>
      </c>
      <c r="B57" s="145"/>
      <c r="C57" s="145"/>
      <c r="D57" s="28">
        <v>5.32</v>
      </c>
      <c r="E57" s="28">
        <v>5.54</v>
      </c>
      <c r="F57" s="28">
        <v>6.39</v>
      </c>
      <c r="G57" s="73">
        <f>Sheet3!G173</f>
        <v>8.0168004459308797</v>
      </c>
      <c r="H57" s="4"/>
    </row>
    <row r="58" spans="1:11">
      <c r="A58" s="145" t="s">
        <v>78</v>
      </c>
      <c r="B58" s="145"/>
      <c r="C58" s="145"/>
      <c r="D58" s="28">
        <v>0.01</v>
      </c>
      <c r="E58" s="28">
        <v>0.01</v>
      </c>
      <c r="F58" s="28">
        <v>0.02</v>
      </c>
      <c r="G58" s="76">
        <f>Sheet3!G174</f>
        <v>0</v>
      </c>
      <c r="H58" s="15"/>
    </row>
    <row r="59" spans="1:11">
      <c r="A59" s="145" t="s">
        <v>79</v>
      </c>
      <c r="B59" s="145"/>
      <c r="C59" s="145"/>
      <c r="D59" s="28">
        <v>5.32</v>
      </c>
      <c r="E59" s="28">
        <v>5.55</v>
      </c>
      <c r="F59" s="28">
        <v>6.42</v>
      </c>
      <c r="G59" s="73">
        <f>Sheet3!G175</f>
        <v>8.0083847314317236</v>
      </c>
      <c r="H59" s="4"/>
    </row>
    <row r="60" spans="1:11" ht="19.3">
      <c r="A60" s="148" t="s">
        <v>80</v>
      </c>
      <c r="B60" s="148"/>
      <c r="C60" s="148"/>
      <c r="D60" s="28"/>
      <c r="E60" s="28"/>
      <c r="F60" s="28"/>
      <c r="G60" s="73"/>
      <c r="H60" s="4"/>
    </row>
    <row r="61" spans="1:11">
      <c r="A61" s="145" t="s">
        <v>77</v>
      </c>
      <c r="B61" s="145"/>
      <c r="C61" s="145"/>
      <c r="D61" s="28">
        <v>5.29</v>
      </c>
      <c r="E61" s="28">
        <v>5.5</v>
      </c>
      <c r="F61" s="28">
        <v>6.34</v>
      </c>
      <c r="G61" s="73">
        <f>Sheet3!G177</f>
        <v>8.0583507781297339</v>
      </c>
      <c r="H61" s="4"/>
    </row>
    <row r="62" spans="1:11">
      <c r="A62" s="145" t="s">
        <v>78</v>
      </c>
      <c r="B62" s="145"/>
      <c r="C62" s="145"/>
      <c r="D62" s="28">
        <v>1E-3</v>
      </c>
      <c r="E62" s="28">
        <v>1E-3</v>
      </c>
      <c r="F62" s="28">
        <v>2E-3</v>
      </c>
      <c r="G62" s="76">
        <f>Sheet3!G178</f>
        <v>0</v>
      </c>
      <c r="H62" s="15"/>
    </row>
    <row r="63" spans="1:11">
      <c r="A63" s="145" t="s">
        <v>79</v>
      </c>
      <c r="B63" s="145"/>
      <c r="C63" s="145"/>
      <c r="D63" s="28">
        <v>5.29</v>
      </c>
      <c r="E63" s="28">
        <v>5.51</v>
      </c>
      <c r="F63" s="28">
        <f>6.36</f>
        <v>6.36</v>
      </c>
      <c r="G63" s="73">
        <f>Sheet3!G179</f>
        <v>8.0334764338062268</v>
      </c>
      <c r="H63" s="4"/>
    </row>
    <row r="64" spans="1:11" ht="19.3">
      <c r="A64" s="148" t="s">
        <v>81</v>
      </c>
      <c r="B64" s="148"/>
      <c r="C64" s="148"/>
      <c r="D64" s="28"/>
      <c r="E64" s="28"/>
      <c r="F64" s="28"/>
      <c r="G64" s="77"/>
    </row>
    <row r="65" spans="1:12">
      <c r="A65" s="145" t="s">
        <v>82</v>
      </c>
      <c r="B65" s="145"/>
      <c r="C65" s="145"/>
      <c r="D65" s="28">
        <v>510.9</v>
      </c>
      <c r="E65" s="28">
        <v>528.6</v>
      </c>
      <c r="F65" s="28">
        <v>546.79999999999995</v>
      </c>
      <c r="G65" s="73">
        <f>Sheet3!G181</f>
        <v>500.81859891297643</v>
      </c>
      <c r="H65" s="4"/>
    </row>
    <row r="66" spans="1:12">
      <c r="A66" s="145" t="s">
        <v>83</v>
      </c>
      <c r="B66" s="145"/>
      <c r="C66" s="145"/>
      <c r="D66" s="28">
        <v>515.6</v>
      </c>
      <c r="E66" s="28">
        <v>533.20000000000005</v>
      </c>
      <c r="F66" s="28">
        <v>550.29999999999995</v>
      </c>
      <c r="G66" s="73">
        <f>Sheet3!G183</f>
        <v>505.21267413403609</v>
      </c>
      <c r="H66" s="4"/>
    </row>
    <row r="67" spans="1:12">
      <c r="A67" s="149" t="s">
        <v>84</v>
      </c>
      <c r="B67" s="149"/>
      <c r="C67" s="149"/>
      <c r="D67" s="30">
        <v>0</v>
      </c>
      <c r="E67" s="30">
        <v>0</v>
      </c>
      <c r="F67" s="31">
        <v>4.0999999999999996</v>
      </c>
      <c r="G67" s="78">
        <f>Sheet3!G184</f>
        <v>0.02</v>
      </c>
      <c r="H67" s="41"/>
    </row>
    <row r="68" spans="1:12">
      <c r="A68" s="146"/>
      <c r="B68" s="146"/>
      <c r="C68" s="146"/>
    </row>
    <row r="69" spans="1:12">
      <c r="A69" s="140" t="s">
        <v>85</v>
      </c>
      <c r="B69" s="140"/>
      <c r="C69" s="140"/>
      <c r="D69" s="2">
        <v>2017</v>
      </c>
      <c r="E69" s="2">
        <v>2018</v>
      </c>
      <c r="F69" s="2">
        <v>2019</v>
      </c>
      <c r="G69" s="2">
        <v>2020</v>
      </c>
      <c r="H69" s="2">
        <v>2021</v>
      </c>
      <c r="I69" s="2">
        <v>2022</v>
      </c>
      <c r="J69" s="2">
        <v>2023</v>
      </c>
      <c r="K69" s="2">
        <v>2024</v>
      </c>
      <c r="L69" s="2">
        <v>2025</v>
      </c>
    </row>
    <row r="70" spans="1:12">
      <c r="A70" s="147" t="s">
        <v>86</v>
      </c>
      <c r="B70" s="147"/>
      <c r="C70" s="147"/>
    </row>
    <row r="71" spans="1:12">
      <c r="A71" s="145" t="s">
        <v>87</v>
      </c>
      <c r="B71" s="145"/>
      <c r="C71" s="145"/>
      <c r="D71" s="28">
        <v>2914</v>
      </c>
      <c r="E71" s="28">
        <v>2937</v>
      </c>
      <c r="F71" s="28">
        <v>3281</v>
      </c>
    </row>
    <row r="72" spans="1:12">
      <c r="A72" s="145" t="s">
        <v>88</v>
      </c>
      <c r="B72" s="145"/>
      <c r="C72" s="145"/>
      <c r="D72" s="28">
        <v>6</v>
      </c>
      <c r="E72" s="28">
        <v>7</v>
      </c>
      <c r="F72" s="28">
        <v>12</v>
      </c>
    </row>
    <row r="73" spans="1:12">
      <c r="A73" s="145" t="s">
        <v>73</v>
      </c>
      <c r="B73" s="145"/>
      <c r="C73" s="145"/>
      <c r="D73" s="29">
        <f>D71-D72</f>
        <v>2908</v>
      </c>
      <c r="E73" s="29">
        <f t="shared" ref="E73:F73" si="1">E71-E72</f>
        <v>2930</v>
      </c>
      <c r="F73" s="29">
        <f t="shared" si="1"/>
        <v>3269</v>
      </c>
    </row>
    <row r="74" spans="1:12">
      <c r="A74" s="145" t="s">
        <v>89</v>
      </c>
      <c r="B74" s="145"/>
      <c r="C74" s="145"/>
      <c r="D74" s="28"/>
      <c r="E74" s="28"/>
      <c r="F74" s="28"/>
    </row>
    <row r="75" spans="1:12">
      <c r="A75" s="145" t="s">
        <v>90</v>
      </c>
      <c r="B75" s="145"/>
      <c r="C75" s="145"/>
      <c r="D75" s="24">
        <v>2476</v>
      </c>
      <c r="E75" s="24">
        <v>2474</v>
      </c>
      <c r="F75" s="24">
        <v>2604</v>
      </c>
    </row>
    <row r="76" spans="1:12">
      <c r="A76" s="145" t="s">
        <v>91</v>
      </c>
      <c r="B76" s="145"/>
      <c r="C76" s="145"/>
      <c r="D76" s="32">
        <v>112</v>
      </c>
      <c r="E76" s="32">
        <v>132</v>
      </c>
      <c r="F76" s="32">
        <v>147</v>
      </c>
    </row>
    <row r="77" spans="1:12">
      <c r="A77" s="145" t="s">
        <v>92</v>
      </c>
      <c r="B77" s="145"/>
      <c r="C77" s="145"/>
      <c r="D77" s="33">
        <v>-188</v>
      </c>
      <c r="E77" s="32">
        <v>322</v>
      </c>
      <c r="F77" s="32">
        <v>178</v>
      </c>
    </row>
    <row r="78" spans="1:12">
      <c r="A78" s="149" t="s">
        <v>93</v>
      </c>
      <c r="B78" s="149"/>
      <c r="C78" s="149"/>
      <c r="D78" s="34">
        <v>123</v>
      </c>
      <c r="E78" s="35">
        <v>0</v>
      </c>
      <c r="F78" s="34">
        <v>10</v>
      </c>
    </row>
    <row r="79" spans="1:12">
      <c r="A79" s="145" t="s">
        <v>94</v>
      </c>
      <c r="B79" s="145"/>
      <c r="C79" s="145"/>
      <c r="D79" s="32">
        <v>208</v>
      </c>
      <c r="E79" s="32">
        <v>95</v>
      </c>
      <c r="F79" s="32">
        <v>29</v>
      </c>
    </row>
    <row r="80" spans="1:12">
      <c r="A80" s="145" t="s">
        <v>95</v>
      </c>
      <c r="B80" s="145"/>
      <c r="C80" s="145"/>
      <c r="D80" s="32"/>
      <c r="E80" s="32"/>
      <c r="F80" s="32"/>
    </row>
    <row r="81" spans="1:6">
      <c r="A81" s="145" t="s">
        <v>96</v>
      </c>
      <c r="B81" s="145"/>
      <c r="C81" s="145"/>
      <c r="D81" s="33">
        <v>-348</v>
      </c>
      <c r="E81" s="33">
        <v>-900</v>
      </c>
      <c r="F81" s="32">
        <v>505</v>
      </c>
    </row>
    <row r="82" spans="1:6">
      <c r="A82" s="145" t="s">
        <v>97</v>
      </c>
      <c r="B82" s="145"/>
      <c r="C82" s="145"/>
      <c r="D82" s="33">
        <v>-156</v>
      </c>
      <c r="E82" s="33">
        <v>-299</v>
      </c>
      <c r="F82" s="32">
        <v>18</v>
      </c>
    </row>
    <row r="83" spans="1:6">
      <c r="A83" s="145" t="s">
        <v>45</v>
      </c>
      <c r="B83" s="145"/>
      <c r="C83" s="145"/>
      <c r="D83" s="32">
        <v>1307</v>
      </c>
      <c r="E83" s="32">
        <v>1127</v>
      </c>
      <c r="F83" s="32">
        <v>140</v>
      </c>
    </row>
    <row r="84" spans="1:6">
      <c r="A84" s="145" t="s">
        <v>98</v>
      </c>
      <c r="B84" s="145"/>
      <c r="C84" s="145"/>
      <c r="D84" s="32">
        <v>419</v>
      </c>
      <c r="E84" s="32">
        <v>89</v>
      </c>
      <c r="F84" s="32">
        <v>199</v>
      </c>
    </row>
    <row r="85" spans="1:6">
      <c r="A85" s="145" t="s">
        <v>99</v>
      </c>
      <c r="B85" s="145"/>
      <c r="C85" s="145"/>
      <c r="D85" s="32">
        <v>6861</v>
      </c>
      <c r="E85" s="32">
        <v>5970</v>
      </c>
      <c r="F85" s="32">
        <v>7099</v>
      </c>
    </row>
    <row r="86" spans="1:6">
      <c r="A86" s="145" t="s">
        <v>100</v>
      </c>
      <c r="B86" s="145"/>
      <c r="C86" s="145"/>
      <c r="D86" s="32">
        <v>74</v>
      </c>
      <c r="E86" s="28">
        <v>3</v>
      </c>
      <c r="F86" s="32">
        <v>18</v>
      </c>
    </row>
    <row r="87" spans="1:6">
      <c r="A87" s="145" t="s">
        <v>101</v>
      </c>
      <c r="B87" s="145"/>
      <c r="C87" s="145"/>
      <c r="D87" s="36">
        <f>SUM(D85:D86)</f>
        <v>6935</v>
      </c>
      <c r="E87" s="29">
        <f>SUM(E85:E86)</f>
        <v>5973</v>
      </c>
      <c r="F87" s="29">
        <f>SUM(F85:F86)</f>
        <v>7117</v>
      </c>
    </row>
    <row r="88" spans="1:6">
      <c r="A88" s="147" t="s">
        <v>102</v>
      </c>
      <c r="B88" s="147"/>
      <c r="C88" s="147"/>
      <c r="D88" s="28"/>
      <c r="E88" s="28"/>
      <c r="F88" s="28"/>
    </row>
    <row r="89" spans="1:6">
      <c r="A89" s="145" t="s">
        <v>103</v>
      </c>
      <c r="B89" s="145"/>
      <c r="C89" s="145"/>
      <c r="D89" s="24">
        <v>-2533</v>
      </c>
      <c r="E89" s="24">
        <v>-3516</v>
      </c>
      <c r="F89" s="24">
        <v>-3027</v>
      </c>
    </row>
    <row r="90" spans="1:6">
      <c r="A90" s="145" t="s">
        <v>104</v>
      </c>
      <c r="B90" s="145"/>
      <c r="C90" s="145"/>
      <c r="D90" s="28">
        <v>31</v>
      </c>
      <c r="E90" s="28">
        <v>85</v>
      </c>
      <c r="F90" s="24">
        <v>63</v>
      </c>
    </row>
    <row r="91" spans="1:6">
      <c r="A91" s="149" t="s">
        <v>105</v>
      </c>
      <c r="B91" s="149"/>
      <c r="C91" s="149"/>
      <c r="D91" s="37">
        <v>-518</v>
      </c>
      <c r="E91" s="35">
        <v>0</v>
      </c>
      <c r="F91" s="35">
        <v>0</v>
      </c>
    </row>
    <row r="92" spans="1:6">
      <c r="A92" s="145" t="s">
        <v>106</v>
      </c>
      <c r="B92" s="145"/>
      <c r="C92" s="145"/>
      <c r="D92" s="24">
        <v>-55</v>
      </c>
      <c r="E92" s="28">
        <v>15</v>
      </c>
      <c r="F92" s="24">
        <v>20</v>
      </c>
    </row>
    <row r="93" spans="1:6">
      <c r="A93" s="145" t="s">
        <v>107</v>
      </c>
      <c r="B93" s="145"/>
      <c r="C93" s="145"/>
      <c r="D93" s="11">
        <f>SUM(D89:D92)</f>
        <v>-3075</v>
      </c>
      <c r="E93" s="11">
        <f>SUM(E89:E92)</f>
        <v>-3416</v>
      </c>
      <c r="F93" s="11">
        <f>SUM(F89:F92)</f>
        <v>-2944</v>
      </c>
    </row>
    <row r="94" spans="1:6">
      <c r="A94" s="147" t="s">
        <v>108</v>
      </c>
      <c r="B94" s="147"/>
      <c r="C94" s="147"/>
      <c r="D94" s="28"/>
      <c r="E94" s="28"/>
      <c r="F94" s="28"/>
    </row>
    <row r="95" spans="1:6">
      <c r="A95" s="149" t="s">
        <v>109</v>
      </c>
      <c r="B95" s="149"/>
      <c r="C95" s="149"/>
      <c r="D95" s="31">
        <v>739</v>
      </c>
      <c r="E95" s="35">
        <v>0</v>
      </c>
      <c r="F95" s="37">
        <v>1739</v>
      </c>
    </row>
    <row r="96" spans="1:6">
      <c r="A96" s="145" t="s">
        <v>110</v>
      </c>
      <c r="B96" s="145"/>
      <c r="C96" s="145"/>
      <c r="D96" s="24">
        <v>-2192</v>
      </c>
      <c r="E96" s="24">
        <v>-281</v>
      </c>
      <c r="F96" s="24">
        <v>-2069</v>
      </c>
    </row>
    <row r="97" spans="1:16">
      <c r="A97" s="145" t="s">
        <v>111</v>
      </c>
      <c r="B97" s="145"/>
      <c r="C97" s="145"/>
      <c r="D97" s="24">
        <v>-1338</v>
      </c>
      <c r="E97" s="24">
        <v>-1335</v>
      </c>
      <c r="F97" s="24">
        <v>-1330</v>
      </c>
    </row>
    <row r="98" spans="1:16">
      <c r="A98" s="145" t="s">
        <v>112</v>
      </c>
      <c r="B98" s="145"/>
      <c r="C98" s="145"/>
      <c r="D98" s="24">
        <v>-1046</v>
      </c>
      <c r="E98" s="24">
        <v>-2124</v>
      </c>
      <c r="F98" s="24">
        <v>-1565</v>
      </c>
    </row>
    <row r="99" spans="1:16">
      <c r="A99" s="145" t="s">
        <v>113</v>
      </c>
      <c r="B99" s="145"/>
      <c r="C99" s="145"/>
      <c r="D99" s="28">
        <v>108</v>
      </c>
      <c r="E99" s="28">
        <v>96</v>
      </c>
      <c r="F99" s="28">
        <v>73</v>
      </c>
    </row>
    <row r="100" spans="1:16">
      <c r="A100" s="145" t="s">
        <v>114</v>
      </c>
      <c r="B100" s="145"/>
      <c r="C100" s="145"/>
      <c r="D100" s="24">
        <v>-3729</v>
      </c>
      <c r="E100" s="24">
        <f>SUM(E95:E99)</f>
        <v>-3644</v>
      </c>
      <c r="F100" s="24">
        <v>-3152</v>
      </c>
    </row>
    <row r="101" spans="1:16">
      <c r="A101" s="145" t="s">
        <v>115</v>
      </c>
      <c r="B101" s="145"/>
      <c r="C101" s="145"/>
      <c r="D101" s="28">
        <v>131</v>
      </c>
      <c r="E101" s="24">
        <v>-1087</v>
      </c>
      <c r="F101" s="28">
        <v>1021</v>
      </c>
    </row>
    <row r="102" spans="1:16">
      <c r="A102" s="145" t="s">
        <v>116</v>
      </c>
      <c r="B102" s="145"/>
      <c r="C102" s="145"/>
      <c r="D102" s="28">
        <v>2512</v>
      </c>
      <c r="E102" s="28">
        <v>2643</v>
      </c>
      <c r="F102" s="28">
        <v>1556</v>
      </c>
    </row>
    <row r="103" spans="1:16">
      <c r="A103" s="145" t="s">
        <v>117</v>
      </c>
      <c r="B103" s="145"/>
      <c r="C103" s="145"/>
      <c r="D103" s="29">
        <f>SUM(D101:D102)</f>
        <v>2643</v>
      </c>
      <c r="E103" s="11">
        <f>SUM(E101:E102)</f>
        <v>1556</v>
      </c>
      <c r="F103" s="29">
        <f>SUM(F101:F102)</f>
        <v>2577</v>
      </c>
    </row>
    <row r="104" spans="1:16">
      <c r="A104" s="145" t="s">
        <v>118</v>
      </c>
      <c r="B104" s="145"/>
      <c r="C104" s="145"/>
      <c r="D104" s="28"/>
      <c r="E104" s="28"/>
      <c r="F104" s="28"/>
    </row>
    <row r="105" spans="1:16">
      <c r="A105" s="145" t="s">
        <v>119</v>
      </c>
      <c r="B105" s="145"/>
      <c r="C105" s="145"/>
      <c r="D105" s="28">
        <v>678</v>
      </c>
      <c r="E105" s="28">
        <v>476</v>
      </c>
      <c r="F105" s="28">
        <v>492</v>
      </c>
    </row>
    <row r="106" spans="1:16">
      <c r="A106" s="145" t="s">
        <v>120</v>
      </c>
      <c r="B106" s="145"/>
      <c r="C106" s="145"/>
      <c r="D106" s="28">
        <v>934</v>
      </c>
      <c r="E106" s="28">
        <v>373</v>
      </c>
      <c r="F106" s="28">
        <v>696</v>
      </c>
    </row>
    <row r="107" spans="1:16">
      <c r="A107" s="145" t="s">
        <v>121</v>
      </c>
      <c r="B107" s="145"/>
      <c r="C107" s="145"/>
      <c r="D107" s="28">
        <v>139</v>
      </c>
      <c r="E107" s="28">
        <v>130</v>
      </c>
      <c r="F107" s="28">
        <v>379</v>
      </c>
    </row>
    <row r="108" spans="1:16">
      <c r="A108" s="145" t="s">
        <v>122</v>
      </c>
      <c r="B108" s="145"/>
      <c r="C108" s="145"/>
      <c r="D108" s="28">
        <v>212</v>
      </c>
      <c r="E108" s="28">
        <v>246</v>
      </c>
      <c r="F108" s="28">
        <v>464</v>
      </c>
    </row>
    <row r="109" spans="1:16">
      <c r="A109" s="145"/>
      <c r="B109" s="145"/>
      <c r="C109" s="145"/>
    </row>
    <row r="110" spans="1:16">
      <c r="A110" s="140" t="s">
        <v>123</v>
      </c>
      <c r="B110" s="140"/>
      <c r="C110" s="140"/>
      <c r="D110" s="2">
        <v>2017</v>
      </c>
      <c r="E110" s="2">
        <v>2018</v>
      </c>
      <c r="F110" s="2">
        <v>2019</v>
      </c>
      <c r="G110" s="2">
        <v>2020</v>
      </c>
      <c r="H110" s="2">
        <v>2021</v>
      </c>
      <c r="I110" s="2">
        <v>2022</v>
      </c>
      <c r="J110" s="2">
        <v>2023</v>
      </c>
      <c r="K110" s="2">
        <v>2024</v>
      </c>
      <c r="L110" s="2">
        <v>2025</v>
      </c>
      <c r="M110" s="157" t="s">
        <v>311</v>
      </c>
      <c r="N110" s="146"/>
      <c r="O110" s="146"/>
      <c r="P110" s="146"/>
    </row>
    <row r="111" spans="1:16">
      <c r="A111" s="146" t="s">
        <v>124</v>
      </c>
      <c r="B111" s="146"/>
      <c r="C111" s="146"/>
      <c r="M111" s="146"/>
      <c r="N111" s="146"/>
      <c r="O111" s="146"/>
      <c r="P111" s="146"/>
    </row>
    <row r="112" spans="1:16">
      <c r="A112" s="145" t="s">
        <v>126</v>
      </c>
      <c r="B112" s="145"/>
      <c r="C112" s="145"/>
      <c r="D112">
        <f>$D$42</f>
        <v>71786</v>
      </c>
      <c r="E112">
        <f>$E$42</f>
        <v>74433</v>
      </c>
      <c r="F112">
        <f>$F$42</f>
        <v>77130</v>
      </c>
      <c r="G112" s="4">
        <f>G42</f>
        <v>94574.014817281655</v>
      </c>
      <c r="M112" s="146"/>
      <c r="N112" s="146"/>
      <c r="O112" s="146"/>
      <c r="P112" s="146"/>
    </row>
    <row r="113" spans="1:7">
      <c r="A113" s="145" t="s">
        <v>127</v>
      </c>
      <c r="B113" s="145"/>
      <c r="C113" s="145"/>
      <c r="E113" s="38">
        <f>((E112-D112))/D112</f>
        <v>3.6873485080656396E-2</v>
      </c>
      <c r="F113" s="38">
        <f>((F112-E112))/E112</f>
        <v>3.6233928499455885E-2</v>
      </c>
      <c r="G113" s="38">
        <f>((G112-F112))/F112</f>
        <v>0.22616381197046098</v>
      </c>
    </row>
    <row r="114" spans="1:7">
      <c r="A114" s="146"/>
      <c r="B114" s="146"/>
      <c r="C114" s="146"/>
      <c r="E114" s="38"/>
      <c r="F114" s="38"/>
    </row>
    <row r="115" spans="1:7">
      <c r="A115" s="146" t="s">
        <v>128</v>
      </c>
      <c r="B115" s="146"/>
      <c r="C115" s="146"/>
    </row>
    <row r="116" spans="1:7">
      <c r="A116" s="145" t="s">
        <v>129</v>
      </c>
      <c r="B116" s="145"/>
      <c r="C116" s="145"/>
      <c r="D116">
        <f>$D$44</f>
        <v>72714</v>
      </c>
      <c r="E116">
        <f>$E$44</f>
        <v>75356</v>
      </c>
      <c r="F116">
        <f>$F$44</f>
        <v>78112</v>
      </c>
      <c r="G116" s="4">
        <f>G44</f>
        <v>95809.817149227601</v>
      </c>
    </row>
    <row r="117" spans="1:7">
      <c r="A117" s="150" t="s">
        <v>131</v>
      </c>
      <c r="B117" s="150"/>
      <c r="C117" s="150"/>
      <c r="E117" s="38">
        <f>E116/D116-1</f>
        <v>3.6334130978903589E-2</v>
      </c>
      <c r="F117" s="38">
        <f>F116/E116-1</f>
        <v>3.6573066510961372E-2</v>
      </c>
      <c r="G117" s="38">
        <f>G116/F116-1</f>
        <v>0.22656976071829682</v>
      </c>
    </row>
    <row r="118" spans="1:7">
      <c r="A118" s="145" t="s">
        <v>132</v>
      </c>
      <c r="B118" s="145"/>
      <c r="C118" s="145"/>
      <c r="E118" s="38">
        <f>((E116/D116)^(1/1))-1</f>
        <v>3.6334130978903589E-2</v>
      </c>
      <c r="F118" s="38">
        <f>((F116/D116)^(1/2))-1</f>
        <v>3.6453591859652246E-2</v>
      </c>
      <c r="G118" s="38">
        <f>((G116/E116)^(1/3))-1</f>
        <v>8.333820179533924E-2</v>
      </c>
    </row>
    <row r="119" spans="1:7">
      <c r="A119" s="146"/>
      <c r="B119" s="146"/>
      <c r="C119" s="146"/>
    </row>
    <row r="120" spans="1:7">
      <c r="A120" s="145" t="s">
        <v>133</v>
      </c>
      <c r="B120" s="145"/>
      <c r="C120" s="145"/>
      <c r="D120" s="12">
        <f>-$D$45</f>
        <v>-51125</v>
      </c>
      <c r="E120" s="12">
        <f>-$E$45</f>
        <v>-53299</v>
      </c>
      <c r="F120" s="12">
        <f>-$F$45</f>
        <v>-54864</v>
      </c>
    </row>
    <row r="121" spans="1:7">
      <c r="A121" s="150" t="s">
        <v>134</v>
      </c>
      <c r="B121" s="150"/>
      <c r="C121" s="150"/>
      <c r="D121" s="39">
        <f>-D120/D116</f>
        <v>0.70309706521440163</v>
      </c>
      <c r="E121" s="39">
        <f t="shared" ref="E121:F121" si="2">-E120/E116</f>
        <v>0.70729603482138115</v>
      </c>
      <c r="F121" s="39">
        <f t="shared" si="2"/>
        <v>0.70237607537894309</v>
      </c>
    </row>
    <row r="122" spans="1:7">
      <c r="A122" s="150" t="s">
        <v>135</v>
      </c>
      <c r="B122" s="150"/>
      <c r="C122" s="150"/>
      <c r="D122" s="40">
        <f>1-D121</f>
        <v>0.29690293478559837</v>
      </c>
      <c r="E122" s="40">
        <f t="shared" ref="E122:F122" si="3">1-E121</f>
        <v>0.29270396517861885</v>
      </c>
      <c r="F122" s="40">
        <f t="shared" si="3"/>
        <v>0.29762392462105691</v>
      </c>
    </row>
    <row r="123" spans="1:7">
      <c r="A123" s="146"/>
      <c r="B123" s="146"/>
      <c r="C123" s="146"/>
    </row>
    <row r="124" spans="1:7">
      <c r="A124" s="145" t="s">
        <v>136</v>
      </c>
      <c r="B124" s="145"/>
      <c r="C124" s="145"/>
      <c r="D124" s="12">
        <f>-$D$46</f>
        <v>-15140</v>
      </c>
      <c r="E124" s="12">
        <f>-$E$46</f>
        <v>-15723</v>
      </c>
      <c r="F124" s="12">
        <f>-$F$46</f>
        <v>-16233</v>
      </c>
    </row>
    <row r="125" spans="1:7">
      <c r="A125" s="150" t="s">
        <v>137</v>
      </c>
      <c r="B125" s="150"/>
      <c r="C125" s="150"/>
      <c r="D125" s="39">
        <f>-D124/D116</f>
        <v>0.20821299887229419</v>
      </c>
      <c r="E125" s="39">
        <f t="shared" ref="E125:F125" si="4">-E124/E116</f>
        <v>0.20864960985190298</v>
      </c>
      <c r="F125" s="39">
        <f t="shared" si="4"/>
        <v>0.20781698074559607</v>
      </c>
    </row>
    <row r="126" spans="1:7">
      <c r="A126" s="146"/>
      <c r="B126" s="146"/>
      <c r="C126" s="146"/>
    </row>
    <row r="127" spans="1:7">
      <c r="A127" s="145" t="s">
        <v>139</v>
      </c>
      <c r="B127" s="145"/>
      <c r="C127" s="145"/>
      <c r="D127" s="12">
        <f>D116+D124+D120</f>
        <v>6449</v>
      </c>
      <c r="E127" s="12">
        <f t="shared" ref="E127:F127" si="5">E116+E124+E120</f>
        <v>6334</v>
      </c>
      <c r="F127" s="12">
        <f t="shared" si="5"/>
        <v>7015</v>
      </c>
    </row>
    <row r="128" spans="1:7">
      <c r="A128" s="145" t="s">
        <v>141</v>
      </c>
      <c r="B128" s="145"/>
      <c r="C128" s="145"/>
      <c r="D128" s="39">
        <f>D127/D116</f>
        <v>8.868993591330418E-2</v>
      </c>
      <c r="E128" s="39">
        <f t="shared" ref="E128:F128" si="6">E127/E116</f>
        <v>8.405435532671586E-2</v>
      </c>
      <c r="F128" s="39">
        <f t="shared" si="6"/>
        <v>8.9806943875460871E-2</v>
      </c>
    </row>
    <row r="129" spans="1:7">
      <c r="A129" s="146"/>
      <c r="B129" s="146"/>
      <c r="C129" s="146"/>
    </row>
    <row r="130" spans="1:7">
      <c r="G130" s="4"/>
    </row>
    <row r="131" spans="1:7">
      <c r="G131" s="4"/>
    </row>
    <row r="133" spans="1:7">
      <c r="A133" s="145"/>
      <c r="B133" s="145"/>
      <c r="C133" s="145"/>
    </row>
    <row r="136" spans="1:7">
      <c r="A136" s="146"/>
      <c r="B136" s="146"/>
      <c r="C136" s="146"/>
    </row>
    <row r="137" spans="1:7">
      <c r="A137" s="146" t="s">
        <v>156</v>
      </c>
      <c r="B137" s="146"/>
      <c r="C137" s="146"/>
    </row>
    <row r="138" spans="1:7">
      <c r="A138" s="162" t="s">
        <v>157</v>
      </c>
      <c r="B138" s="162"/>
      <c r="C138" s="162"/>
    </row>
    <row r="139" spans="1:7">
      <c r="A139" s="162" t="s">
        <v>159</v>
      </c>
      <c r="B139" s="162"/>
      <c r="C139" s="162"/>
      <c r="D139">
        <f>$D$44</f>
        <v>72714</v>
      </c>
      <c r="E139">
        <f>$E$44</f>
        <v>75356</v>
      </c>
      <c r="F139">
        <f>$F$44</f>
        <v>78112</v>
      </c>
    </row>
    <row r="140" spans="1:7">
      <c r="A140" s="162" t="s">
        <v>133</v>
      </c>
      <c r="B140" s="162"/>
      <c r="C140" s="162"/>
      <c r="D140">
        <f>$D$45</f>
        <v>51125</v>
      </c>
      <c r="E140">
        <f>$E$45</f>
        <v>53299</v>
      </c>
      <c r="F140">
        <f>$F$45</f>
        <v>54864</v>
      </c>
    </row>
    <row r="141" spans="1:7">
      <c r="A141" s="162"/>
      <c r="B141" s="162"/>
      <c r="C141" s="162"/>
    </row>
    <row r="142" spans="1:7">
      <c r="A142" s="162" t="s">
        <v>160</v>
      </c>
      <c r="B142" s="162"/>
      <c r="C142" s="162"/>
    </row>
    <row r="143" spans="1:7">
      <c r="A143" s="162" t="s">
        <v>161</v>
      </c>
      <c r="B143" s="162"/>
      <c r="C143" s="162"/>
    </row>
    <row r="144" spans="1:7">
      <c r="A144" s="162" t="s">
        <v>96</v>
      </c>
      <c r="B144" s="162"/>
      <c r="C144" s="162"/>
      <c r="D144" s="4">
        <f>$D$5</f>
        <v>8657</v>
      </c>
      <c r="E144" s="4">
        <f>$E$5</f>
        <v>9497</v>
      </c>
      <c r="F144" s="4">
        <f>$F$5</f>
        <v>8992</v>
      </c>
    </row>
    <row r="145" spans="1:6">
      <c r="A145" s="162" t="s">
        <v>163</v>
      </c>
      <c r="B145" s="162"/>
      <c r="C145" s="162"/>
      <c r="D145" s="4">
        <f>D144/D140*365</f>
        <v>61.805476772616139</v>
      </c>
      <c r="E145" s="4">
        <f>E144/E140*365</f>
        <v>65.036961293832903</v>
      </c>
      <c r="F145" s="4">
        <f>F144/F140*365</f>
        <v>59.822105570137062</v>
      </c>
    </row>
    <row r="146" spans="1:6">
      <c r="A146" s="162" t="s">
        <v>162</v>
      </c>
      <c r="B146" s="162"/>
      <c r="C146" s="162"/>
    </row>
    <row r="147" spans="1:6">
      <c r="A147" s="162"/>
      <c r="B147" s="162"/>
      <c r="C147" s="162"/>
    </row>
    <row r="148" spans="1:6">
      <c r="A148" s="162"/>
      <c r="B148" s="162"/>
      <c r="C148" s="162"/>
    </row>
    <row r="149" spans="1:6">
      <c r="A149" s="162" t="s">
        <v>164</v>
      </c>
      <c r="B149" s="162"/>
      <c r="C149" s="162"/>
    </row>
    <row r="150" spans="1:6">
      <c r="A150" s="162" t="s">
        <v>165</v>
      </c>
      <c r="B150" s="162"/>
      <c r="C150" s="162"/>
      <c r="D150" s="73">
        <f>$D$22</f>
        <v>8677</v>
      </c>
      <c r="E150" s="73">
        <f t="shared" ref="E150:F150" si="7">$D$22</f>
        <v>8677</v>
      </c>
      <c r="F150" s="73">
        <f t="shared" si="7"/>
        <v>8677</v>
      </c>
    </row>
    <row r="151" spans="1:6">
      <c r="A151" s="162" t="s">
        <v>166</v>
      </c>
      <c r="B151" s="162"/>
      <c r="C151" s="162"/>
      <c r="D151" s="4">
        <f>D150/D140*365</f>
        <v>61.948264058679712</v>
      </c>
      <c r="E151" s="4">
        <f>E150/E140*365</f>
        <v>59.42147132216364</v>
      </c>
      <c r="F151" s="4">
        <f>F150/F140*365</f>
        <v>57.72646908719743</v>
      </c>
    </row>
    <row r="152" spans="1:6">
      <c r="A152" s="145" t="s">
        <v>167</v>
      </c>
      <c r="B152" s="145"/>
      <c r="C152" s="145"/>
      <c r="D152" s="79">
        <f>$D$23</f>
        <v>4254</v>
      </c>
      <c r="E152" s="79">
        <f>$E$23</f>
        <v>4201</v>
      </c>
      <c r="F152" s="79">
        <f>$F$23</f>
        <v>4406</v>
      </c>
    </row>
    <row r="153" spans="1:6">
      <c r="A153" s="145" t="s">
        <v>168</v>
      </c>
      <c r="B153" s="145"/>
      <c r="C153" s="145"/>
      <c r="D153" s="4">
        <f>D152/D112*365</f>
        <v>21.629704956398182</v>
      </c>
      <c r="E153" s="4">
        <f t="shared" ref="E153:F153" si="8">E152/E112*365</f>
        <v>20.600607257533621</v>
      </c>
      <c r="F153" s="4">
        <f t="shared" si="8"/>
        <v>20.850382471152599</v>
      </c>
    </row>
    <row r="154" spans="1:6">
      <c r="A154" s="146"/>
      <c r="B154" s="146"/>
      <c r="C154" s="146"/>
    </row>
    <row r="155" spans="1:6">
      <c r="A155" s="146"/>
      <c r="B155" s="146"/>
      <c r="C155" s="146"/>
    </row>
    <row r="156" spans="1:6">
      <c r="A156" s="146"/>
      <c r="B156" s="146"/>
      <c r="C156" s="146"/>
    </row>
    <row r="157" spans="1:6">
      <c r="A157" s="146" t="s">
        <v>312</v>
      </c>
      <c r="B157" s="146"/>
      <c r="C157" s="146"/>
    </row>
    <row r="158" spans="1:6">
      <c r="A158" s="146" t="s">
        <v>313</v>
      </c>
      <c r="B158" s="146"/>
      <c r="C158" s="146"/>
    </row>
    <row r="159" spans="1:6">
      <c r="A159" s="146" t="s">
        <v>314</v>
      </c>
      <c r="B159" s="146"/>
      <c r="C159" s="146"/>
    </row>
    <row r="160" spans="1:6">
      <c r="A160" s="146" t="s">
        <v>315</v>
      </c>
      <c r="B160" s="146"/>
      <c r="C160" s="146"/>
    </row>
    <row r="161" spans="1:6">
      <c r="A161" s="146"/>
      <c r="B161" s="146"/>
      <c r="C161" s="146"/>
    </row>
    <row r="162" spans="1:6">
      <c r="A162" s="146" t="s">
        <v>169</v>
      </c>
      <c r="B162" s="146"/>
      <c r="C162" s="146"/>
    </row>
    <row r="163" spans="1:6">
      <c r="A163" s="145" t="s">
        <v>170</v>
      </c>
      <c r="B163" s="145"/>
      <c r="C163" s="145"/>
      <c r="D163" s="4">
        <f>$D$55</f>
        <v>2914</v>
      </c>
      <c r="E163" s="4">
        <f>$E$55</f>
        <v>2937</v>
      </c>
      <c r="F163" s="4">
        <f>$F$55</f>
        <v>3281</v>
      </c>
    </row>
    <row r="164" spans="1:6">
      <c r="A164" s="145" t="s">
        <v>171</v>
      </c>
      <c r="B164" s="145"/>
      <c r="C164" s="145"/>
      <c r="D164" s="9">
        <f>$D$37</f>
        <v>11709</v>
      </c>
      <c r="E164" s="9">
        <f>$E$37</f>
        <v>11297</v>
      </c>
      <c r="F164" s="9">
        <f>$F$37</f>
        <v>11833</v>
      </c>
    </row>
    <row r="165" spans="1:6">
      <c r="A165" s="150" t="s">
        <v>172</v>
      </c>
      <c r="B165" s="150"/>
      <c r="C165" s="150"/>
      <c r="D165" s="41">
        <f>D163/D164</f>
        <v>0.24886839183534035</v>
      </c>
      <c r="E165" s="41">
        <f>E163/E164</f>
        <v>0.2599805258033106</v>
      </c>
      <c r="F165" s="41">
        <f>F163/F164</f>
        <v>0.27727541620890728</v>
      </c>
    </row>
    <row r="166" spans="1:6">
      <c r="A166" s="146"/>
      <c r="B166" s="146"/>
      <c r="C166" s="146"/>
    </row>
    <row r="167" spans="1:6">
      <c r="A167" s="145" t="s">
        <v>173</v>
      </c>
      <c r="B167" s="145"/>
      <c r="C167" s="145"/>
      <c r="D167" s="4">
        <f>D19</f>
        <v>38999</v>
      </c>
      <c r="E167" s="4">
        <f>$E$19</f>
        <v>41290</v>
      </c>
      <c r="F167" s="4">
        <f>$F$19</f>
        <v>42779</v>
      </c>
    </row>
    <row r="168" spans="1:6">
      <c r="A168" s="150" t="s">
        <v>174</v>
      </c>
      <c r="B168" s="145"/>
      <c r="C168" s="145"/>
      <c r="D168" s="42">
        <f>D163/D167</f>
        <v>7.4719864611913128E-2</v>
      </c>
      <c r="E168" s="42">
        <f>E163/E167</f>
        <v>7.1131024461128609E-2</v>
      </c>
      <c r="F168" s="42">
        <f>F163/F167</f>
        <v>7.669650996984502E-2</v>
      </c>
    </row>
    <row r="169" spans="1:6">
      <c r="A169" s="146"/>
      <c r="B169" s="146"/>
      <c r="C169" s="146"/>
    </row>
    <row r="170" spans="1:6">
      <c r="A170" s="146" t="s">
        <v>175</v>
      </c>
      <c r="B170" s="146"/>
      <c r="C170" s="146"/>
    </row>
    <row r="171" spans="1:6">
      <c r="A171" s="146" t="s">
        <v>176</v>
      </c>
      <c r="B171" s="146"/>
      <c r="C171" s="146"/>
    </row>
    <row r="172" spans="1:6">
      <c r="A172" s="145" t="s">
        <v>177</v>
      </c>
      <c r="B172" s="145"/>
      <c r="C172" s="145"/>
      <c r="D172" s="4">
        <f>$D$7</f>
        <v>12564</v>
      </c>
      <c r="E172" s="4">
        <f>$E$7</f>
        <v>12519</v>
      </c>
      <c r="F172" s="4">
        <f>$F$7</f>
        <v>12902</v>
      </c>
    </row>
    <row r="173" spans="1:6">
      <c r="A173" s="145" t="s">
        <v>178</v>
      </c>
      <c r="B173" s="145"/>
      <c r="C173" s="145"/>
      <c r="D173" s="4">
        <f>$D$25</f>
        <v>13201</v>
      </c>
      <c r="E173" s="4">
        <f>$E$25</f>
        <v>15014</v>
      </c>
      <c r="F173" s="4">
        <f>$F$25</f>
        <v>14487</v>
      </c>
    </row>
    <row r="174" spans="1:6">
      <c r="A174" s="145" t="s">
        <v>179</v>
      </c>
      <c r="B174" s="145"/>
      <c r="C174" s="145"/>
      <c r="D174" s="4">
        <f>$D$4</f>
        <v>2643</v>
      </c>
      <c r="E174" s="4">
        <f>$E$4</f>
        <v>1556</v>
      </c>
      <c r="F174" s="4">
        <f>$F$4</f>
        <v>2577</v>
      </c>
    </row>
    <row r="175" spans="1:6">
      <c r="A175" s="145" t="s">
        <v>180</v>
      </c>
      <c r="B175" s="145"/>
      <c r="C175" s="145"/>
      <c r="D175" s="4">
        <f>$D$87</f>
        <v>6935</v>
      </c>
      <c r="E175" s="4">
        <f>$E$87</f>
        <v>5973</v>
      </c>
      <c r="F175" s="4">
        <f>$F$87</f>
        <v>7117</v>
      </c>
    </row>
    <row r="176" spans="1:6">
      <c r="A176" s="145" t="s">
        <v>96</v>
      </c>
      <c r="B176" s="145"/>
      <c r="C176" s="145"/>
      <c r="D176" s="4">
        <f>$D$5</f>
        <v>8657</v>
      </c>
      <c r="E176" s="4">
        <f>$E$5</f>
        <v>9497</v>
      </c>
      <c r="F176" s="4">
        <f>$F$5</f>
        <v>8992</v>
      </c>
    </row>
    <row r="177" spans="1:7">
      <c r="A177" s="146"/>
      <c r="B177" s="146"/>
      <c r="C177" s="146"/>
      <c r="D177" s="4"/>
      <c r="E177" s="4"/>
      <c r="F177" s="4"/>
    </row>
    <row r="178" spans="1:7">
      <c r="A178" s="147" t="s">
        <v>181</v>
      </c>
      <c r="B178" s="147"/>
      <c r="C178" s="147"/>
      <c r="D178" s="41">
        <f>D172/D173</f>
        <v>0.9517460798424362</v>
      </c>
      <c r="E178" s="41">
        <f>E172/E173</f>
        <v>0.83382176635140537</v>
      </c>
      <c r="F178" s="41">
        <f>F172/F173</f>
        <v>0.89059156485124591</v>
      </c>
    </row>
    <row r="179" spans="1:7">
      <c r="A179" s="145"/>
      <c r="B179" s="145"/>
      <c r="C179" s="145"/>
    </row>
    <row r="180" spans="1:7">
      <c r="A180" s="147" t="s">
        <v>182</v>
      </c>
      <c r="B180" s="147"/>
      <c r="C180" s="147"/>
      <c r="D180" s="41">
        <f>D174/D173</f>
        <v>0.20021210514354973</v>
      </c>
      <c r="E180" s="41">
        <f>E174/E173</f>
        <v>0.10363660583455442</v>
      </c>
      <c r="F180" s="41">
        <f>F174/F173</f>
        <v>0.17788361979705944</v>
      </c>
    </row>
    <row r="181" spans="1:7">
      <c r="A181" s="146"/>
      <c r="B181" s="146"/>
      <c r="C181" s="146"/>
      <c r="D181" s="4"/>
      <c r="E181" s="4"/>
      <c r="F181" s="4"/>
    </row>
    <row r="182" spans="1:7">
      <c r="A182" s="147" t="s">
        <v>183</v>
      </c>
      <c r="B182" s="147"/>
      <c r="C182" s="147"/>
      <c r="D182" s="41">
        <f>E175/D173</f>
        <v>0.45246572229376564</v>
      </c>
      <c r="E182" s="41">
        <f>F175/E173</f>
        <v>0.47402424403889704</v>
      </c>
      <c r="F182" s="41">
        <f>F175/F173</f>
        <v>0.4912680334092635</v>
      </c>
    </row>
    <row r="183" spans="1:7">
      <c r="A183" s="146"/>
      <c r="B183" s="146"/>
      <c r="C183" s="146"/>
    </row>
    <row r="184" spans="1:7">
      <c r="A184" s="147" t="s">
        <v>184</v>
      </c>
      <c r="B184" s="147"/>
      <c r="C184" s="147"/>
      <c r="D184" s="41">
        <f>(D172-D176)/D173</f>
        <v>0.29596242708885689</v>
      </c>
      <c r="E184" s="41">
        <f>(E172-E176)/E173</f>
        <v>0.20127880644731583</v>
      </c>
      <c r="F184" s="41">
        <f>(F172-F176)/F173</f>
        <v>0.26989714916821977</v>
      </c>
    </row>
    <row r="185" spans="1:7">
      <c r="A185" s="145"/>
      <c r="B185" s="145"/>
      <c r="C185" s="145"/>
    </row>
    <row r="186" spans="1:7">
      <c r="A186" s="146" t="s">
        <v>186</v>
      </c>
      <c r="B186" s="146"/>
      <c r="C186" s="146"/>
      <c r="G186" s="41"/>
    </row>
    <row r="187" spans="1:7">
      <c r="A187" s="146" t="s">
        <v>176</v>
      </c>
      <c r="B187" s="146"/>
      <c r="C187" s="146"/>
    </row>
    <row r="188" spans="1:7">
      <c r="A188" s="146" t="s">
        <v>187</v>
      </c>
      <c r="B188" s="146"/>
      <c r="C188" s="146"/>
      <c r="D188" s="4">
        <f>$D$25+$D$30</f>
        <v>27290</v>
      </c>
      <c r="E188" s="4">
        <f>$E$25+$E$30</f>
        <v>29993</v>
      </c>
      <c r="F188" s="4">
        <f>$F$25+$F$30</f>
        <v>30946</v>
      </c>
    </row>
    <row r="189" spans="1:7">
      <c r="A189" s="146" t="s">
        <v>188</v>
      </c>
      <c r="B189" s="146"/>
      <c r="C189" s="146"/>
      <c r="D189" s="4">
        <f>$D$19</f>
        <v>38999</v>
      </c>
      <c r="E189" s="4">
        <f>$E$19</f>
        <v>41290</v>
      </c>
      <c r="F189" s="4">
        <f>$F$19</f>
        <v>42779</v>
      </c>
    </row>
    <row r="190" spans="1:7">
      <c r="A190" s="146" t="s">
        <v>171</v>
      </c>
      <c r="B190" s="146"/>
      <c r="C190" s="146"/>
      <c r="D190" s="9">
        <f>$D$37</f>
        <v>11709</v>
      </c>
      <c r="E190" s="9">
        <f>$E$37</f>
        <v>11297</v>
      </c>
      <c r="F190" s="9">
        <f>$F$37</f>
        <v>11833</v>
      </c>
    </row>
    <row r="191" spans="1:7">
      <c r="A191" s="146" t="s">
        <v>139</v>
      </c>
      <c r="B191" s="146"/>
      <c r="C191" s="146"/>
      <c r="D191">
        <f>$D$48</f>
        <v>4224</v>
      </c>
      <c r="E191">
        <f>$E$48</f>
        <v>4110</v>
      </c>
      <c r="F191">
        <f>$F$48</f>
        <v>4658</v>
      </c>
    </row>
    <row r="192" spans="1:7">
      <c r="A192" s="146" t="s">
        <v>189</v>
      </c>
      <c r="B192" s="146"/>
      <c r="C192" s="146"/>
    </row>
    <row r="193" spans="1:24">
      <c r="A193" s="146"/>
      <c r="B193" s="146"/>
      <c r="C193" s="146"/>
    </row>
    <row r="194" spans="1:24">
      <c r="A194" s="146" t="s">
        <v>316</v>
      </c>
      <c r="B194" s="146"/>
      <c r="C194" s="146"/>
      <c r="D194" s="41">
        <f>D188/D189</f>
        <v>0.69976153234698324</v>
      </c>
      <c r="E194" s="41">
        <f>E188/E189</f>
        <v>0.72639864373940422</v>
      </c>
      <c r="F194" s="41">
        <f>F188/F189</f>
        <v>0.72339231866102527</v>
      </c>
    </row>
    <row r="195" spans="1:24">
      <c r="A195" s="146"/>
      <c r="B195" s="146"/>
      <c r="C195" s="146"/>
      <c r="D195" s="41"/>
      <c r="E195" s="41"/>
      <c r="F195" s="41"/>
    </row>
    <row r="196" spans="1:24">
      <c r="A196" s="146" t="s">
        <v>192</v>
      </c>
      <c r="B196" s="146"/>
      <c r="C196" s="146"/>
      <c r="D196" s="41">
        <f>(D24+D27)/D189</f>
        <v>0.29711018231236697</v>
      </c>
      <c r="E196" s="41">
        <f>(E24+E27)/E189</f>
        <v>0.27306853959796562</v>
      </c>
      <c r="F196" s="41">
        <f t="shared" ref="F196" si="9">(F24+F27)/F189</f>
        <v>0.26880011220458638</v>
      </c>
    </row>
    <row r="197" spans="1:24">
      <c r="A197" s="146"/>
      <c r="B197" s="146"/>
      <c r="C197" s="146"/>
      <c r="D197" s="41"/>
      <c r="E197" s="41"/>
      <c r="F197" s="41"/>
    </row>
    <row r="198" spans="1:24">
      <c r="A198" s="146" t="s">
        <v>193</v>
      </c>
      <c r="B198" s="146"/>
      <c r="C198" s="146"/>
      <c r="D198" s="41">
        <f>D188/D190</f>
        <v>2.3306857972499788</v>
      </c>
      <c r="E198" s="41">
        <f>E188/E190</f>
        <v>2.6549526422944143</v>
      </c>
      <c r="F198" s="41">
        <f>F188/F190</f>
        <v>2.6152285979886756</v>
      </c>
    </row>
    <row r="199" spans="1:24">
      <c r="A199" s="146"/>
      <c r="B199" s="146"/>
      <c r="C199" s="146"/>
    </row>
    <row r="200" spans="1:24">
      <c r="A200" s="146" t="s">
        <v>194</v>
      </c>
      <c r="B200" s="146"/>
      <c r="C200" s="146"/>
      <c r="D200">
        <f>$D$55+$D$52+$D$49+$D$47</f>
        <v>6514</v>
      </c>
      <c r="E200">
        <f>$E$55+$E$52+$E$49+$E$47</f>
        <v>6368</v>
      </c>
      <c r="F200" s="12">
        <f>$F$55+$F$52+$F$49+$F$47</f>
        <v>7036</v>
      </c>
    </row>
    <row r="203" spans="1:24">
      <c r="A203" s="140" t="s">
        <v>317</v>
      </c>
      <c r="B203" s="140"/>
      <c r="C203" s="140"/>
      <c r="D203" s="2">
        <v>2017</v>
      </c>
      <c r="E203" s="2">
        <v>2018</v>
      </c>
      <c r="F203" s="2">
        <v>2019</v>
      </c>
      <c r="G203" s="2">
        <v>2020</v>
      </c>
      <c r="H203" s="2">
        <v>2021</v>
      </c>
      <c r="I203" s="2">
        <v>2022</v>
      </c>
      <c r="J203" s="2">
        <v>2023</v>
      </c>
      <c r="K203" s="2">
        <v>2024</v>
      </c>
      <c r="L203" s="165" t="s">
        <v>318</v>
      </c>
      <c r="M203" s="165"/>
      <c r="N203" s="165"/>
      <c r="O203" s="165"/>
      <c r="P203" s="165"/>
      <c r="Q203" s="165"/>
      <c r="R203" s="165"/>
      <c r="S203" s="165"/>
      <c r="T203" s="165"/>
      <c r="U203" s="165"/>
      <c r="V203" s="165"/>
      <c r="W203" s="165"/>
    </row>
    <row r="204" spans="1:24" ht="14.4" customHeight="1">
      <c r="A204" s="141" t="s">
        <v>61</v>
      </c>
      <c r="B204" s="141"/>
      <c r="C204" s="141"/>
      <c r="L204" s="165"/>
      <c r="M204" s="165"/>
      <c r="N204" s="165"/>
      <c r="O204" s="165"/>
      <c r="P204" s="165"/>
      <c r="Q204" s="165"/>
      <c r="R204" s="165"/>
      <c r="S204" s="165"/>
      <c r="T204" s="165"/>
      <c r="U204" s="165"/>
      <c r="V204" s="165"/>
      <c r="W204" s="165"/>
      <c r="X204" s="90"/>
    </row>
    <row r="205" spans="1:24" ht="14.4" hidden="1" customHeight="1">
      <c r="A205" s="145" t="s">
        <v>62</v>
      </c>
      <c r="B205" s="145"/>
      <c r="C205" s="145"/>
      <c r="D205" s="28">
        <v>71786</v>
      </c>
      <c r="E205" s="28">
        <v>74433</v>
      </c>
      <c r="F205" s="28">
        <v>77130</v>
      </c>
      <c r="G205" s="4"/>
      <c r="H205" s="4"/>
      <c r="L205" s="165"/>
      <c r="M205" s="165"/>
      <c r="N205" s="165"/>
      <c r="O205" s="165"/>
      <c r="P205" s="165"/>
      <c r="Q205" s="165"/>
      <c r="R205" s="165"/>
      <c r="S205" s="165"/>
      <c r="T205" s="165"/>
      <c r="U205" s="165"/>
      <c r="V205" s="165"/>
      <c r="W205" s="165"/>
      <c r="X205" s="90"/>
    </row>
    <row r="206" spans="1:24" ht="14.4" hidden="1" customHeight="1">
      <c r="A206" s="145" t="s">
        <v>63</v>
      </c>
      <c r="B206" s="145"/>
      <c r="C206" s="145"/>
      <c r="D206" s="28">
        <v>928</v>
      </c>
      <c r="E206" s="28">
        <v>923</v>
      </c>
      <c r="F206" s="28">
        <v>982</v>
      </c>
      <c r="G206" s="4"/>
      <c r="H206" s="4"/>
      <c r="L206" s="165"/>
      <c r="M206" s="165"/>
      <c r="N206" s="165"/>
      <c r="O206" s="165"/>
      <c r="P206" s="165"/>
      <c r="Q206" s="165"/>
      <c r="R206" s="165"/>
      <c r="S206" s="165"/>
      <c r="T206" s="165"/>
      <c r="U206" s="165"/>
      <c r="V206" s="165"/>
      <c r="W206" s="165"/>
      <c r="X206" s="90"/>
    </row>
    <row r="207" spans="1:24" ht="14.4" hidden="1" customHeight="1">
      <c r="A207" s="146" t="s">
        <v>199</v>
      </c>
      <c r="B207" s="146"/>
      <c r="C207" s="146"/>
      <c r="D207" s="28" t="s">
        <v>200</v>
      </c>
      <c r="E207" s="28"/>
      <c r="F207" s="28"/>
      <c r="G207" s="4"/>
      <c r="H207" s="4"/>
      <c r="L207" s="165"/>
      <c r="M207" s="165"/>
      <c r="N207" s="165"/>
      <c r="O207" s="165"/>
      <c r="P207" s="165"/>
      <c r="Q207" s="165"/>
      <c r="R207" s="165"/>
      <c r="S207" s="165"/>
      <c r="T207" s="165"/>
      <c r="U207" s="165"/>
      <c r="V207" s="165"/>
      <c r="W207" s="165"/>
      <c r="X207" s="90"/>
    </row>
    <row r="208" spans="1:24">
      <c r="A208" s="145" t="s">
        <v>64</v>
      </c>
      <c r="B208" s="145"/>
      <c r="C208" s="145"/>
      <c r="D208" s="28">
        <v>72714</v>
      </c>
      <c r="E208" s="28">
        <v>75356</v>
      </c>
      <c r="F208" s="28">
        <f>SUM(F205:F206)</f>
        <v>78112</v>
      </c>
      <c r="G208" s="4">
        <f>G42</f>
        <v>94574.014817281655</v>
      </c>
      <c r="H208" s="4">
        <f>G208</f>
        <v>94574.014817281655</v>
      </c>
      <c r="I208" s="4">
        <f>F208*(1+F209)^3</f>
        <v>86999.652633899561</v>
      </c>
      <c r="J208" s="4">
        <f>I208*(1+F209)</f>
        <v>90181.496716109701</v>
      </c>
      <c r="K208" s="4">
        <f>J208*(1+F209)</f>
        <v>93479.710593566022</v>
      </c>
      <c r="L208" s="165"/>
      <c r="M208" s="165"/>
      <c r="N208" s="165"/>
      <c r="O208" s="165"/>
      <c r="P208" s="165"/>
      <c r="Q208" s="165"/>
      <c r="R208" s="165"/>
      <c r="S208" s="165"/>
      <c r="T208" s="165"/>
      <c r="U208" s="165"/>
      <c r="V208" s="165"/>
      <c r="W208" s="165"/>
      <c r="X208" s="90"/>
    </row>
    <row r="209" spans="1:24">
      <c r="A209" s="151" t="s">
        <v>131</v>
      </c>
      <c r="B209" s="151"/>
      <c r="C209" s="151"/>
      <c r="D209" s="28"/>
      <c r="E209" s="80">
        <f>E208/D208-1</f>
        <v>3.6334130978903589E-2</v>
      </c>
      <c r="F209" s="80">
        <f>F208/E208-1</f>
        <v>3.6573066510961372E-2</v>
      </c>
      <c r="G209" s="80">
        <f>G208/F208-1</f>
        <v>0.21074885827122158</v>
      </c>
      <c r="H209" s="80">
        <f t="shared" ref="H209:K209" si="10">H208/G208-1</f>
        <v>0</v>
      </c>
      <c r="I209" s="80">
        <f t="shared" si="10"/>
        <v>-8.008925282505841E-2</v>
      </c>
      <c r="J209" s="80">
        <f t="shared" si="10"/>
        <v>3.6573066510961372E-2</v>
      </c>
      <c r="K209" s="80">
        <f t="shared" si="10"/>
        <v>3.6573066510961372E-2</v>
      </c>
      <c r="L209" s="165"/>
      <c r="M209" s="165"/>
      <c r="N209" s="165"/>
      <c r="O209" s="165"/>
      <c r="P209" s="165"/>
      <c r="Q209" s="165"/>
      <c r="R209" s="165"/>
      <c r="S209" s="165"/>
      <c r="T209" s="165"/>
      <c r="U209" s="165"/>
      <c r="V209" s="165"/>
      <c r="W209" s="165"/>
      <c r="X209" s="90"/>
    </row>
    <row r="210" spans="1:24">
      <c r="A210" s="151"/>
      <c r="B210" s="151"/>
      <c r="C210" s="151"/>
      <c r="D210" s="28"/>
      <c r="E210" s="80"/>
      <c r="F210" s="80"/>
      <c r="G210" s="80"/>
      <c r="H210" s="80"/>
      <c r="I210" s="80"/>
      <c r="J210" s="80"/>
      <c r="K210" s="80"/>
    </row>
    <row r="211" spans="1:24">
      <c r="A211" s="145" t="s">
        <v>201</v>
      </c>
      <c r="B211" s="145"/>
      <c r="C211" s="145"/>
      <c r="D211" s="24">
        <f>-51125</f>
        <v>-51125</v>
      </c>
      <c r="E211" s="24">
        <f>-53299</f>
        <v>-53299</v>
      </c>
      <c r="F211" s="24">
        <f>-54864</f>
        <v>-54864</v>
      </c>
      <c r="G211" s="12">
        <f>-G45</f>
        <v>-68434.623348894456</v>
      </c>
      <c r="H211" s="12">
        <f>-H208*H212</f>
        <v>-68434.623348894456</v>
      </c>
      <c r="I211" s="12">
        <f>-I208*I212</f>
        <v>-61270.061452230519</v>
      </c>
      <c r="J211" s="12">
        <f t="shared" ref="J211:K211" si="11">-J208*J212</f>
        <v>-63510.89548485363</v>
      </c>
      <c r="K211" s="12">
        <f t="shared" si="11"/>
        <v>-65833.683689591897</v>
      </c>
      <c r="L211" s="157" t="s">
        <v>202</v>
      </c>
      <c r="M211" s="146"/>
      <c r="N211" s="146"/>
      <c r="O211" s="146"/>
      <c r="P211" s="146"/>
      <c r="Q211" s="146"/>
      <c r="R211" s="146"/>
      <c r="S211" s="146"/>
      <c r="T211" s="146"/>
      <c r="U211" s="146"/>
      <c r="V211" s="146"/>
      <c r="W211" s="146"/>
    </row>
    <row r="212" spans="1:24">
      <c r="A212" s="151" t="s">
        <v>134</v>
      </c>
      <c r="B212" s="151"/>
      <c r="C212" s="151"/>
      <c r="D212" s="81">
        <f>-D211/D208</f>
        <v>0.70309706521440163</v>
      </c>
      <c r="E212" s="81">
        <f t="shared" ref="E212:G212" si="12">-E211/E208</f>
        <v>0.70729603482138115</v>
      </c>
      <c r="F212" s="81">
        <f t="shared" si="12"/>
        <v>0.70237607537894309</v>
      </c>
      <c r="G212" s="81">
        <f t="shared" si="12"/>
        <v>0.72360915925067926</v>
      </c>
      <c r="H212" s="82">
        <f>G212</f>
        <v>0.72360915925067926</v>
      </c>
      <c r="I212" s="38">
        <f>AVERAGE(D212:F212)</f>
        <v>0.70425639180490862</v>
      </c>
      <c r="J212" s="82">
        <f>$I$212</f>
        <v>0.70425639180490862</v>
      </c>
      <c r="K212" s="82">
        <f>$I$212</f>
        <v>0.70425639180490862</v>
      </c>
      <c r="L212" s="146"/>
      <c r="M212" s="146"/>
      <c r="N212" s="146"/>
      <c r="O212" s="146"/>
      <c r="P212" s="146"/>
      <c r="Q212" s="146"/>
      <c r="R212" s="146"/>
      <c r="S212" s="146"/>
      <c r="T212" s="146"/>
      <c r="U212" s="146"/>
      <c r="V212" s="146"/>
      <c r="W212" s="146"/>
    </row>
    <row r="213" spans="1:24">
      <c r="A213" s="151" t="s">
        <v>135</v>
      </c>
      <c r="B213" s="151"/>
      <c r="C213" s="151"/>
      <c r="D213" s="83">
        <f>1-D212</f>
        <v>0.29690293478559837</v>
      </c>
      <c r="E213" s="83">
        <f t="shared" ref="E213:K213" si="13">1-E212</f>
        <v>0.29270396517861885</v>
      </c>
      <c r="F213" s="83">
        <f t="shared" si="13"/>
        <v>0.29762392462105691</v>
      </c>
      <c r="G213" s="83">
        <f t="shared" si="13"/>
        <v>0.27639084074932074</v>
      </c>
      <c r="H213" s="83">
        <f t="shared" si="13"/>
        <v>0.27639084074932074</v>
      </c>
      <c r="I213" s="83">
        <f t="shared" si="13"/>
        <v>0.29574360819509138</v>
      </c>
      <c r="J213" s="83">
        <f t="shared" si="13"/>
        <v>0.29574360819509138</v>
      </c>
      <c r="K213" s="83">
        <f t="shared" si="13"/>
        <v>0.29574360819509138</v>
      </c>
      <c r="L213" s="146"/>
      <c r="M213" s="146"/>
      <c r="N213" s="146"/>
      <c r="O213" s="146"/>
      <c r="P213" s="146"/>
      <c r="Q213" s="146"/>
      <c r="R213" s="146"/>
      <c r="S213" s="146"/>
      <c r="T213" s="146"/>
      <c r="U213" s="146"/>
      <c r="V213" s="146"/>
      <c r="W213" s="146"/>
    </row>
    <row r="214" spans="1:24">
      <c r="A214" s="151"/>
      <c r="B214" s="151"/>
      <c r="C214" s="151"/>
      <c r="D214" s="28"/>
      <c r="E214" s="28"/>
      <c r="F214" s="28"/>
      <c r="G214" s="4"/>
      <c r="H214" s="4"/>
    </row>
    <row r="215" spans="1:24">
      <c r="A215" s="145" t="s">
        <v>203</v>
      </c>
      <c r="B215" s="145"/>
      <c r="C215" s="145"/>
      <c r="D215" s="24">
        <f>-15140</f>
        <v>-15140</v>
      </c>
      <c r="E215" s="24">
        <f>-15723</f>
        <v>-15723</v>
      </c>
      <c r="F215" s="24">
        <f>-16233</f>
        <v>-16233</v>
      </c>
      <c r="G215" s="12">
        <f>-G208*G216</f>
        <v>-19692.818916856548</v>
      </c>
      <c r="H215" s="12">
        <f>-H208*H216</f>
        <v>-19692.818916856548</v>
      </c>
      <c r="I215" s="12">
        <f t="shared" ref="I215:K215" si="14">-I208*I216</f>
        <v>-18115.635763786329</v>
      </c>
      <c r="J215" s="12">
        <f t="shared" si="14"/>
        <v>-18778.180115463638</v>
      </c>
      <c r="K215" s="12">
        <f t="shared" si="14"/>
        <v>-19464.955745781299</v>
      </c>
      <c r="L215" s="157" t="s">
        <v>204</v>
      </c>
      <c r="M215" s="146"/>
      <c r="N215" s="146"/>
      <c r="O215" s="146"/>
      <c r="P215" s="146"/>
      <c r="Q215" s="146"/>
      <c r="R215" s="146"/>
      <c r="S215" s="146"/>
      <c r="T215" s="146"/>
      <c r="U215" s="146"/>
      <c r="V215" s="146"/>
      <c r="W215" s="146"/>
    </row>
    <row r="216" spans="1:24">
      <c r="A216" s="151" t="s">
        <v>137</v>
      </c>
      <c r="B216" s="151"/>
      <c r="C216" s="151"/>
      <c r="D216" s="84">
        <f>-D215/D208</f>
        <v>0.20821299887229419</v>
      </c>
      <c r="E216" s="84">
        <f t="shared" ref="E216:F216" si="15">-E215/E208</f>
        <v>0.20864960985190298</v>
      </c>
      <c r="F216" s="84">
        <f t="shared" si="15"/>
        <v>0.20781698074559607</v>
      </c>
      <c r="G216" s="39">
        <f>AVERAGE(D216:F216)</f>
        <v>0.20822652982326439</v>
      </c>
      <c r="H216" s="39">
        <f>$G$216</f>
        <v>0.20822652982326439</v>
      </c>
      <c r="I216" s="39">
        <f>$G$216</f>
        <v>0.20822652982326439</v>
      </c>
      <c r="J216" s="39">
        <f t="shared" ref="J216:K216" si="16">$G$216</f>
        <v>0.20822652982326439</v>
      </c>
      <c r="K216" s="39">
        <f t="shared" si="16"/>
        <v>0.20822652982326439</v>
      </c>
      <c r="L216" s="146"/>
      <c r="M216" s="146"/>
      <c r="N216" s="146"/>
      <c r="O216" s="146"/>
      <c r="P216" s="146"/>
      <c r="Q216" s="146"/>
      <c r="R216" s="146"/>
      <c r="S216" s="146"/>
      <c r="T216" s="146"/>
      <c r="U216" s="146"/>
      <c r="V216" s="146"/>
      <c r="W216" s="146"/>
    </row>
    <row r="217" spans="1:24">
      <c r="A217" s="146"/>
      <c r="B217" s="146"/>
      <c r="C217" s="146"/>
      <c r="D217" s="28"/>
      <c r="E217" s="28"/>
      <c r="F217" s="28"/>
      <c r="G217" s="4"/>
      <c r="H217" s="4"/>
    </row>
    <row r="218" spans="1:24">
      <c r="A218" s="145" t="s">
        <v>205</v>
      </c>
      <c r="B218" s="145"/>
      <c r="C218" s="145"/>
      <c r="D218" s="28">
        <v>2225</v>
      </c>
      <c r="E218" s="28">
        <v>2224</v>
      </c>
      <c r="F218" s="28">
        <v>2357</v>
      </c>
      <c r="G218" s="4"/>
      <c r="H218" s="4"/>
    </row>
    <row r="219" spans="1:24">
      <c r="A219" s="146" t="s">
        <v>319</v>
      </c>
      <c r="B219" s="146"/>
      <c r="C219" s="146"/>
      <c r="D219" s="28"/>
      <c r="E219" s="28"/>
      <c r="F219" s="28"/>
      <c r="G219" s="4"/>
      <c r="H219" s="4"/>
    </row>
    <row r="220" spans="1:24">
      <c r="A220" s="146"/>
      <c r="B220" s="146"/>
      <c r="C220" s="146"/>
      <c r="D220" s="28"/>
      <c r="E220" s="28"/>
      <c r="F220" s="28"/>
      <c r="G220" s="4"/>
      <c r="H220" s="4"/>
    </row>
    <row r="221" spans="1:24">
      <c r="A221" s="145" t="s">
        <v>68</v>
      </c>
      <c r="B221" s="145"/>
      <c r="C221" s="145"/>
      <c r="D221" s="11">
        <f>SUM(D208,D211,D215)</f>
        <v>6449</v>
      </c>
      <c r="E221" s="11">
        <f t="shared" ref="E221:K221" si="17">SUM(E208,E211,E215)</f>
        <v>6334</v>
      </c>
      <c r="F221" s="11">
        <f t="shared" si="17"/>
        <v>7015</v>
      </c>
      <c r="G221" s="11">
        <f t="shared" si="17"/>
        <v>6446.5725515306513</v>
      </c>
      <c r="H221" s="11">
        <f t="shared" si="17"/>
        <v>6446.5725515306513</v>
      </c>
      <c r="I221" s="11">
        <f t="shared" si="17"/>
        <v>7613.9554178827129</v>
      </c>
      <c r="J221" s="11">
        <f t="shared" si="17"/>
        <v>7892.4211157924328</v>
      </c>
      <c r="K221" s="11">
        <f t="shared" si="17"/>
        <v>8181.0711581928263</v>
      </c>
    </row>
    <row r="222" spans="1:24">
      <c r="A222" s="151" t="s">
        <v>206</v>
      </c>
      <c r="B222" s="146"/>
      <c r="C222" s="146"/>
      <c r="D222" s="80">
        <f>D221/D208</f>
        <v>8.868993591330418E-2</v>
      </c>
      <c r="E222" s="80">
        <f t="shared" ref="E222:K222" si="18">E221/E208</f>
        <v>8.405435532671586E-2</v>
      </c>
      <c r="F222" s="80">
        <f t="shared" si="18"/>
        <v>8.9806943875460871E-2</v>
      </c>
      <c r="G222" s="80">
        <f t="shared" si="18"/>
        <v>6.816431092605639E-2</v>
      </c>
      <c r="H222" s="80">
        <f t="shared" si="18"/>
        <v>6.816431092605639E-2</v>
      </c>
      <c r="I222" s="80">
        <f t="shared" si="18"/>
        <v>8.7517078371826998E-2</v>
      </c>
      <c r="J222" s="80">
        <f t="shared" si="18"/>
        <v>8.7517078371827012E-2</v>
      </c>
      <c r="K222" s="80">
        <f t="shared" si="18"/>
        <v>8.7517078371827026E-2</v>
      </c>
    </row>
    <row r="223" spans="1:24">
      <c r="A223" s="146"/>
      <c r="B223" s="146"/>
      <c r="C223" s="146"/>
      <c r="D223" s="29"/>
      <c r="E223" s="29"/>
      <c r="F223" s="29"/>
      <c r="G223" s="4"/>
      <c r="H223" s="4"/>
    </row>
    <row r="224" spans="1:24">
      <c r="A224" s="145" t="s">
        <v>69</v>
      </c>
      <c r="B224" s="145"/>
      <c r="C224" s="145"/>
      <c r="D224" s="28">
        <v>653</v>
      </c>
      <c r="E224" s="28">
        <v>461</v>
      </c>
      <c r="F224" s="24">
        <v>477</v>
      </c>
      <c r="G224" s="4"/>
      <c r="H224" s="4"/>
    </row>
    <row r="225" spans="1:8">
      <c r="A225" s="146"/>
      <c r="B225" s="146"/>
      <c r="C225" s="146"/>
      <c r="D225" s="28"/>
      <c r="E225" s="28"/>
      <c r="F225" s="24"/>
      <c r="G225" s="4"/>
      <c r="H225" s="4"/>
    </row>
    <row r="226" spans="1:8">
      <c r="A226" s="145" t="s">
        <v>70</v>
      </c>
      <c r="B226" s="145"/>
      <c r="C226" s="145"/>
      <c r="D226" s="24">
        <v>-59</v>
      </c>
      <c r="E226" s="24">
        <v>-27</v>
      </c>
      <c r="F226" s="24">
        <v>-9</v>
      </c>
      <c r="G226" s="12"/>
      <c r="H226" s="4"/>
    </row>
    <row r="227" spans="1:8">
      <c r="A227" s="145" t="s">
        <v>71</v>
      </c>
      <c r="B227" s="145"/>
      <c r="C227" s="145"/>
      <c r="D227" s="11">
        <f>D221-D224-D226</f>
        <v>5855</v>
      </c>
      <c r="E227" s="11">
        <f>E221-E224-E226</f>
        <v>5900</v>
      </c>
      <c r="F227" s="11">
        <f>F221-F224-F226</f>
        <v>6547</v>
      </c>
      <c r="G227" s="4"/>
      <c r="H227" s="4"/>
    </row>
    <row r="228" spans="1:8">
      <c r="A228" s="145" t="s">
        <v>72</v>
      </c>
      <c r="B228" s="145"/>
      <c r="C228" s="145"/>
      <c r="D228" s="28">
        <v>722</v>
      </c>
      <c r="E228" s="28">
        <v>746</v>
      </c>
      <c r="F228" s="28">
        <v>921</v>
      </c>
      <c r="G228" s="4"/>
      <c r="H228" s="4"/>
    </row>
    <row r="229" spans="1:8">
      <c r="A229" s="145" t="s">
        <v>73</v>
      </c>
      <c r="B229" s="145"/>
      <c r="C229" s="145"/>
      <c r="D229" s="28">
        <v>2908</v>
      </c>
      <c r="E229" s="28">
        <v>2930</v>
      </c>
      <c r="F229" s="28">
        <v>3269</v>
      </c>
      <c r="G229" s="4"/>
      <c r="H229" s="4"/>
    </row>
    <row r="230" spans="1:8">
      <c r="A230" s="145" t="s">
        <v>74</v>
      </c>
      <c r="B230" s="145"/>
      <c r="C230" s="145"/>
      <c r="D230" s="28">
        <v>6</v>
      </c>
      <c r="E230" s="28">
        <v>7</v>
      </c>
      <c r="F230" s="28">
        <v>12</v>
      </c>
      <c r="G230" s="72"/>
      <c r="H230" s="4"/>
    </row>
    <row r="231" spans="1:8">
      <c r="A231" s="147" t="s">
        <v>75</v>
      </c>
      <c r="B231" s="147"/>
      <c r="C231" s="147"/>
      <c r="D231" s="29">
        <f>SUM(D229:D230)</f>
        <v>2914</v>
      </c>
      <c r="E231" s="29">
        <f>SUM(E229:E230)</f>
        <v>2937</v>
      </c>
      <c r="F231" s="29">
        <f>SUM(F229:F230)</f>
        <v>3281</v>
      </c>
      <c r="G231" s="4"/>
      <c r="H231" s="4"/>
    </row>
    <row r="232" spans="1:8" ht="19.3">
      <c r="A232" s="148" t="s">
        <v>76</v>
      </c>
      <c r="B232" s="148"/>
      <c r="C232" s="148"/>
      <c r="D232" s="28"/>
      <c r="E232" s="28"/>
      <c r="F232" s="28"/>
      <c r="G232" s="4"/>
      <c r="H232" s="4"/>
    </row>
    <row r="233" spans="1:8">
      <c r="A233" s="145" t="s">
        <v>77</v>
      </c>
      <c r="B233" s="145"/>
      <c r="C233" s="145"/>
      <c r="D233" s="28">
        <v>5.32</v>
      </c>
      <c r="E233" s="28">
        <v>5.54</v>
      </c>
      <c r="F233" s="28">
        <v>6.39</v>
      </c>
      <c r="G233" s="4"/>
      <c r="H233" s="4"/>
    </row>
    <row r="234" spans="1:8">
      <c r="A234" s="145" t="s">
        <v>78</v>
      </c>
      <c r="B234" s="145"/>
      <c r="C234" s="145"/>
      <c r="D234" s="28">
        <v>0.01</v>
      </c>
      <c r="E234" s="28">
        <v>0.01</v>
      </c>
      <c r="F234" s="28">
        <v>0.02</v>
      </c>
      <c r="G234" s="15"/>
      <c r="H234" s="15"/>
    </row>
    <row r="235" spans="1:8">
      <c r="A235" s="145" t="s">
        <v>79</v>
      </c>
      <c r="B235" s="145"/>
      <c r="C235" s="145"/>
      <c r="D235" s="28">
        <v>5.32</v>
      </c>
      <c r="E235" s="28">
        <v>5.55</v>
      </c>
      <c r="F235" s="28">
        <v>6.42</v>
      </c>
      <c r="G235" s="4"/>
      <c r="H235" s="4"/>
    </row>
    <row r="236" spans="1:8" ht="19.3">
      <c r="A236" s="148" t="s">
        <v>80</v>
      </c>
      <c r="B236" s="148"/>
      <c r="C236" s="148"/>
      <c r="D236" s="28"/>
      <c r="E236" s="28"/>
      <c r="F236" s="28"/>
      <c r="G236" s="4"/>
      <c r="H236" s="4"/>
    </row>
    <row r="237" spans="1:8">
      <c r="A237" s="145" t="s">
        <v>77</v>
      </c>
      <c r="B237" s="145"/>
      <c r="C237" s="145"/>
      <c r="D237" s="28">
        <v>5.29</v>
      </c>
      <c r="E237" s="28">
        <v>5.5</v>
      </c>
      <c r="F237" s="28">
        <v>6.34</v>
      </c>
      <c r="G237" s="4"/>
      <c r="H237" s="4"/>
    </row>
    <row r="238" spans="1:8">
      <c r="A238" s="145" t="s">
        <v>78</v>
      </c>
      <c r="B238" s="145"/>
      <c r="C238" s="145"/>
      <c r="D238" s="28">
        <v>1E-3</v>
      </c>
      <c r="E238" s="28">
        <v>1E-3</v>
      </c>
      <c r="F238" s="28">
        <v>2E-3</v>
      </c>
      <c r="G238" s="15"/>
      <c r="H238" s="15"/>
    </row>
    <row r="239" spans="1:8">
      <c r="A239" s="145" t="s">
        <v>79</v>
      </c>
      <c r="B239" s="145"/>
      <c r="C239" s="145"/>
      <c r="D239" s="28">
        <v>5.29</v>
      </c>
      <c r="E239" s="28">
        <v>5.51</v>
      </c>
      <c r="F239" s="28">
        <f>6.36</f>
        <v>6.36</v>
      </c>
      <c r="G239" s="4"/>
      <c r="H239" s="4"/>
    </row>
    <row r="240" spans="1:8" ht="19.3">
      <c r="A240" s="148" t="s">
        <v>81</v>
      </c>
      <c r="B240" s="148"/>
      <c r="C240" s="148"/>
      <c r="D240" s="28"/>
      <c r="E240" s="28"/>
      <c r="F240" s="28"/>
    </row>
    <row r="241" spans="1:12">
      <c r="A241" s="145" t="s">
        <v>82</v>
      </c>
      <c r="B241" s="145"/>
      <c r="C241" s="145"/>
      <c r="D241" s="28">
        <v>510.9</v>
      </c>
      <c r="E241" s="28">
        <v>528.6</v>
      </c>
      <c r="F241" s="28">
        <v>546.79999999999995</v>
      </c>
      <c r="G241" s="4"/>
      <c r="H241" s="4"/>
    </row>
    <row r="242" spans="1:12">
      <c r="A242" s="145" t="s">
        <v>83</v>
      </c>
      <c r="B242" s="145"/>
      <c r="C242" s="145"/>
      <c r="D242" s="28">
        <v>515.6</v>
      </c>
      <c r="E242" s="28">
        <v>533.20000000000005</v>
      </c>
      <c r="F242" s="28">
        <v>550.29999999999995</v>
      </c>
      <c r="G242" s="4"/>
      <c r="H242" s="4"/>
    </row>
    <row r="243" spans="1:12">
      <c r="A243" s="146"/>
      <c r="B243" s="146"/>
      <c r="C243" s="146"/>
      <c r="G243" s="41"/>
      <c r="H243" s="41"/>
    </row>
    <row r="245" spans="1:12">
      <c r="A245" s="85"/>
      <c r="B245" s="86"/>
      <c r="C245" s="87"/>
      <c r="D245" s="87">
        <v>2017</v>
      </c>
      <c r="E245" s="87">
        <f t="shared" ref="E245:K245" si="19">D245+1</f>
        <v>2018</v>
      </c>
      <c r="F245" s="88">
        <f t="shared" si="19"/>
        <v>2019</v>
      </c>
      <c r="G245" s="87">
        <f t="shared" si="19"/>
        <v>2020</v>
      </c>
      <c r="H245" s="87">
        <f t="shared" si="19"/>
        <v>2021</v>
      </c>
      <c r="I245" s="87">
        <f t="shared" si="19"/>
        <v>2022</v>
      </c>
      <c r="J245" s="87">
        <f t="shared" si="19"/>
        <v>2023</v>
      </c>
      <c r="K245" s="87">
        <f t="shared" si="19"/>
        <v>2024</v>
      </c>
      <c r="L245" s="87" t="s">
        <v>215</v>
      </c>
    </row>
    <row r="246" spans="1:12">
      <c r="A246" s="153" t="s">
        <v>224</v>
      </c>
      <c r="B246" s="153"/>
      <c r="C246" s="153"/>
      <c r="F246" s="89"/>
    </row>
    <row r="247" spans="1:12">
      <c r="A247" s="146" t="s">
        <v>225</v>
      </c>
      <c r="B247" s="146"/>
      <c r="C247" s="146"/>
      <c r="D247" s="79">
        <f>D5</f>
        <v>8657</v>
      </c>
      <c r="E247" s="79">
        <f>E5</f>
        <v>9497</v>
      </c>
      <c r="F247" s="79">
        <f>F5</f>
        <v>8992</v>
      </c>
      <c r="G247" s="4">
        <f>-G249/365*G248</f>
        <v>11666.043594852094</v>
      </c>
      <c r="H247" s="4">
        <f>-H249/365*H248</f>
        <v>11666.043594852094</v>
      </c>
      <c r="I247" s="4">
        <f t="shared" ref="I247:K247" si="20">-I249/365*I248</f>
        <v>10444.701424261364</v>
      </c>
      <c r="J247" s="4">
        <f t="shared" si="20"/>
        <v>10826.696184138007</v>
      </c>
      <c r="K247" s="4">
        <f t="shared" si="20"/>
        <v>11222.661663774459</v>
      </c>
    </row>
    <row r="248" spans="1:12">
      <c r="A248" s="163" t="s">
        <v>226</v>
      </c>
      <c r="B248" s="163"/>
      <c r="C248" s="163"/>
      <c r="D248" s="74">
        <f>D211</f>
        <v>-51125</v>
      </c>
      <c r="E248" s="74">
        <f t="shared" ref="E248:K248" si="21">E211</f>
        <v>-53299</v>
      </c>
      <c r="F248" s="74">
        <f t="shared" si="21"/>
        <v>-54864</v>
      </c>
      <c r="G248" s="74">
        <f t="shared" si="21"/>
        <v>-68434.623348894456</v>
      </c>
      <c r="H248" s="74">
        <f t="shared" si="21"/>
        <v>-68434.623348894456</v>
      </c>
      <c r="I248" s="74">
        <f t="shared" si="21"/>
        <v>-61270.061452230519</v>
      </c>
      <c r="J248" s="74">
        <f t="shared" si="21"/>
        <v>-63510.89548485363</v>
      </c>
      <c r="K248" s="74">
        <f t="shared" si="21"/>
        <v>-65833.683689591897</v>
      </c>
    </row>
    <row r="249" spans="1:12">
      <c r="A249" s="145" t="s">
        <v>163</v>
      </c>
      <c r="B249" s="145"/>
      <c r="C249" s="145"/>
      <c r="D249" s="73">
        <f>D145</f>
        <v>61.805476772616139</v>
      </c>
      <c r="E249" s="73">
        <f>E145</f>
        <v>65.036961293832903</v>
      </c>
      <c r="F249" s="73">
        <f>F145</f>
        <v>59.822105570137062</v>
      </c>
      <c r="G249" s="4">
        <f>$L$249</f>
        <v>62.221514545528699</v>
      </c>
      <c r="H249" s="4">
        <f t="shared" ref="H249:K249" si="22">$L$249</f>
        <v>62.221514545528699</v>
      </c>
      <c r="I249" s="4">
        <f t="shared" si="22"/>
        <v>62.221514545528699</v>
      </c>
      <c r="J249" s="4">
        <f t="shared" si="22"/>
        <v>62.221514545528699</v>
      </c>
      <c r="K249" s="4">
        <f t="shared" si="22"/>
        <v>62.221514545528699</v>
      </c>
      <c r="L249" s="4">
        <f>AVERAGE(D249:F249)</f>
        <v>62.221514545528699</v>
      </c>
    </row>
    <row r="250" spans="1:12">
      <c r="A250" s="146"/>
      <c r="B250" s="146"/>
      <c r="C250" s="146"/>
    </row>
    <row r="251" spans="1:12">
      <c r="A251" s="164" t="s">
        <v>164</v>
      </c>
      <c r="B251" s="164"/>
      <c r="C251" s="164"/>
    </row>
    <row r="252" spans="1:12">
      <c r="A252" s="146" t="s">
        <v>223</v>
      </c>
      <c r="B252" s="146"/>
      <c r="C252" s="146"/>
      <c r="D252" s="73">
        <f>D22</f>
        <v>8677</v>
      </c>
      <c r="E252" s="73">
        <f>E22</f>
        <v>9761</v>
      </c>
      <c r="F252" s="73">
        <f>F22</f>
        <v>9920</v>
      </c>
      <c r="G252" s="4">
        <f>-G253/365*G248</f>
        <v>11193.042279440146</v>
      </c>
      <c r="H252" s="4">
        <f t="shared" ref="H252:K252" si="23">-H253/365*H248</f>
        <v>11193.042279440146</v>
      </c>
      <c r="I252" s="4">
        <f t="shared" si="23"/>
        <v>10021.219592345298</v>
      </c>
      <c r="J252" s="4">
        <f t="shared" si="23"/>
        <v>10387.72632301709</v>
      </c>
      <c r="K252" s="4">
        <f t="shared" si="23"/>
        <v>10767.637328726458</v>
      </c>
    </row>
    <row r="253" spans="1:12">
      <c r="A253" s="145" t="s">
        <v>227</v>
      </c>
      <c r="B253" s="145"/>
      <c r="C253" s="145"/>
      <c r="D253" s="73">
        <f>D151</f>
        <v>61.948264058679712</v>
      </c>
      <c r="E253" s="73">
        <f>E151</f>
        <v>59.42147132216364</v>
      </c>
      <c r="F253" s="73">
        <f>F151</f>
        <v>57.72646908719743</v>
      </c>
      <c r="G253" s="4">
        <f>$L$253</f>
        <v>59.698734822680258</v>
      </c>
      <c r="H253" s="4">
        <f t="shared" ref="H253:K253" si="24">$L$253</f>
        <v>59.698734822680258</v>
      </c>
      <c r="I253" s="4">
        <f t="shared" si="24"/>
        <v>59.698734822680258</v>
      </c>
      <c r="J253" s="4">
        <f t="shared" si="24"/>
        <v>59.698734822680258</v>
      </c>
      <c r="K253" s="4">
        <f t="shared" si="24"/>
        <v>59.698734822680258</v>
      </c>
      <c r="L253" s="4">
        <f>AVERAGE(D253:F253)</f>
        <v>59.698734822680258</v>
      </c>
    </row>
    <row r="254" spans="1:12">
      <c r="A254" s="146"/>
      <c r="B254" s="146"/>
      <c r="C254" s="146"/>
    </row>
    <row r="255" spans="1:12">
      <c r="A255" s="146" t="s">
        <v>228</v>
      </c>
      <c r="B255" s="146"/>
      <c r="C255" s="146"/>
      <c r="D255" s="79">
        <f>D23</f>
        <v>4254</v>
      </c>
      <c r="E255" s="79">
        <f>E23</f>
        <v>4201</v>
      </c>
      <c r="F255" s="79">
        <f>F23</f>
        <v>4406</v>
      </c>
      <c r="G255" s="4">
        <f>G256/365*G257</f>
        <v>5448.214204412413</v>
      </c>
      <c r="H255" s="4">
        <f>H256/365*H257</f>
        <v>5384.9449269586548</v>
      </c>
      <c r="I255" s="4">
        <f t="shared" ref="I255:K255" si="25">I256/365*I257</f>
        <v>4957.4697012113875</v>
      </c>
      <c r="J255" s="4">
        <f t="shared" si="25"/>
        <v>5140.7691853076803</v>
      </c>
      <c r="K255" s="4">
        <f t="shared" si="25"/>
        <v>5330.7724936272516</v>
      </c>
    </row>
    <row r="256" spans="1:12">
      <c r="A256" s="145" t="s">
        <v>229</v>
      </c>
      <c r="B256" s="145"/>
      <c r="C256" s="145"/>
      <c r="D256" s="73">
        <f>D153</f>
        <v>21.629704956398182</v>
      </c>
      <c r="E256" s="73">
        <f>E153</f>
        <v>20.600607257533621</v>
      </c>
      <c r="F256" s="73">
        <f>F153</f>
        <v>20.850382471152599</v>
      </c>
      <c r="G256" s="4">
        <f>$L$256</f>
        <v>21.026898228361468</v>
      </c>
      <c r="H256" s="4">
        <f t="shared" ref="H256:K256" si="26">$L$256</f>
        <v>21.026898228361468</v>
      </c>
      <c r="I256" s="4">
        <f t="shared" si="26"/>
        <v>21.026898228361468</v>
      </c>
      <c r="J256" s="4">
        <f t="shared" si="26"/>
        <v>21.026898228361468</v>
      </c>
      <c r="K256" s="4">
        <f t="shared" si="26"/>
        <v>21.026898228361468</v>
      </c>
      <c r="L256" s="4">
        <f>AVERAGE(D256:F256)</f>
        <v>21.026898228361468</v>
      </c>
    </row>
    <row r="257" spans="1:12">
      <c r="A257" s="145" t="s">
        <v>62</v>
      </c>
      <c r="B257" s="145"/>
      <c r="C257" s="145"/>
      <c r="D257" s="77">
        <f t="shared" ref="D257:K257" si="27">D42</f>
        <v>71786</v>
      </c>
      <c r="E257" s="77">
        <f t="shared" si="27"/>
        <v>74433</v>
      </c>
      <c r="F257" s="77">
        <f t="shared" si="27"/>
        <v>77130</v>
      </c>
      <c r="G257" s="73">
        <f t="shared" si="27"/>
        <v>94574.014817281655</v>
      </c>
      <c r="H257" s="73">
        <f t="shared" si="27"/>
        <v>93475.741262151525</v>
      </c>
      <c r="I257" s="73">
        <f t="shared" si="27"/>
        <v>86055.319300566232</v>
      </c>
      <c r="J257" s="73">
        <f t="shared" si="27"/>
        <v>89237.163382776373</v>
      </c>
      <c r="K257" s="73">
        <f t="shared" si="27"/>
        <v>92535.377260232694</v>
      </c>
    </row>
    <row r="258" spans="1:12">
      <c r="A258" s="146"/>
      <c r="B258" s="146"/>
      <c r="C258" s="146"/>
    </row>
    <row r="259" spans="1:12">
      <c r="A259" s="146"/>
      <c r="B259" s="146"/>
      <c r="C259" s="146"/>
    </row>
    <row r="260" spans="1:12">
      <c r="A260" s="85"/>
      <c r="B260" s="86"/>
      <c r="C260" s="87"/>
      <c r="D260" s="87">
        <v>2017</v>
      </c>
      <c r="E260" s="87">
        <f t="shared" ref="E260" si="28">D260+1</f>
        <v>2018</v>
      </c>
      <c r="F260" s="88">
        <f t="shared" ref="F260" si="29">E260+1</f>
        <v>2019</v>
      </c>
      <c r="G260" s="87">
        <f t="shared" ref="G260" si="30">F260+1</f>
        <v>2020</v>
      </c>
      <c r="H260" s="87">
        <f t="shared" ref="H260" si="31">G260+1</f>
        <v>2021</v>
      </c>
      <c r="I260" s="87">
        <f t="shared" ref="I260" si="32">H260+1</f>
        <v>2022</v>
      </c>
      <c r="J260" s="87">
        <f t="shared" ref="J260" si="33">I260+1</f>
        <v>2023</v>
      </c>
      <c r="K260" s="87">
        <f t="shared" ref="K260" si="34">J260+1</f>
        <v>2024</v>
      </c>
      <c r="L260" s="87" t="s">
        <v>215</v>
      </c>
    </row>
    <row r="261" spans="1:12">
      <c r="A261" s="153" t="s">
        <v>230</v>
      </c>
      <c r="B261" s="153"/>
      <c r="C261" s="153"/>
      <c r="F261" s="89"/>
    </row>
    <row r="262" spans="1:12">
      <c r="A262" s="146" t="s">
        <v>231</v>
      </c>
      <c r="B262" s="146"/>
      <c r="C262" s="146"/>
      <c r="D262" s="79">
        <f>D16</f>
        <v>25018</v>
      </c>
      <c r="E262" s="79">
        <f>E16</f>
        <v>25533</v>
      </c>
      <c r="F262" s="79">
        <f>F16</f>
        <v>26283</v>
      </c>
      <c r="G262" s="9">
        <f>G276</f>
        <v>26870.050649529541</v>
      </c>
      <c r="H262" s="9">
        <f>H276</f>
        <v>27449.529229899104</v>
      </c>
      <c r="I262" s="9">
        <f t="shared" ref="I262:K262" si="35">I276</f>
        <v>27982.597803738743</v>
      </c>
      <c r="J262" s="9">
        <f t="shared" si="35"/>
        <v>28535.16232998432</v>
      </c>
      <c r="K262" s="9">
        <f t="shared" si="35"/>
        <v>29107.935835399876</v>
      </c>
    </row>
    <row r="263" spans="1:12">
      <c r="A263" s="146"/>
      <c r="B263" s="146"/>
      <c r="C263" s="146"/>
    </row>
    <row r="264" spans="1:12">
      <c r="A264" s="146" t="s">
        <v>232</v>
      </c>
      <c r="B264" s="146"/>
      <c r="C264" s="146"/>
      <c r="D264" s="74">
        <f>-D89</f>
        <v>2533</v>
      </c>
      <c r="E264" s="74">
        <f>-E89</f>
        <v>3516</v>
      </c>
      <c r="F264" s="74">
        <f>-F89</f>
        <v>3027</v>
      </c>
      <c r="G264" s="4">
        <f>G267*G269</f>
        <v>3840.2389757145879</v>
      </c>
      <c r="H264" s="4">
        <f t="shared" ref="H264:K264" si="36">H267*H269</f>
        <v>3790.7056771171588</v>
      </c>
      <c r="I264" s="4">
        <f t="shared" si="36"/>
        <v>3487.1108917571382</v>
      </c>
      <c r="J264" s="4">
        <f t="shared" si="36"/>
        <v>3614.6452303324695</v>
      </c>
      <c r="K264" s="4">
        <f t="shared" si="36"/>
        <v>3746.843890754948</v>
      </c>
    </row>
    <row r="265" spans="1:12">
      <c r="A265" s="146" t="s">
        <v>216</v>
      </c>
      <c r="B265" s="146"/>
      <c r="C265" s="146"/>
      <c r="D265" s="74">
        <f>D75</f>
        <v>2476</v>
      </c>
      <c r="E265" s="74">
        <f>E75</f>
        <v>2474</v>
      </c>
      <c r="F265" s="74">
        <f>F75</f>
        <v>2604</v>
      </c>
      <c r="G265" s="4">
        <f>G264*G270</f>
        <v>3253.1883261850467</v>
      </c>
      <c r="H265" s="4">
        <f t="shared" ref="H265:K265" si="37">H264*H270</f>
        <v>3211.2270967475974</v>
      </c>
      <c r="I265" s="4">
        <f t="shared" si="37"/>
        <v>2954.0423179175009</v>
      </c>
      <c r="J265" s="4">
        <f t="shared" si="37"/>
        <v>3062.0807040868917</v>
      </c>
      <c r="K265" s="4">
        <f t="shared" si="37"/>
        <v>3174.0703853393929</v>
      </c>
    </row>
    <row r="266" spans="1:12">
      <c r="A266" s="146"/>
      <c r="B266" s="146"/>
      <c r="C266" s="146"/>
    </row>
    <row r="267" spans="1:12">
      <c r="A267" s="146" t="s">
        <v>159</v>
      </c>
      <c r="B267" s="146"/>
      <c r="C267" s="146"/>
      <c r="D267" s="73">
        <f t="shared" ref="D267:K267" si="38">D44</f>
        <v>72714</v>
      </c>
      <c r="E267" s="73">
        <f t="shared" si="38"/>
        <v>75356</v>
      </c>
      <c r="F267" s="73">
        <f t="shared" si="38"/>
        <v>78112</v>
      </c>
      <c r="G267" s="73">
        <f t="shared" si="38"/>
        <v>95809.817149227601</v>
      </c>
      <c r="H267" s="73">
        <f t="shared" si="38"/>
        <v>94574.014817281655</v>
      </c>
      <c r="I267" s="73">
        <f t="shared" si="38"/>
        <v>86999.652633899561</v>
      </c>
      <c r="J267" s="73">
        <f t="shared" si="38"/>
        <v>90181.496716109701</v>
      </c>
      <c r="K267" s="73">
        <f t="shared" si="38"/>
        <v>93479.710593566022</v>
      </c>
    </row>
    <row r="268" spans="1:12">
      <c r="A268" s="146"/>
      <c r="B268" s="146"/>
      <c r="C268" s="146"/>
    </row>
    <row r="269" spans="1:12">
      <c r="A269" s="146" t="s">
        <v>233</v>
      </c>
      <c r="B269" s="146"/>
      <c r="C269" s="146"/>
      <c r="D269" s="38">
        <f>D264/D267</f>
        <v>3.4835107407101794E-2</v>
      </c>
      <c r="E269" s="38">
        <f t="shared" ref="E269:F269" si="39">E264/E267</f>
        <v>4.665852752269229E-2</v>
      </c>
      <c r="F269" s="38">
        <f t="shared" si="39"/>
        <v>3.875204834084392E-2</v>
      </c>
      <c r="G269" s="82">
        <f>$L$269</f>
        <v>4.0081894423546004E-2</v>
      </c>
      <c r="H269" s="82">
        <f t="shared" ref="H269:K269" si="40">$L$269</f>
        <v>4.0081894423546004E-2</v>
      </c>
      <c r="I269" s="82">
        <f t="shared" si="40"/>
        <v>4.0081894423546004E-2</v>
      </c>
      <c r="J269" s="82">
        <f t="shared" si="40"/>
        <v>4.0081894423546004E-2</v>
      </c>
      <c r="K269" s="82">
        <f t="shared" si="40"/>
        <v>4.0081894423546004E-2</v>
      </c>
      <c r="L269" s="82">
        <f>AVERAGE(D269:F269)</f>
        <v>4.0081894423546004E-2</v>
      </c>
    </row>
    <row r="270" spans="1:12">
      <c r="A270" s="146" t="s">
        <v>234</v>
      </c>
      <c r="B270" s="146"/>
      <c r="C270" s="146"/>
      <c r="D270" s="39">
        <f>D265/D264</f>
        <v>0.97749703908409002</v>
      </c>
      <c r="E270" s="39">
        <f t="shared" ref="E270:F270" si="41">E265/E264</f>
        <v>0.70364050056882821</v>
      </c>
      <c r="F270" s="39">
        <f t="shared" si="41"/>
        <v>0.8602576808721506</v>
      </c>
      <c r="G270" s="40">
        <f>$L$270</f>
        <v>0.84713174017502302</v>
      </c>
      <c r="H270" s="40">
        <f t="shared" ref="H270:K270" si="42">$L$270</f>
        <v>0.84713174017502302</v>
      </c>
      <c r="I270" s="40">
        <f t="shared" si="42"/>
        <v>0.84713174017502302</v>
      </c>
      <c r="J270" s="40">
        <f t="shared" si="42"/>
        <v>0.84713174017502302</v>
      </c>
      <c r="K270" s="40">
        <f t="shared" si="42"/>
        <v>0.84713174017502302</v>
      </c>
      <c r="L270" s="40">
        <f>AVERAGE(D270:F270)</f>
        <v>0.84713174017502302</v>
      </c>
    </row>
    <row r="271" spans="1:12">
      <c r="A271" s="146"/>
      <c r="B271" s="146"/>
      <c r="C271" s="146"/>
    </row>
    <row r="272" spans="1:12">
      <c r="A272" s="146" t="s">
        <v>235</v>
      </c>
      <c r="B272" s="146"/>
      <c r="C272" s="146"/>
    </row>
    <row r="273" spans="1:12">
      <c r="A273" s="146" t="s">
        <v>236</v>
      </c>
      <c r="B273" s="146"/>
      <c r="C273" s="146"/>
      <c r="G273" s="9">
        <f>F262</f>
        <v>26283</v>
      </c>
      <c r="H273" s="9">
        <f>G276</f>
        <v>26870.050649529541</v>
      </c>
      <c r="I273" s="9">
        <f t="shared" ref="I273:K273" si="43">H276</f>
        <v>27449.529229899104</v>
      </c>
      <c r="J273" s="9">
        <f t="shared" si="43"/>
        <v>27982.597803738743</v>
      </c>
      <c r="K273" s="9">
        <f t="shared" si="43"/>
        <v>28535.16232998432</v>
      </c>
    </row>
    <row r="274" spans="1:12">
      <c r="A274" s="146" t="s">
        <v>237</v>
      </c>
      <c r="B274" s="146"/>
      <c r="C274" s="146"/>
      <c r="G274" s="4">
        <f>G264</f>
        <v>3840.2389757145879</v>
      </c>
      <c r="H274" s="4">
        <f t="shared" ref="H274:K274" si="44">H264</f>
        <v>3790.7056771171588</v>
      </c>
      <c r="I274" s="4">
        <f t="shared" si="44"/>
        <v>3487.1108917571382</v>
      </c>
      <c r="J274" s="4">
        <f t="shared" si="44"/>
        <v>3614.6452303324695</v>
      </c>
      <c r="K274" s="4">
        <f t="shared" si="44"/>
        <v>3746.843890754948</v>
      </c>
    </row>
    <row r="275" spans="1:12">
      <c r="A275" s="146" t="s">
        <v>238</v>
      </c>
      <c r="B275" s="146"/>
      <c r="C275" s="146"/>
      <c r="G275" s="12">
        <f>-G265</f>
        <v>-3253.1883261850467</v>
      </c>
      <c r="H275" s="12">
        <f t="shared" ref="H275:K275" si="45">-H265</f>
        <v>-3211.2270967475974</v>
      </c>
      <c r="I275" s="12">
        <f t="shared" si="45"/>
        <v>-2954.0423179175009</v>
      </c>
      <c r="J275" s="12">
        <f t="shared" si="45"/>
        <v>-3062.0807040868917</v>
      </c>
      <c r="K275" s="12">
        <f t="shared" si="45"/>
        <v>-3174.0703853393929</v>
      </c>
    </row>
    <row r="276" spans="1:12">
      <c r="A276" s="146" t="s">
        <v>239</v>
      </c>
      <c r="B276" s="146"/>
      <c r="C276" s="146"/>
      <c r="F276" s="9">
        <f>F262</f>
        <v>26283</v>
      </c>
      <c r="G276" s="9">
        <f>SUM(G273:G275)</f>
        <v>26870.050649529541</v>
      </c>
      <c r="H276" s="9">
        <f>SUM(H273:H275)</f>
        <v>27449.529229899104</v>
      </c>
      <c r="I276" s="9">
        <f t="shared" ref="I276:K276" si="46">SUM(I273:I275)</f>
        <v>27982.597803738743</v>
      </c>
      <c r="J276" s="9">
        <f t="shared" si="46"/>
        <v>28535.16232998432</v>
      </c>
      <c r="K276" s="9">
        <f t="shared" si="46"/>
        <v>29107.935835399876</v>
      </c>
    </row>
    <row r="277" spans="1:12">
      <c r="A277" s="146"/>
      <c r="B277" s="146"/>
      <c r="C277" s="146"/>
    </row>
    <row r="278" spans="1:12">
      <c r="A278" s="85"/>
      <c r="B278" s="86"/>
      <c r="C278" s="87"/>
      <c r="D278" s="87">
        <v>2017</v>
      </c>
      <c r="E278" s="87">
        <f t="shared" ref="E278" si="47">D278+1</f>
        <v>2018</v>
      </c>
      <c r="F278" s="88">
        <f t="shared" ref="F278" si="48">E278+1</f>
        <v>2019</v>
      </c>
      <c r="G278" s="87">
        <f t="shared" ref="G278" si="49">F278+1</f>
        <v>2020</v>
      </c>
      <c r="H278" s="87">
        <f t="shared" ref="H278" si="50">G278+1</f>
        <v>2021</v>
      </c>
      <c r="I278" s="87">
        <f t="shared" ref="I278" si="51">H278+1</f>
        <v>2022</v>
      </c>
      <c r="J278" s="87">
        <f t="shared" ref="J278" si="52">I278+1</f>
        <v>2023</v>
      </c>
      <c r="K278" s="87">
        <f t="shared" ref="K278" si="53">J278+1</f>
        <v>2024</v>
      </c>
      <c r="L278" s="87" t="s">
        <v>215</v>
      </c>
    </row>
    <row r="279" spans="1:12">
      <c r="A279" s="153" t="s">
        <v>85</v>
      </c>
      <c r="B279" s="153"/>
      <c r="C279" s="153"/>
      <c r="F279" s="89"/>
    </row>
    <row r="280" spans="1:12">
      <c r="A280" s="146" t="s">
        <v>150</v>
      </c>
      <c r="B280" s="146"/>
      <c r="C280" s="146"/>
      <c r="D280" s="77"/>
      <c r="E280" s="77">
        <f>E55</f>
        <v>2937</v>
      </c>
      <c r="F280" s="77">
        <f>F55</f>
        <v>3281</v>
      </c>
      <c r="G280" s="73">
        <f>G356</f>
        <v>3171.545195941133</v>
      </c>
      <c r="H280" s="73">
        <f t="shared" ref="H280:K280" si="54">H356</f>
        <v>2225.0859240084242</v>
      </c>
      <c r="I280" s="73">
        <f t="shared" si="54"/>
        <v>3347.3748118990793</v>
      </c>
      <c r="J280" s="73">
        <f t="shared" si="54"/>
        <v>3482.4870215962196</v>
      </c>
      <c r="K280" s="73">
        <f t="shared" si="54"/>
        <v>3622.5406991250752</v>
      </c>
    </row>
    <row r="281" spans="1:12">
      <c r="A281" s="146" t="s">
        <v>216</v>
      </c>
      <c r="B281" s="146"/>
      <c r="C281" s="146"/>
      <c r="D281" s="74"/>
      <c r="E281" s="74">
        <f>E265</f>
        <v>2474</v>
      </c>
      <c r="F281" s="74">
        <f>F265</f>
        <v>2604</v>
      </c>
      <c r="G281" s="74">
        <f t="shared" ref="G281:K281" si="55">G265</f>
        <v>3253.1883261850467</v>
      </c>
      <c r="H281" s="74">
        <f t="shared" si="55"/>
        <v>3211.2270967475974</v>
      </c>
      <c r="I281" s="74">
        <f t="shared" si="55"/>
        <v>2954.0423179175009</v>
      </c>
      <c r="J281" s="74">
        <f t="shared" si="55"/>
        <v>3062.0807040868917</v>
      </c>
      <c r="K281" s="74">
        <f t="shared" si="55"/>
        <v>3174.0703853393929</v>
      </c>
    </row>
    <row r="282" spans="1:12">
      <c r="A282" s="146" t="s">
        <v>217</v>
      </c>
      <c r="B282" s="146"/>
      <c r="C282" s="146"/>
      <c r="D282" s="74"/>
      <c r="E282" s="11">
        <f>E247-D247</f>
        <v>840</v>
      </c>
      <c r="F282" s="11">
        <f>F247-E247</f>
        <v>-505</v>
      </c>
      <c r="G282" s="11">
        <f t="shared" ref="G282:K282" si="56">G247-F247</f>
        <v>2674.0435948520935</v>
      </c>
      <c r="H282" s="11">
        <f t="shared" si="56"/>
        <v>0</v>
      </c>
      <c r="I282" s="11">
        <f t="shared" si="56"/>
        <v>-1221.3421705907294</v>
      </c>
      <c r="J282" s="11">
        <f t="shared" si="56"/>
        <v>381.994759876643</v>
      </c>
      <c r="K282" s="11">
        <f t="shared" si="56"/>
        <v>395.96547963645207</v>
      </c>
    </row>
    <row r="283" spans="1:12">
      <c r="A283" s="146" t="s">
        <v>218</v>
      </c>
      <c r="B283" s="146"/>
      <c r="C283" s="146"/>
      <c r="D283" s="74"/>
      <c r="E283" s="11">
        <f>E252-D252</f>
        <v>1084</v>
      </c>
      <c r="F283" s="11">
        <f>F252-E252</f>
        <v>159</v>
      </c>
      <c r="G283" s="11">
        <f t="shared" ref="G283:K283" si="57">G252-F252</f>
        <v>1273.0422794401456</v>
      </c>
      <c r="H283" s="11">
        <f t="shared" si="57"/>
        <v>0</v>
      </c>
      <c r="I283" s="11">
        <f t="shared" si="57"/>
        <v>-1171.8226870948474</v>
      </c>
      <c r="J283" s="11">
        <f t="shared" si="57"/>
        <v>366.50673067179196</v>
      </c>
      <c r="K283" s="11">
        <f t="shared" si="57"/>
        <v>379.9110057093676</v>
      </c>
    </row>
    <row r="284" spans="1:12">
      <c r="A284" s="146" t="s">
        <v>219</v>
      </c>
      <c r="B284" s="146"/>
      <c r="C284" s="146"/>
      <c r="D284" s="74"/>
      <c r="E284" s="11">
        <f>E255-D255</f>
        <v>-53</v>
      </c>
      <c r="F284" s="11">
        <f>F255-E255</f>
        <v>205</v>
      </c>
      <c r="G284" s="11">
        <f t="shared" ref="G284:K284" si="58">G255-F255</f>
        <v>1042.214204412413</v>
      </c>
      <c r="H284" s="11">
        <f t="shared" si="58"/>
        <v>-63.26927745375815</v>
      </c>
      <c r="I284" s="11">
        <f t="shared" si="58"/>
        <v>-427.47522574726736</v>
      </c>
      <c r="J284" s="11">
        <f t="shared" si="58"/>
        <v>183.29948409629287</v>
      </c>
      <c r="K284" s="11">
        <f t="shared" si="58"/>
        <v>190.00330831957126</v>
      </c>
    </row>
    <row r="285" spans="1:12">
      <c r="A285" s="146" t="s">
        <v>220</v>
      </c>
      <c r="B285" s="146"/>
      <c r="C285" s="146"/>
      <c r="E285">
        <f>SUM(E280:E284)</f>
        <v>7282</v>
      </c>
      <c r="F285">
        <f>SUM(F280:F284)</f>
        <v>5744</v>
      </c>
      <c r="G285" s="4">
        <f t="shared" ref="G285:K285" si="59">SUM(G280:G284)</f>
        <v>11414.033600830833</v>
      </c>
      <c r="H285" s="4">
        <f t="shared" si="59"/>
        <v>5373.0437433022635</v>
      </c>
      <c r="I285" s="4">
        <f t="shared" si="59"/>
        <v>3480.777046383736</v>
      </c>
      <c r="J285" s="4">
        <f t="shared" si="59"/>
        <v>7476.3687003278392</v>
      </c>
      <c r="K285" s="4">
        <f t="shared" si="59"/>
        <v>7762.4908781298591</v>
      </c>
    </row>
    <row r="286" spans="1:12">
      <c r="A286" s="146"/>
      <c r="B286" s="146"/>
      <c r="C286" s="146"/>
    </row>
    <row r="287" spans="1:12">
      <c r="A287" s="146" t="s">
        <v>221</v>
      </c>
      <c r="B287" s="146"/>
      <c r="C287" s="146"/>
      <c r="E287" s="74">
        <f>E264</f>
        <v>3516</v>
      </c>
      <c r="F287" s="74">
        <f t="shared" ref="F287:K287" si="60">F264</f>
        <v>3027</v>
      </c>
      <c r="G287" s="74">
        <f t="shared" si="60"/>
        <v>3840.2389757145879</v>
      </c>
      <c r="H287" s="74">
        <f t="shared" si="60"/>
        <v>3790.7056771171588</v>
      </c>
      <c r="I287" s="74">
        <f t="shared" si="60"/>
        <v>3487.1108917571382</v>
      </c>
      <c r="J287" s="74">
        <f t="shared" si="60"/>
        <v>3614.6452303324695</v>
      </c>
      <c r="K287" s="74">
        <f t="shared" si="60"/>
        <v>3746.843890754948</v>
      </c>
    </row>
    <row r="288" spans="1:12">
      <c r="A288" s="146"/>
      <c r="B288" s="146"/>
      <c r="C288" s="146"/>
    </row>
    <row r="289" spans="1:12">
      <c r="A289" s="146" t="s">
        <v>222</v>
      </c>
      <c r="B289" s="146"/>
      <c r="C289" s="146"/>
    </row>
    <row r="290" spans="1:12">
      <c r="A290" s="146"/>
      <c r="B290" s="146"/>
      <c r="C290" s="146"/>
    </row>
    <row r="291" spans="1:12">
      <c r="A291" s="146" t="s">
        <v>320</v>
      </c>
      <c r="B291" s="146"/>
      <c r="C291" s="146"/>
    </row>
    <row r="292" spans="1:12">
      <c r="A292" s="146"/>
      <c r="B292" s="146"/>
      <c r="C292" s="146"/>
    </row>
    <row r="293" spans="1:12">
      <c r="A293" s="146" t="s">
        <v>250</v>
      </c>
      <c r="B293" s="146"/>
      <c r="C293" s="146"/>
      <c r="D293" s="41">
        <f>D294*D295</f>
        <v>58.0944</v>
      </c>
      <c r="E293" s="41">
        <f t="shared" ref="E293:G293" si="61">E294*E295</f>
        <v>71.484000000000009</v>
      </c>
      <c r="F293" s="41">
        <f t="shared" si="61"/>
        <v>89.960249999999988</v>
      </c>
      <c r="G293" s="41">
        <f t="shared" si="61"/>
        <v>123.87059172840095</v>
      </c>
      <c r="H293" s="41">
        <f t="shared" ref="H293:K293" si="62">H294*H295</f>
        <v>99.201585464137239</v>
      </c>
      <c r="I293" s="41">
        <f t="shared" si="62"/>
        <v>169.10298344369025</v>
      </c>
      <c r="J293" s="41">
        <f t="shared" si="62"/>
        <v>167.17541607828116</v>
      </c>
      <c r="K293" s="41">
        <f t="shared" si="62"/>
        <v>164.06681770640395</v>
      </c>
    </row>
    <row r="294" spans="1:12">
      <c r="A294" s="146" t="s">
        <v>211</v>
      </c>
      <c r="B294" s="146"/>
      <c r="C294" s="146"/>
      <c r="D294" s="71">
        <v>10.92</v>
      </c>
      <c r="E294" s="71">
        <v>12.88</v>
      </c>
      <c r="F294" s="71">
        <v>14.012499999999999</v>
      </c>
      <c r="G294" s="71">
        <v>19.565999999999999</v>
      </c>
      <c r="H294" s="41">
        <f>G294+2</f>
        <v>21.565999999999999</v>
      </c>
      <c r="I294" s="41">
        <f>H294+2</f>
        <v>23.565999999999999</v>
      </c>
      <c r="J294" s="41">
        <f>H294</f>
        <v>21.565999999999999</v>
      </c>
      <c r="K294" s="41">
        <f>G294</f>
        <v>19.565999999999999</v>
      </c>
    </row>
    <row r="295" spans="1:12">
      <c r="A295" s="146" t="s">
        <v>251</v>
      </c>
      <c r="B295" s="146"/>
      <c r="C295" s="146"/>
      <c r="D295" s="77">
        <f>D59</f>
        <v>5.32</v>
      </c>
      <c r="E295" s="77">
        <f t="shared" ref="E295:F295" si="63">E59</f>
        <v>5.55</v>
      </c>
      <c r="F295" s="77">
        <f t="shared" si="63"/>
        <v>6.42</v>
      </c>
      <c r="G295" s="78">
        <f>G280*1000000/G296</f>
        <v>6.3309103408157501</v>
      </c>
      <c r="H295" s="78">
        <f>H280*1000000/H296</f>
        <v>4.5999065874124661</v>
      </c>
      <c r="I295" s="78">
        <f t="shared" ref="I295:K295" si="64">I280*1000000/I296</f>
        <v>7.1757185540053579</v>
      </c>
      <c r="J295" s="78">
        <f t="shared" si="64"/>
        <v>7.7518045107243427</v>
      </c>
      <c r="K295" s="78">
        <f t="shared" si="64"/>
        <v>8.3853019373609303</v>
      </c>
    </row>
    <row r="296" spans="1:12">
      <c r="A296" s="146" t="s">
        <v>252</v>
      </c>
      <c r="B296" s="146"/>
      <c r="C296" s="146"/>
      <c r="D296" s="6">
        <v>552675341</v>
      </c>
      <c r="E296" s="6">
        <v>538796010</v>
      </c>
      <c r="F296" s="6">
        <v>516333213</v>
      </c>
      <c r="G296" s="6">
        <v>500961951</v>
      </c>
      <c r="H296" s="6">
        <f>G296-H297</f>
        <v>483724154.33333331</v>
      </c>
      <c r="I296" s="6">
        <f t="shared" ref="I296:K296" si="65">H296-I297</f>
        <v>466486357.66666663</v>
      </c>
      <c r="J296" s="6">
        <f t="shared" si="65"/>
        <v>449248560.99999994</v>
      </c>
      <c r="K296" s="6">
        <f t="shared" si="65"/>
        <v>432010764.33333325</v>
      </c>
    </row>
    <row r="297" spans="1:12">
      <c r="A297" s="146" t="s">
        <v>253</v>
      </c>
      <c r="B297" s="146"/>
      <c r="C297" s="146"/>
      <c r="E297" s="6">
        <f>(D296-E296)</f>
        <v>13879331</v>
      </c>
      <c r="F297" s="6">
        <f>(E296-F296)</f>
        <v>22462797</v>
      </c>
      <c r="G297" s="6">
        <f>(F296-G296)</f>
        <v>15371262</v>
      </c>
      <c r="H297" s="6">
        <f>$L$297</f>
        <v>17237796.666666668</v>
      </c>
      <c r="I297" s="6">
        <f t="shared" ref="I297:K297" si="66">$L$297</f>
        <v>17237796.666666668</v>
      </c>
      <c r="J297" s="6">
        <f t="shared" si="66"/>
        <v>17237796.666666668</v>
      </c>
      <c r="K297" s="6">
        <f t="shared" si="66"/>
        <v>17237796.666666668</v>
      </c>
      <c r="L297" s="6">
        <f>AVERAGE(E297:G297)</f>
        <v>17237796.666666668</v>
      </c>
    </row>
    <row r="298" spans="1:12">
      <c r="A298" s="146"/>
      <c r="B298" s="146"/>
      <c r="C298" s="146"/>
      <c r="E298" s="6"/>
      <c r="F298" s="6"/>
      <c r="G298" s="91"/>
      <c r="H298" s="6"/>
      <c r="I298" s="6"/>
      <c r="J298" s="6"/>
      <c r="K298" s="6"/>
      <c r="L298" s="6"/>
    </row>
    <row r="299" spans="1:12">
      <c r="A299" s="85"/>
      <c r="B299" s="86"/>
      <c r="C299" s="87"/>
      <c r="D299" s="87">
        <v>2017</v>
      </c>
      <c r="E299" s="87">
        <f t="shared" ref="E299" si="67">D299+1</f>
        <v>2018</v>
      </c>
      <c r="F299" s="88">
        <f t="shared" ref="F299" si="68">E299+1</f>
        <v>2019</v>
      </c>
      <c r="G299" s="87">
        <f t="shared" ref="G299" si="69">F299+1</f>
        <v>2020</v>
      </c>
      <c r="H299" s="87">
        <f t="shared" ref="H299" si="70">G299+1</f>
        <v>2021</v>
      </c>
      <c r="I299" s="87">
        <f t="shared" ref="I299" si="71">H299+1</f>
        <v>2022</v>
      </c>
      <c r="J299" s="87">
        <f t="shared" ref="J299" si="72">I299+1</f>
        <v>2023</v>
      </c>
      <c r="K299" s="87">
        <f t="shared" ref="K299" si="73">J299+1</f>
        <v>2024</v>
      </c>
      <c r="L299" s="87" t="s">
        <v>215</v>
      </c>
    </row>
    <row r="300" spans="1:12">
      <c r="A300" s="153" t="s">
        <v>240</v>
      </c>
      <c r="B300" s="153"/>
      <c r="C300" s="153"/>
      <c r="F300" s="89"/>
    </row>
    <row r="301" spans="1:12">
      <c r="A301" s="146"/>
      <c r="B301" s="146"/>
      <c r="C301" s="146"/>
    </row>
    <row r="302" spans="1:12">
      <c r="A302" s="146" t="s">
        <v>241</v>
      </c>
      <c r="B302" s="146"/>
      <c r="C302" s="146"/>
      <c r="D302" s="9">
        <f>D24+D27</f>
        <v>11587</v>
      </c>
      <c r="E302" s="9">
        <f>E24+E27</f>
        <v>11275</v>
      </c>
      <c r="F302" s="9">
        <f>F24+F27</f>
        <v>11499</v>
      </c>
      <c r="G302" s="9">
        <f>$L$302</f>
        <v>11453.666666666666</v>
      </c>
      <c r="H302" s="9">
        <f>$L$302</f>
        <v>11453.666666666666</v>
      </c>
      <c r="I302" s="9">
        <f>$L$302</f>
        <v>11453.666666666666</v>
      </c>
      <c r="J302" s="9">
        <f>$L$302</f>
        <v>11453.666666666666</v>
      </c>
      <c r="K302" s="9">
        <f>$L$302</f>
        <v>11453.666666666666</v>
      </c>
      <c r="L302" s="9">
        <f>AVERAGE(D302:F302)</f>
        <v>11453.666666666666</v>
      </c>
    </row>
    <row r="303" spans="1:12">
      <c r="A303" s="146" t="s">
        <v>242</v>
      </c>
      <c r="B303" s="146"/>
      <c r="C303" s="146"/>
      <c r="E303" s="9">
        <f>AVERAGE(D302:E302)</f>
        <v>11431</v>
      </c>
      <c r="F303" s="9">
        <f>AVERAGE(E302:F302)</f>
        <v>11387</v>
      </c>
    </row>
    <row r="304" spans="1:12">
      <c r="A304" s="146"/>
      <c r="B304" s="146"/>
      <c r="C304" s="146"/>
    </row>
    <row r="305" spans="1:12">
      <c r="A305" s="146" t="s">
        <v>189</v>
      </c>
      <c r="B305" s="146"/>
      <c r="C305" s="146"/>
      <c r="D305" s="77">
        <f>D49</f>
        <v>653</v>
      </c>
      <c r="E305" s="77">
        <f>E49</f>
        <v>461</v>
      </c>
      <c r="F305" s="77">
        <f>F49</f>
        <v>477</v>
      </c>
      <c r="G305" s="4">
        <f>G302*G307</f>
        <v>470.85339035509986</v>
      </c>
      <c r="H305" s="4">
        <f t="shared" ref="H305:K305" si="74">H302*H307</f>
        <v>470.85339035509986</v>
      </c>
      <c r="I305" s="4">
        <f t="shared" si="74"/>
        <v>479.79265829454636</v>
      </c>
      <c r="J305" s="4">
        <f t="shared" si="74"/>
        <v>479.79265829454636</v>
      </c>
      <c r="K305" s="4">
        <f t="shared" si="74"/>
        <v>479.79265829454636</v>
      </c>
    </row>
    <row r="306" spans="1:12">
      <c r="A306" s="146"/>
      <c r="B306" s="146"/>
      <c r="C306" s="146"/>
    </row>
    <row r="307" spans="1:12">
      <c r="A307" s="146" t="s">
        <v>243</v>
      </c>
      <c r="B307" s="146"/>
      <c r="C307" s="146"/>
      <c r="E307" s="92">
        <f>E305/E303</f>
        <v>4.032893010235325E-2</v>
      </c>
      <c r="F307" s="92">
        <f>F305/F303</f>
        <v>4.1889874418196187E-2</v>
      </c>
      <c r="G307" s="93">
        <f>$L$307</f>
        <v>4.1109402260274722E-2</v>
      </c>
      <c r="H307" s="93">
        <f>$L$307</f>
        <v>4.1109402260274722E-2</v>
      </c>
      <c r="I307" s="93">
        <f>$F$307</f>
        <v>4.1889874418196187E-2</v>
      </c>
      <c r="J307" s="93">
        <f>$F$307</f>
        <v>4.1889874418196187E-2</v>
      </c>
      <c r="K307" s="93">
        <f>$F$307</f>
        <v>4.1889874418196187E-2</v>
      </c>
      <c r="L307" s="93">
        <f>AVERAGE(E307:F307)</f>
        <v>4.1109402260274722E-2</v>
      </c>
    </row>
    <row r="309" spans="1:12">
      <c r="A309" s="146" t="s">
        <v>244</v>
      </c>
      <c r="B309" s="146"/>
      <c r="C309" s="146"/>
      <c r="D309" s="41">
        <f>D302/D37</f>
        <v>0.98958066444615256</v>
      </c>
      <c r="E309" s="41">
        <f>E302/E37</f>
        <v>0.99805258033106137</v>
      </c>
      <c r="F309" s="41">
        <f>F302/F37</f>
        <v>0.9717738527845855</v>
      </c>
    </row>
    <row r="310" spans="1:12">
      <c r="A310" s="146" t="s">
        <v>245</v>
      </c>
      <c r="B310" s="146"/>
      <c r="C310" s="146"/>
      <c r="D310" s="41">
        <f>(D25+D30)/D37</f>
        <v>2.3306857972499788</v>
      </c>
      <c r="E310" s="41">
        <f>(E25+E30)/E37</f>
        <v>2.6549526422944143</v>
      </c>
      <c r="F310" s="41">
        <f>(F25+F30)/F37</f>
        <v>2.6152285979886756</v>
      </c>
    </row>
    <row r="311" spans="1:12">
      <c r="A311" s="146" t="s">
        <v>246</v>
      </c>
      <c r="B311" s="146"/>
      <c r="C311" s="146"/>
      <c r="D311" s="41">
        <f>D196</f>
        <v>0.29711018231236697</v>
      </c>
      <c r="E311" s="41">
        <f>E196</f>
        <v>0.27306853959796562</v>
      </c>
      <c r="F311" s="41">
        <f>F196</f>
        <v>0.26880011220458638</v>
      </c>
    </row>
    <row r="320" spans="1:12">
      <c r="A320" s="85"/>
      <c r="B320" s="86"/>
      <c r="C320" s="87"/>
      <c r="D320" s="87">
        <v>2017</v>
      </c>
      <c r="E320" s="87">
        <f t="shared" ref="E320" si="75">D320+1</f>
        <v>2018</v>
      </c>
      <c r="F320" s="88">
        <f t="shared" ref="F320" si="76">E320+1</f>
        <v>2019</v>
      </c>
      <c r="G320" s="87">
        <f t="shared" ref="G320" si="77">F320+1</f>
        <v>2020</v>
      </c>
      <c r="H320" s="87">
        <f t="shared" ref="H320" si="78">G320+1</f>
        <v>2021</v>
      </c>
      <c r="I320" s="87">
        <f t="shared" ref="I320" si="79">H320+1</f>
        <v>2022</v>
      </c>
      <c r="J320" s="87">
        <f t="shared" ref="J320" si="80">I320+1</f>
        <v>2023</v>
      </c>
      <c r="K320" s="87">
        <f t="shared" ref="K320" si="81">J320+1</f>
        <v>2024</v>
      </c>
      <c r="L320" s="87" t="s">
        <v>215</v>
      </c>
    </row>
    <row r="321" spans="1:11">
      <c r="A321" s="153" t="s">
        <v>247</v>
      </c>
      <c r="B321" s="153"/>
      <c r="C321" s="153"/>
      <c r="F321" s="89"/>
    </row>
    <row r="322" spans="1:11">
      <c r="A322" s="146" t="s">
        <v>248</v>
      </c>
      <c r="B322" s="146"/>
      <c r="C322" s="146"/>
      <c r="G322" s="4">
        <f>F55/F65</f>
        <v>6.0003657644476958</v>
      </c>
    </row>
    <row r="323" spans="1:11">
      <c r="A323" s="146" t="s">
        <v>154</v>
      </c>
      <c r="B323" s="146"/>
      <c r="C323" s="146"/>
      <c r="G323" s="28">
        <f>171.41</f>
        <v>171.41</v>
      </c>
    </row>
    <row r="324" spans="1:11">
      <c r="A324" s="146" t="s">
        <v>249</v>
      </c>
      <c r="B324" s="146"/>
      <c r="C324" s="146"/>
      <c r="G324" s="41">
        <f>G323/G322</f>
        <v>28.566591892715635</v>
      </c>
      <c r="H324" s="41">
        <f>$G$324</f>
        <v>28.566591892715635</v>
      </c>
      <c r="I324" s="41">
        <f>$G$324</f>
        <v>28.566591892715635</v>
      </c>
      <c r="J324" s="41">
        <f>$G$324</f>
        <v>28.566591892715635</v>
      </c>
      <c r="K324" s="41">
        <f>$G$324</f>
        <v>28.566591892715635</v>
      </c>
    </row>
    <row r="327" spans="1:11">
      <c r="A327" s="146" t="s">
        <v>321</v>
      </c>
      <c r="B327" s="146"/>
      <c r="C327" s="146"/>
      <c r="E327">
        <f>D328</f>
        <v>510.9</v>
      </c>
      <c r="F327">
        <f>E329</f>
        <v>519.75</v>
      </c>
    </row>
    <row r="328" spans="1:11">
      <c r="A328" s="146" t="s">
        <v>322</v>
      </c>
      <c r="B328" s="146"/>
      <c r="C328" s="146"/>
      <c r="D328">
        <f>D241</f>
        <v>510.9</v>
      </c>
      <c r="E328">
        <f>E241</f>
        <v>528.6</v>
      </c>
      <c r="F328">
        <f>F241</f>
        <v>546.79999999999995</v>
      </c>
    </row>
    <row r="329" spans="1:11">
      <c r="A329" s="146" t="s">
        <v>323</v>
      </c>
      <c r="B329" s="146"/>
      <c r="C329" s="146"/>
      <c r="E329">
        <f>AVERAGE(E327:E328)</f>
        <v>519.75</v>
      </c>
      <c r="F329">
        <f>AVERAGE(F327:F328)</f>
        <v>533.27499999999998</v>
      </c>
    </row>
    <row r="330" spans="1:11">
      <c r="A330" s="146"/>
      <c r="B330" s="146"/>
      <c r="C330" s="146"/>
    </row>
    <row r="331" spans="1:11">
      <c r="A331" s="146" t="s">
        <v>212</v>
      </c>
      <c r="B331" s="146"/>
      <c r="C331" s="146"/>
    </row>
    <row r="332" spans="1:11">
      <c r="A332" s="146" t="s">
        <v>324</v>
      </c>
      <c r="B332" s="146"/>
      <c r="C332" s="146"/>
    </row>
    <row r="333" spans="1:11">
      <c r="A333" s="146"/>
      <c r="B333" s="146"/>
      <c r="C333" s="146"/>
    </row>
    <row r="334" spans="1:11">
      <c r="A334" s="146" t="s">
        <v>325</v>
      </c>
      <c r="B334" s="146"/>
      <c r="C334" s="146"/>
    </row>
    <row r="335" spans="1:11">
      <c r="A335" s="146"/>
      <c r="B335" s="146"/>
      <c r="C335" s="146"/>
    </row>
    <row r="336" spans="1:11">
      <c r="A336" s="146" t="s">
        <v>326</v>
      </c>
      <c r="B336" s="146"/>
      <c r="C336" s="146"/>
    </row>
    <row r="337" spans="1:12">
      <c r="A337" s="146"/>
      <c r="B337" s="146"/>
      <c r="C337" s="146"/>
    </row>
    <row r="338" spans="1:12">
      <c r="A338" s="146" t="s">
        <v>254</v>
      </c>
      <c r="B338" s="146"/>
      <c r="C338" s="146"/>
    </row>
    <row r="339" spans="1:12">
      <c r="A339" s="156" t="s">
        <v>255</v>
      </c>
      <c r="B339" s="156"/>
      <c r="C339" s="156"/>
      <c r="D339" s="39">
        <f>D52/D51</f>
        <v>0.19889807162534434</v>
      </c>
      <c r="E339" s="39">
        <f t="shared" ref="E339:F339" si="82">E52/E51</f>
        <v>0.2029379760609358</v>
      </c>
      <c r="F339" s="39">
        <f t="shared" si="82"/>
        <v>0.2198090692124105</v>
      </c>
      <c r="L339" s="40">
        <f>AVERAGE(D339:F339)</f>
        <v>0.2072150389662302</v>
      </c>
    </row>
    <row r="341" spans="1:12">
      <c r="A341" s="140" t="s">
        <v>327</v>
      </c>
      <c r="B341" s="140"/>
      <c r="C341" s="140"/>
      <c r="D341" s="2">
        <v>2017</v>
      </c>
      <c r="E341" s="2">
        <v>2018</v>
      </c>
      <c r="F341" s="2">
        <v>2019</v>
      </c>
      <c r="G341" s="2">
        <v>2020</v>
      </c>
      <c r="H341" s="2">
        <v>2021</v>
      </c>
      <c r="I341" s="2">
        <v>2022</v>
      </c>
      <c r="J341" s="2">
        <v>2023</v>
      </c>
      <c r="K341" s="2">
        <v>2024</v>
      </c>
      <c r="L341" s="2"/>
    </row>
    <row r="342" spans="1:12">
      <c r="A342" s="141" t="s">
        <v>61</v>
      </c>
      <c r="B342" s="141"/>
      <c r="C342" s="141"/>
    </row>
    <row r="343" spans="1:12">
      <c r="A343" s="145" t="s">
        <v>62</v>
      </c>
      <c r="B343" s="145"/>
      <c r="C343" s="145"/>
      <c r="D343" s="28">
        <v>71786</v>
      </c>
      <c r="E343" s="28">
        <v>74433</v>
      </c>
      <c r="F343" s="28">
        <v>77130</v>
      </c>
      <c r="G343" s="73">
        <f>G257</f>
        <v>94574.014817281655</v>
      </c>
      <c r="H343" s="73">
        <f>H257</f>
        <v>93475.741262151525</v>
      </c>
      <c r="I343" s="73">
        <f>I257</f>
        <v>86055.319300566232</v>
      </c>
      <c r="J343" s="73">
        <f>J257</f>
        <v>89237.163382776373</v>
      </c>
      <c r="K343" s="73">
        <f>K257</f>
        <v>92535.377260232694</v>
      </c>
    </row>
    <row r="344" spans="1:12">
      <c r="A344" s="145" t="s">
        <v>63</v>
      </c>
      <c r="B344" s="145"/>
      <c r="C344" s="145"/>
      <c r="D344" s="28">
        <v>928</v>
      </c>
      <c r="E344" s="28">
        <v>923</v>
      </c>
      <c r="F344" s="28">
        <v>982</v>
      </c>
      <c r="G344" s="73">
        <f>Sheet3!G159</f>
        <v>1098.2735551301289</v>
      </c>
      <c r="H344" s="73">
        <f>G344</f>
        <v>1098.2735551301289</v>
      </c>
      <c r="I344" s="73">
        <f>AVERAGE(D344:F344)</f>
        <v>944.33333333333337</v>
      </c>
      <c r="J344" s="73">
        <f>$I$344</f>
        <v>944.33333333333337</v>
      </c>
      <c r="K344" s="73">
        <f>$I$344</f>
        <v>944.33333333333337</v>
      </c>
    </row>
    <row r="345" spans="1:12">
      <c r="A345" s="145" t="s">
        <v>64</v>
      </c>
      <c r="B345" s="145"/>
      <c r="C345" s="145"/>
      <c r="D345" s="28">
        <v>72714</v>
      </c>
      <c r="E345" s="28">
        <v>75356</v>
      </c>
      <c r="F345" s="28">
        <f>SUM(F343:F344)</f>
        <v>78112</v>
      </c>
      <c r="G345" s="73">
        <f>G267</f>
        <v>95809.817149227601</v>
      </c>
      <c r="H345" s="73">
        <f>H267</f>
        <v>94574.014817281655</v>
      </c>
      <c r="I345" s="73">
        <f>I267</f>
        <v>86999.652633899561</v>
      </c>
      <c r="J345" s="73">
        <f>J267</f>
        <v>90181.496716109701</v>
      </c>
      <c r="K345" s="73">
        <f>K267</f>
        <v>93479.710593566022</v>
      </c>
    </row>
    <row r="346" spans="1:12">
      <c r="A346" s="145" t="s">
        <v>65</v>
      </c>
      <c r="B346" s="145"/>
      <c r="C346" s="145"/>
      <c r="D346" s="28">
        <v>51125</v>
      </c>
      <c r="E346" s="28">
        <v>53299</v>
      </c>
      <c r="F346" s="28">
        <v>54864</v>
      </c>
      <c r="G346" s="73">
        <f>-G211</f>
        <v>68434.623348894456</v>
      </c>
      <c r="H346" s="73">
        <f>-H211</f>
        <v>68434.623348894456</v>
      </c>
      <c r="I346" s="73">
        <f>-I211</f>
        <v>61270.061452230519</v>
      </c>
      <c r="J346" s="73">
        <f>-J211</f>
        <v>63510.89548485363</v>
      </c>
      <c r="K346" s="73">
        <f>-K211</f>
        <v>65833.683689591897</v>
      </c>
    </row>
    <row r="347" spans="1:12">
      <c r="A347" s="145" t="s">
        <v>66</v>
      </c>
      <c r="B347" s="145"/>
      <c r="C347" s="145"/>
      <c r="D347" s="28">
        <v>15140</v>
      </c>
      <c r="E347" s="28">
        <v>15723</v>
      </c>
      <c r="F347" s="28">
        <v>16233</v>
      </c>
      <c r="G347" s="73">
        <f>-G215</f>
        <v>19692.818916856548</v>
      </c>
      <c r="H347" s="73">
        <f>-H215</f>
        <v>19692.818916856548</v>
      </c>
      <c r="I347" s="73">
        <f>-I215</f>
        <v>18115.635763786329</v>
      </c>
      <c r="J347" s="73">
        <f>-J215</f>
        <v>18778.180115463638</v>
      </c>
      <c r="K347" s="73">
        <f>-K215</f>
        <v>19464.955745781299</v>
      </c>
    </row>
    <row r="348" spans="1:12">
      <c r="A348" s="145" t="s">
        <v>67</v>
      </c>
      <c r="B348" s="145"/>
      <c r="C348" s="145"/>
      <c r="D348" s="28">
        <v>2225</v>
      </c>
      <c r="E348" s="28">
        <v>2224</v>
      </c>
      <c r="F348" s="28">
        <v>2357</v>
      </c>
      <c r="G348" s="73">
        <f>G265</f>
        <v>3253.1883261850467</v>
      </c>
      <c r="H348" s="73">
        <f>H265</f>
        <v>3211.2270967475974</v>
      </c>
      <c r="I348" s="73">
        <f>I265</f>
        <v>2954.0423179175009</v>
      </c>
      <c r="J348" s="73">
        <f>J265</f>
        <v>3062.0807040868917</v>
      </c>
      <c r="K348" s="73">
        <f>K265</f>
        <v>3174.0703853393929</v>
      </c>
    </row>
    <row r="349" spans="1:12">
      <c r="A349" s="145" t="s">
        <v>68</v>
      </c>
      <c r="B349" s="145"/>
      <c r="C349" s="145"/>
      <c r="D349" s="29">
        <f>D345-SUM(D346:D348)</f>
        <v>4224</v>
      </c>
      <c r="E349" s="29">
        <f>E345-SUM(E346:E348)</f>
        <v>4110</v>
      </c>
      <c r="F349" s="29">
        <f>F345-SUM(F346:F348)</f>
        <v>4658</v>
      </c>
      <c r="G349" s="23">
        <f>G345-SUM(G346:G348)</f>
        <v>4429.1865572915558</v>
      </c>
      <c r="H349" s="23">
        <f t="shared" ref="H349:K349" si="83">H345-SUM(H346:H348)</f>
        <v>3235.3454547830625</v>
      </c>
      <c r="I349" s="23">
        <f t="shared" si="83"/>
        <v>4659.9130999652116</v>
      </c>
      <c r="J349" s="23">
        <f t="shared" si="83"/>
        <v>4830.3404117055325</v>
      </c>
      <c r="K349" s="23">
        <f t="shared" si="83"/>
        <v>5007.0007728534401</v>
      </c>
    </row>
    <row r="350" spans="1:12">
      <c r="A350" s="145" t="s">
        <v>69</v>
      </c>
      <c r="B350" s="145"/>
      <c r="C350" s="145"/>
      <c r="D350" s="28">
        <v>653</v>
      </c>
      <c r="E350" s="28">
        <v>461</v>
      </c>
      <c r="F350" s="24">
        <v>477</v>
      </c>
      <c r="G350" s="73">
        <f>G305</f>
        <v>470.85339035509986</v>
      </c>
      <c r="H350" s="73">
        <f t="shared" ref="H350:K350" si="84">H305</f>
        <v>470.85339035509986</v>
      </c>
      <c r="I350" s="73">
        <f t="shared" si="84"/>
        <v>479.79265829454636</v>
      </c>
      <c r="J350" s="73">
        <f t="shared" si="84"/>
        <v>479.79265829454636</v>
      </c>
      <c r="K350" s="73">
        <f t="shared" si="84"/>
        <v>479.79265829454636</v>
      </c>
    </row>
    <row r="351" spans="1:12">
      <c r="A351" s="145" t="s">
        <v>70</v>
      </c>
      <c r="B351" s="145"/>
      <c r="C351" s="145"/>
      <c r="D351" s="24">
        <v>-59</v>
      </c>
      <c r="E351" s="24">
        <v>-27</v>
      </c>
      <c r="F351" s="24">
        <v>-9</v>
      </c>
      <c r="G351" s="11">
        <f>AVERAGE(D351:F351)</f>
        <v>-31.666666666666668</v>
      </c>
      <c r="H351" s="11">
        <f>$G$351</f>
        <v>-31.666666666666668</v>
      </c>
      <c r="I351" s="11">
        <f>$G$351</f>
        <v>-31.666666666666668</v>
      </c>
      <c r="J351" s="11">
        <f>$G$351</f>
        <v>-31.666666666666668</v>
      </c>
      <c r="K351" s="11">
        <f>$G$351</f>
        <v>-31.666666666666668</v>
      </c>
    </row>
    <row r="352" spans="1:12">
      <c r="A352" s="145" t="s">
        <v>71</v>
      </c>
      <c r="B352" s="145"/>
      <c r="C352" s="145"/>
      <c r="D352" s="11">
        <f>D349-D350-D351</f>
        <v>3630</v>
      </c>
      <c r="E352" s="11">
        <f>E349-E350-E351</f>
        <v>3676</v>
      </c>
      <c r="F352" s="11">
        <f>F349-F350-F351</f>
        <v>4190</v>
      </c>
      <c r="G352" s="23">
        <f>G349-G350-G351</f>
        <v>3989.9998336031226</v>
      </c>
      <c r="H352" s="23">
        <f t="shared" ref="H352:K352" si="85">H349-H350-H351</f>
        <v>2796.1587310946293</v>
      </c>
      <c r="I352" s="23">
        <f t="shared" si="85"/>
        <v>4211.787108337332</v>
      </c>
      <c r="J352" s="23">
        <f t="shared" si="85"/>
        <v>4382.2144200776529</v>
      </c>
      <c r="K352" s="23">
        <f t="shared" si="85"/>
        <v>4558.8747812255606</v>
      </c>
    </row>
    <row r="353" spans="1:11">
      <c r="A353" s="145" t="s">
        <v>72</v>
      </c>
      <c r="B353" s="145"/>
      <c r="C353" s="145"/>
      <c r="D353" s="28">
        <v>722</v>
      </c>
      <c r="E353" s="28">
        <v>746</v>
      </c>
      <c r="F353" s="28">
        <v>921</v>
      </c>
      <c r="G353" s="23">
        <f>$L$339*G352</f>
        <v>826.78797099532301</v>
      </c>
      <c r="H353" s="23">
        <f t="shared" ref="H353:K353" si="86">$L$339*H352</f>
        <v>579.40614041953836</v>
      </c>
      <c r="I353" s="23">
        <f t="shared" si="86"/>
        <v>872.74562977158621</v>
      </c>
      <c r="J353" s="23">
        <f t="shared" si="86"/>
        <v>908.06073181476677</v>
      </c>
      <c r="K353" s="23">
        <f t="shared" si="86"/>
        <v>944.66741543381875</v>
      </c>
    </row>
    <row r="354" spans="1:11">
      <c r="A354" s="145" t="s">
        <v>73</v>
      </c>
      <c r="B354" s="145"/>
      <c r="C354" s="145"/>
      <c r="D354" s="11">
        <f>D352-D353</f>
        <v>2908</v>
      </c>
      <c r="E354" s="11">
        <f t="shared" ref="E354:K354" si="87">E352-E353</f>
        <v>2930</v>
      </c>
      <c r="F354" s="11">
        <f t="shared" si="87"/>
        <v>3269</v>
      </c>
      <c r="G354" s="11">
        <f t="shared" si="87"/>
        <v>3163.2118626077995</v>
      </c>
      <c r="H354" s="11">
        <f t="shared" si="87"/>
        <v>2216.7525906750907</v>
      </c>
      <c r="I354" s="11">
        <f t="shared" si="87"/>
        <v>3339.0414785657458</v>
      </c>
      <c r="J354" s="11">
        <f t="shared" si="87"/>
        <v>3474.1536882628861</v>
      </c>
      <c r="K354" s="11">
        <f t="shared" si="87"/>
        <v>3614.2073657917417</v>
      </c>
    </row>
    <row r="355" spans="1:11">
      <c r="A355" s="145" t="s">
        <v>74</v>
      </c>
      <c r="B355" s="145"/>
      <c r="C355" s="145"/>
      <c r="D355" s="28">
        <v>6</v>
      </c>
      <c r="E355" s="28">
        <v>7</v>
      </c>
      <c r="F355" s="28">
        <v>12</v>
      </c>
      <c r="G355" s="11">
        <f>AVERAGE(D355:F355)</f>
        <v>8.3333333333333339</v>
      </c>
      <c r="H355" s="4">
        <f>$G$355</f>
        <v>8.3333333333333339</v>
      </c>
      <c r="I355" s="12">
        <f>$G$355</f>
        <v>8.3333333333333339</v>
      </c>
      <c r="J355" s="4">
        <f>$G$355</f>
        <v>8.3333333333333339</v>
      </c>
      <c r="K355" s="12">
        <f>$G$355</f>
        <v>8.3333333333333339</v>
      </c>
    </row>
    <row r="356" spans="1:11">
      <c r="A356" s="147" t="s">
        <v>75</v>
      </c>
      <c r="B356" s="147"/>
      <c r="C356" s="147"/>
      <c r="D356" s="29">
        <f>SUM(D354:D355)</f>
        <v>2914</v>
      </c>
      <c r="E356" s="29">
        <f>SUM(E354:E355)</f>
        <v>2937</v>
      </c>
      <c r="F356" s="29">
        <f>SUM(F354:F355)</f>
        <v>3281</v>
      </c>
      <c r="G356" s="23">
        <f>SUM(G354:G355)</f>
        <v>3171.545195941133</v>
      </c>
      <c r="H356" s="23">
        <f t="shared" ref="H356:K356" si="88">SUM(H354:H355)</f>
        <v>2225.0859240084242</v>
      </c>
      <c r="I356" s="23">
        <f t="shared" si="88"/>
        <v>3347.3748118990793</v>
      </c>
      <c r="J356" s="23">
        <f t="shared" si="88"/>
        <v>3482.4870215962196</v>
      </c>
      <c r="K356" s="23">
        <f t="shared" si="88"/>
        <v>3622.5406991250752</v>
      </c>
    </row>
    <row r="357" spans="1:11">
      <c r="A357" s="152"/>
      <c r="B357" s="152"/>
      <c r="C357" s="152"/>
      <c r="D357" s="29"/>
      <c r="E357" s="29"/>
      <c r="F357" s="29"/>
      <c r="G357" s="23"/>
      <c r="H357" s="23"/>
      <c r="I357" s="23"/>
      <c r="J357" s="23"/>
      <c r="K357" s="23"/>
    </row>
    <row r="358" spans="1:11" ht="19.3">
      <c r="A358" s="148" t="s">
        <v>76</v>
      </c>
      <c r="B358" s="148"/>
      <c r="C358" s="148"/>
      <c r="D358" s="28"/>
      <c r="E358" s="28"/>
      <c r="F358" s="28"/>
      <c r="G358" s="73"/>
      <c r="H358" s="4"/>
    </row>
    <row r="359" spans="1:11">
      <c r="A359" s="145" t="s">
        <v>77</v>
      </c>
      <c r="B359" s="145"/>
      <c r="C359" s="145"/>
      <c r="D359" s="28">
        <v>5.32</v>
      </c>
      <c r="E359" s="28">
        <v>5.54</v>
      </c>
      <c r="F359" s="28">
        <v>6.39</v>
      </c>
      <c r="G359" s="73"/>
      <c r="H359" s="4"/>
    </row>
    <row r="360" spans="1:11">
      <c r="A360" s="145" t="s">
        <v>78</v>
      </c>
      <c r="B360" s="145"/>
      <c r="C360" s="145"/>
      <c r="D360" s="28">
        <v>0.01</v>
      </c>
      <c r="E360" s="28">
        <v>0.01</v>
      </c>
      <c r="F360" s="28">
        <v>0.02</v>
      </c>
      <c r="G360" s="76"/>
      <c r="H360" s="15"/>
    </row>
    <row r="361" spans="1:11">
      <c r="A361" s="145" t="s">
        <v>79</v>
      </c>
      <c r="B361" s="145"/>
      <c r="C361" s="145"/>
      <c r="D361" s="28">
        <v>5.32</v>
      </c>
      <c r="E361" s="28">
        <v>5.55</v>
      </c>
      <c r="F361" s="28">
        <v>6.42</v>
      </c>
      <c r="G361" s="73"/>
      <c r="H361" s="4"/>
    </row>
    <row r="362" spans="1:11" ht="19.3">
      <c r="A362" s="148" t="s">
        <v>80</v>
      </c>
      <c r="B362" s="148"/>
      <c r="C362" s="148"/>
      <c r="D362" s="28"/>
      <c r="E362" s="28"/>
      <c r="F362" s="28"/>
      <c r="G362" s="73"/>
      <c r="H362" s="4"/>
    </row>
    <row r="363" spans="1:11">
      <c r="A363" s="145" t="s">
        <v>77</v>
      </c>
      <c r="B363" s="145"/>
      <c r="C363" s="145"/>
      <c r="D363" s="28">
        <v>5.29</v>
      </c>
      <c r="E363" s="28">
        <v>5.5</v>
      </c>
      <c r="F363" s="28">
        <v>6.34</v>
      </c>
      <c r="G363" s="73"/>
      <c r="H363" s="4"/>
    </row>
    <row r="364" spans="1:11">
      <c r="A364" s="145" t="s">
        <v>78</v>
      </c>
      <c r="B364" s="145"/>
      <c r="C364" s="145"/>
      <c r="D364" s="28">
        <v>1E-3</v>
      </c>
      <c r="E364" s="28">
        <v>1E-3</v>
      </c>
      <c r="F364" s="28">
        <v>2E-3</v>
      </c>
      <c r="G364" s="76"/>
      <c r="H364" s="15"/>
    </row>
    <row r="365" spans="1:11">
      <c r="A365" s="145" t="s">
        <v>79</v>
      </c>
      <c r="B365" s="145"/>
      <c r="C365" s="145"/>
      <c r="D365" s="28">
        <v>5.29</v>
      </c>
      <c r="E365" s="28">
        <v>5.51</v>
      </c>
      <c r="F365" s="28">
        <f>6.36</f>
        <v>6.36</v>
      </c>
      <c r="G365" s="73"/>
      <c r="H365" s="4"/>
    </row>
    <row r="366" spans="1:11" ht="19.3">
      <c r="A366" s="148" t="s">
        <v>81</v>
      </c>
      <c r="B366" s="148"/>
      <c r="C366" s="148"/>
      <c r="D366" s="28"/>
      <c r="E366" s="28"/>
      <c r="F366" s="28"/>
      <c r="G366" s="77"/>
    </row>
    <row r="367" spans="1:11">
      <c r="A367" s="145" t="s">
        <v>82</v>
      </c>
      <c r="B367" s="145"/>
      <c r="C367" s="145"/>
      <c r="D367" s="28">
        <v>510.9</v>
      </c>
      <c r="E367" s="28">
        <v>528.6</v>
      </c>
      <c r="F367" s="28">
        <v>546.79999999999995</v>
      </c>
      <c r="G367" s="73"/>
      <c r="H367" s="4"/>
    </row>
    <row r="368" spans="1:11">
      <c r="A368" s="145" t="s">
        <v>83</v>
      </c>
      <c r="B368" s="145"/>
      <c r="C368" s="145"/>
      <c r="D368" s="28">
        <v>515.6</v>
      </c>
      <c r="E368" s="28">
        <v>533.20000000000005</v>
      </c>
      <c r="F368" s="28">
        <v>550.29999999999995</v>
      </c>
      <c r="G368" s="73"/>
      <c r="H368" s="4"/>
    </row>
    <row r="369" spans="1:8">
      <c r="A369" s="149" t="s">
        <v>84</v>
      </c>
      <c r="B369" s="149"/>
      <c r="C369" s="149"/>
      <c r="D369" s="30">
        <v>0</v>
      </c>
      <c r="E369" s="30">
        <v>0</v>
      </c>
      <c r="F369" s="31">
        <v>4.0999999999999996</v>
      </c>
      <c r="G369" s="78"/>
      <c r="H369" s="41"/>
    </row>
    <row r="370" spans="1:8">
      <c r="A370" s="146"/>
      <c r="B370" s="146"/>
      <c r="C370" s="146"/>
    </row>
    <row r="371" spans="1:8">
      <c r="A371" s="146"/>
      <c r="B371" s="146"/>
      <c r="C371" s="146"/>
    </row>
    <row r="372" spans="1:8">
      <c r="A372" s="146"/>
      <c r="B372" s="146"/>
      <c r="C372" s="146"/>
    </row>
    <row r="373" spans="1:8">
      <c r="A373" s="146"/>
      <c r="B373" s="146"/>
      <c r="C373" s="146"/>
    </row>
    <row r="374" spans="1:8">
      <c r="A374" s="146"/>
      <c r="B374" s="146"/>
      <c r="C374" s="146"/>
    </row>
    <row r="375" spans="1:8">
      <c r="A375" s="146"/>
      <c r="B375" s="146"/>
      <c r="C375" s="146"/>
    </row>
    <row r="376" spans="1:8">
      <c r="A376" s="146"/>
      <c r="B376" s="146"/>
      <c r="C376" s="146"/>
    </row>
    <row r="377" spans="1:8">
      <c r="A377" s="146"/>
      <c r="B377" s="146"/>
      <c r="C377" s="146"/>
    </row>
    <row r="378" spans="1:8">
      <c r="A378" s="146"/>
      <c r="B378" s="146"/>
      <c r="C378" s="146"/>
    </row>
    <row r="379" spans="1:8">
      <c r="A379" s="146"/>
      <c r="B379" s="146"/>
      <c r="C379" s="146"/>
    </row>
    <row r="380" spans="1:8">
      <c r="A380" s="146"/>
      <c r="B380" s="146"/>
      <c r="C380" s="146"/>
    </row>
    <row r="381" spans="1:8">
      <c r="A381" s="146"/>
      <c r="B381" s="146"/>
      <c r="C381" s="146"/>
    </row>
    <row r="382" spans="1:8">
      <c r="A382" s="146"/>
      <c r="B382" s="146"/>
      <c r="C382" s="146"/>
    </row>
    <row r="383" spans="1:8">
      <c r="A383" s="146"/>
      <c r="B383" s="146"/>
      <c r="C383" s="146"/>
    </row>
    <row r="384" spans="1:8">
      <c r="A384" s="146"/>
      <c r="B384" s="146"/>
      <c r="C384" s="146"/>
    </row>
    <row r="385" spans="1:3">
      <c r="A385" s="146"/>
      <c r="B385" s="146"/>
      <c r="C385" s="146"/>
    </row>
    <row r="386" spans="1:3">
      <c r="A386" s="146"/>
      <c r="B386" s="146"/>
      <c r="C386" s="146"/>
    </row>
    <row r="387" spans="1:3">
      <c r="A387" s="146"/>
      <c r="B387" s="146"/>
      <c r="C387" s="146"/>
    </row>
    <row r="388" spans="1:3">
      <c r="A388" s="146"/>
      <c r="B388" s="146"/>
      <c r="C388" s="146"/>
    </row>
    <row r="389" spans="1:3">
      <c r="A389" s="146"/>
      <c r="B389" s="146"/>
      <c r="C389" s="146"/>
    </row>
    <row r="390" spans="1:3">
      <c r="A390" s="146"/>
      <c r="B390" s="146"/>
      <c r="C390" s="146"/>
    </row>
    <row r="391" spans="1:3">
      <c r="A391" s="146"/>
      <c r="B391" s="146"/>
      <c r="C391" s="146"/>
    </row>
    <row r="392" spans="1:3">
      <c r="A392" s="146"/>
      <c r="B392" s="146"/>
      <c r="C392" s="146"/>
    </row>
    <row r="393" spans="1:3">
      <c r="A393" s="146"/>
      <c r="B393" s="146"/>
      <c r="C393" s="146"/>
    </row>
    <row r="394" spans="1:3">
      <c r="A394" s="146"/>
      <c r="B394" s="146"/>
      <c r="C394" s="146"/>
    </row>
    <row r="395" spans="1:3">
      <c r="A395" s="146"/>
      <c r="B395" s="146"/>
      <c r="C395" s="146"/>
    </row>
    <row r="396" spans="1:3">
      <c r="A396" s="146"/>
      <c r="B396" s="146"/>
      <c r="C396" s="146"/>
    </row>
    <row r="397" spans="1:3">
      <c r="A397" s="146"/>
      <c r="B397" s="146"/>
      <c r="C397" s="146"/>
    </row>
    <row r="398" spans="1:3">
      <c r="A398" s="146"/>
      <c r="B398" s="146"/>
      <c r="C398" s="146"/>
    </row>
    <row r="399" spans="1:3">
      <c r="A399" s="146"/>
      <c r="B399" s="146"/>
      <c r="C399" s="146"/>
    </row>
    <row r="400" spans="1:3">
      <c r="A400" s="146"/>
      <c r="B400" s="146"/>
      <c r="C400" s="146"/>
    </row>
    <row r="401" spans="1:3">
      <c r="A401" s="146"/>
      <c r="B401" s="146"/>
      <c r="C401" s="146"/>
    </row>
    <row r="402" spans="1:3">
      <c r="A402" s="146"/>
      <c r="B402" s="146"/>
      <c r="C402" s="146"/>
    </row>
    <row r="403" spans="1:3">
      <c r="A403" s="146"/>
      <c r="B403" s="146"/>
      <c r="C403" s="146"/>
    </row>
    <row r="404" spans="1:3">
      <c r="A404" s="146"/>
      <c r="B404" s="146"/>
      <c r="C404" s="146"/>
    </row>
    <row r="405" spans="1:3">
      <c r="A405" s="146"/>
      <c r="B405" s="146"/>
      <c r="C405" s="146"/>
    </row>
    <row r="406" spans="1:3">
      <c r="A406" s="146"/>
      <c r="B406" s="146"/>
      <c r="C406" s="146"/>
    </row>
    <row r="407" spans="1:3">
      <c r="A407" s="146"/>
      <c r="B407" s="146"/>
      <c r="C407" s="146"/>
    </row>
    <row r="408" spans="1:3">
      <c r="A408" s="146"/>
      <c r="B408" s="146"/>
      <c r="C408" s="146"/>
    </row>
    <row r="409" spans="1:3">
      <c r="A409" s="146"/>
      <c r="B409" s="146"/>
      <c r="C409" s="146"/>
    </row>
    <row r="410" spans="1:3">
      <c r="A410" s="146"/>
      <c r="B410" s="146"/>
      <c r="C410" s="146"/>
    </row>
    <row r="411" spans="1:3">
      <c r="A411" s="146"/>
      <c r="B411" s="146"/>
      <c r="C411" s="146"/>
    </row>
    <row r="412" spans="1:3">
      <c r="A412" s="146"/>
      <c r="B412" s="146"/>
      <c r="C412" s="146"/>
    </row>
    <row r="413" spans="1:3">
      <c r="A413" s="146"/>
      <c r="B413" s="146"/>
      <c r="C413" s="146"/>
    </row>
    <row r="414" spans="1:3">
      <c r="A414" s="146"/>
      <c r="B414" s="146"/>
      <c r="C414" s="146"/>
    </row>
    <row r="415" spans="1:3">
      <c r="A415" s="146"/>
      <c r="B415" s="146"/>
      <c r="C415" s="146"/>
    </row>
    <row r="416" spans="1:3">
      <c r="A416" s="146"/>
      <c r="B416" s="146"/>
      <c r="C416" s="146"/>
    </row>
    <row r="417" spans="1:3">
      <c r="A417" s="146"/>
      <c r="B417" s="146"/>
      <c r="C417" s="146"/>
    </row>
    <row r="418" spans="1:3">
      <c r="A418" s="146"/>
      <c r="B418" s="146"/>
      <c r="C418" s="146"/>
    </row>
    <row r="419" spans="1:3">
      <c r="A419" s="146"/>
      <c r="B419" s="146"/>
      <c r="C419" s="146"/>
    </row>
    <row r="420" spans="1:3">
      <c r="A420" s="146"/>
      <c r="B420" s="146"/>
      <c r="C420" s="146"/>
    </row>
    <row r="421" spans="1:3">
      <c r="A421" s="146"/>
      <c r="B421" s="146"/>
      <c r="C421" s="146"/>
    </row>
    <row r="422" spans="1:3">
      <c r="A422" s="146"/>
      <c r="B422" s="146"/>
      <c r="C422" s="146"/>
    </row>
    <row r="423" spans="1:3">
      <c r="A423" s="146"/>
      <c r="B423" s="146"/>
      <c r="C423" s="146"/>
    </row>
    <row r="424" spans="1:3">
      <c r="A424" s="146"/>
      <c r="B424" s="146"/>
      <c r="C424" s="146"/>
    </row>
    <row r="425" spans="1:3">
      <c r="A425" s="146"/>
      <c r="B425" s="146"/>
      <c r="C425" s="146"/>
    </row>
    <row r="426" spans="1:3">
      <c r="A426" s="146"/>
      <c r="B426" s="146"/>
      <c r="C426" s="146"/>
    </row>
    <row r="427" spans="1:3">
      <c r="A427" s="146"/>
      <c r="B427" s="146"/>
      <c r="C427" s="146"/>
    </row>
    <row r="428" spans="1:3">
      <c r="A428" s="146"/>
      <c r="B428" s="146"/>
      <c r="C428" s="146"/>
    </row>
    <row r="429" spans="1:3">
      <c r="A429" s="146"/>
      <c r="B429" s="146"/>
      <c r="C429" s="146"/>
    </row>
    <row r="430" spans="1:3">
      <c r="A430" s="146"/>
      <c r="B430" s="146"/>
      <c r="C430" s="146"/>
    </row>
    <row r="431" spans="1:3">
      <c r="A431" s="146"/>
      <c r="B431" s="146"/>
      <c r="C431" s="146"/>
    </row>
    <row r="432" spans="1:3">
      <c r="A432" s="146"/>
      <c r="B432" s="146"/>
      <c r="C432" s="146"/>
    </row>
    <row r="433" spans="1:3">
      <c r="A433" s="146"/>
      <c r="B433" s="146"/>
      <c r="C433" s="146"/>
    </row>
    <row r="434" spans="1:3">
      <c r="A434" s="146"/>
      <c r="B434" s="146"/>
      <c r="C434" s="146"/>
    </row>
    <row r="435" spans="1:3">
      <c r="A435" s="146"/>
      <c r="B435" s="146"/>
      <c r="C435" s="146"/>
    </row>
    <row r="436" spans="1:3">
      <c r="A436" s="146"/>
      <c r="B436" s="146"/>
      <c r="C436" s="146"/>
    </row>
    <row r="437" spans="1:3">
      <c r="A437" s="146"/>
      <c r="B437" s="146"/>
      <c r="C437" s="146"/>
    </row>
    <row r="438" spans="1:3">
      <c r="A438" s="146"/>
      <c r="B438" s="146"/>
      <c r="C438" s="146"/>
    </row>
    <row r="439" spans="1:3">
      <c r="A439" s="146"/>
      <c r="B439" s="146"/>
      <c r="C439" s="146"/>
    </row>
    <row r="440" spans="1:3">
      <c r="A440" s="146"/>
      <c r="B440" s="146"/>
      <c r="C440" s="146"/>
    </row>
    <row r="441" spans="1:3">
      <c r="A441" s="146"/>
      <c r="B441" s="146"/>
      <c r="C441" s="146"/>
    </row>
    <row r="442" spans="1:3">
      <c r="A442" s="146"/>
      <c r="B442" s="146"/>
      <c r="C442" s="146"/>
    </row>
    <row r="443" spans="1:3">
      <c r="A443" s="146"/>
      <c r="B443" s="146"/>
      <c r="C443" s="146"/>
    </row>
    <row r="444" spans="1:3">
      <c r="A444" s="146"/>
      <c r="B444" s="146"/>
      <c r="C444" s="146"/>
    </row>
    <row r="445" spans="1:3">
      <c r="A445" s="146"/>
      <c r="B445" s="146"/>
      <c r="C445" s="146"/>
    </row>
    <row r="446" spans="1:3">
      <c r="A446" s="146"/>
      <c r="B446" s="146"/>
      <c r="C446" s="146"/>
    </row>
    <row r="447" spans="1:3">
      <c r="A447" s="146"/>
      <c r="B447" s="146"/>
      <c r="C447" s="146"/>
    </row>
    <row r="448" spans="1:3">
      <c r="A448" s="146"/>
      <c r="B448" s="146"/>
      <c r="C448" s="146"/>
    </row>
    <row r="449" spans="1:3">
      <c r="A449" s="146"/>
      <c r="B449" s="146"/>
      <c r="C449" s="146"/>
    </row>
    <row r="450" spans="1:3">
      <c r="A450" s="146"/>
      <c r="B450" s="146"/>
      <c r="C450" s="146"/>
    </row>
    <row r="451" spans="1:3">
      <c r="A451" s="146"/>
      <c r="B451" s="146"/>
      <c r="C451" s="146"/>
    </row>
    <row r="452" spans="1:3">
      <c r="A452" s="146"/>
      <c r="B452" s="146"/>
      <c r="C452" s="146"/>
    </row>
    <row r="453" spans="1:3">
      <c r="A453" s="146"/>
      <c r="B453" s="146"/>
      <c r="C453" s="146"/>
    </row>
    <row r="454" spans="1:3">
      <c r="A454" s="146"/>
      <c r="B454" s="146"/>
      <c r="C454" s="146"/>
    </row>
    <row r="455" spans="1:3">
      <c r="A455" s="146"/>
      <c r="B455" s="146"/>
      <c r="C455" s="146"/>
    </row>
  </sheetData>
  <mergeCells count="433">
    <mergeCell ref="A450:C450"/>
    <mergeCell ref="A451:C451"/>
    <mergeCell ref="A452:C452"/>
    <mergeCell ref="A453:C453"/>
    <mergeCell ref="A454:C454"/>
    <mergeCell ref="A455:C455"/>
    <mergeCell ref="M110:P112"/>
    <mergeCell ref="L203:W209"/>
    <mergeCell ref="L211:W213"/>
    <mergeCell ref="L215:W216"/>
    <mergeCell ref="A441:C441"/>
    <mergeCell ref="A442:C442"/>
    <mergeCell ref="A443:C443"/>
    <mergeCell ref="A444:C444"/>
    <mergeCell ref="A445:C445"/>
    <mergeCell ref="A446:C446"/>
    <mergeCell ref="A447:C447"/>
    <mergeCell ref="A448:C448"/>
    <mergeCell ref="A449:C449"/>
    <mergeCell ref="A432:C432"/>
    <mergeCell ref="A433:C433"/>
    <mergeCell ref="A434:C434"/>
    <mergeCell ref="A435:C435"/>
    <mergeCell ref="A436:C436"/>
    <mergeCell ref="A437:C437"/>
    <mergeCell ref="A438:C438"/>
    <mergeCell ref="A439:C439"/>
    <mergeCell ref="A440:C440"/>
    <mergeCell ref="A423:C423"/>
    <mergeCell ref="A424:C424"/>
    <mergeCell ref="A425:C425"/>
    <mergeCell ref="A426:C426"/>
    <mergeCell ref="A427:C427"/>
    <mergeCell ref="A428:C428"/>
    <mergeCell ref="A429:C429"/>
    <mergeCell ref="A430:C430"/>
    <mergeCell ref="A431:C431"/>
    <mergeCell ref="A414:C414"/>
    <mergeCell ref="A415:C415"/>
    <mergeCell ref="A416:C416"/>
    <mergeCell ref="A417:C417"/>
    <mergeCell ref="A418:C418"/>
    <mergeCell ref="A419:C419"/>
    <mergeCell ref="A420:C420"/>
    <mergeCell ref="A421:C421"/>
    <mergeCell ref="A422:C422"/>
    <mergeCell ref="A405:C405"/>
    <mergeCell ref="A406:C406"/>
    <mergeCell ref="A407:C407"/>
    <mergeCell ref="A408:C408"/>
    <mergeCell ref="A409:C409"/>
    <mergeCell ref="A410:C410"/>
    <mergeCell ref="A411:C411"/>
    <mergeCell ref="A412:C412"/>
    <mergeCell ref="A413:C413"/>
    <mergeCell ref="A396:C396"/>
    <mergeCell ref="A397:C397"/>
    <mergeCell ref="A398:C398"/>
    <mergeCell ref="A399:C399"/>
    <mergeCell ref="A400:C400"/>
    <mergeCell ref="A401:C401"/>
    <mergeCell ref="A402:C402"/>
    <mergeCell ref="A403:C403"/>
    <mergeCell ref="A404:C404"/>
    <mergeCell ref="A387:C387"/>
    <mergeCell ref="A388:C388"/>
    <mergeCell ref="A389:C389"/>
    <mergeCell ref="A390:C390"/>
    <mergeCell ref="A391:C391"/>
    <mergeCell ref="A392:C392"/>
    <mergeCell ref="A393:C393"/>
    <mergeCell ref="A394:C394"/>
    <mergeCell ref="A395:C395"/>
    <mergeCell ref="A378:C378"/>
    <mergeCell ref="A379:C379"/>
    <mergeCell ref="A380:C380"/>
    <mergeCell ref="A381:C381"/>
    <mergeCell ref="A382:C382"/>
    <mergeCell ref="A383:C383"/>
    <mergeCell ref="A384:C384"/>
    <mergeCell ref="A385:C385"/>
    <mergeCell ref="A386:C386"/>
    <mergeCell ref="A369:C369"/>
    <mergeCell ref="A370:C370"/>
    <mergeCell ref="A371:C371"/>
    <mergeCell ref="A372:C372"/>
    <mergeCell ref="A373:C373"/>
    <mergeCell ref="A374:C374"/>
    <mergeCell ref="A375:C375"/>
    <mergeCell ref="A376:C376"/>
    <mergeCell ref="A377:C377"/>
    <mergeCell ref="A360:C360"/>
    <mergeCell ref="A361:C361"/>
    <mergeCell ref="A362:C362"/>
    <mergeCell ref="A363:C363"/>
    <mergeCell ref="A364:C364"/>
    <mergeCell ref="A365:C365"/>
    <mergeCell ref="A366:C366"/>
    <mergeCell ref="A367:C367"/>
    <mergeCell ref="A368:C368"/>
    <mergeCell ref="A351:C351"/>
    <mergeCell ref="A352:C352"/>
    <mergeCell ref="A353:C353"/>
    <mergeCell ref="A354:C354"/>
    <mergeCell ref="A355:C355"/>
    <mergeCell ref="A356:C356"/>
    <mergeCell ref="A357:C357"/>
    <mergeCell ref="A358:C358"/>
    <mergeCell ref="A359:C359"/>
    <mergeCell ref="A342:C342"/>
    <mergeCell ref="A343:C343"/>
    <mergeCell ref="A344:C344"/>
    <mergeCell ref="A345:C345"/>
    <mergeCell ref="A346:C346"/>
    <mergeCell ref="A347:C347"/>
    <mergeCell ref="A348:C348"/>
    <mergeCell ref="A349:C349"/>
    <mergeCell ref="A350:C350"/>
    <mergeCell ref="A332:C332"/>
    <mergeCell ref="A333:C333"/>
    <mergeCell ref="A334:C334"/>
    <mergeCell ref="A335:C335"/>
    <mergeCell ref="A336:C336"/>
    <mergeCell ref="A337:C337"/>
    <mergeCell ref="A338:C338"/>
    <mergeCell ref="A339:C339"/>
    <mergeCell ref="A341:C341"/>
    <mergeCell ref="A321:C321"/>
    <mergeCell ref="A322:C322"/>
    <mergeCell ref="A323:C323"/>
    <mergeCell ref="A324:C324"/>
    <mergeCell ref="A327:C327"/>
    <mergeCell ref="A328:C328"/>
    <mergeCell ref="A329:C329"/>
    <mergeCell ref="A330:C330"/>
    <mergeCell ref="A331:C331"/>
    <mergeCell ref="A302:C302"/>
    <mergeCell ref="A303:C303"/>
    <mergeCell ref="A304:C304"/>
    <mergeCell ref="A305:C305"/>
    <mergeCell ref="A306:C306"/>
    <mergeCell ref="A307:C307"/>
    <mergeCell ref="A309:C309"/>
    <mergeCell ref="A310:C310"/>
    <mergeCell ref="A311:C311"/>
    <mergeCell ref="A292:C292"/>
    <mergeCell ref="A293:C293"/>
    <mergeCell ref="A294:C294"/>
    <mergeCell ref="A295:C295"/>
    <mergeCell ref="A296:C296"/>
    <mergeCell ref="A297:C297"/>
    <mergeCell ref="A298:C298"/>
    <mergeCell ref="A300:C300"/>
    <mergeCell ref="A301:C301"/>
    <mergeCell ref="A283:C283"/>
    <mergeCell ref="A284:C284"/>
    <mergeCell ref="A285:C285"/>
    <mergeCell ref="A286:C286"/>
    <mergeCell ref="A287:C287"/>
    <mergeCell ref="A288:C288"/>
    <mergeCell ref="A289:C289"/>
    <mergeCell ref="A290:C290"/>
    <mergeCell ref="A291:C291"/>
    <mergeCell ref="A273:C273"/>
    <mergeCell ref="A274:C274"/>
    <mergeCell ref="A275:C275"/>
    <mergeCell ref="A276:C276"/>
    <mergeCell ref="A277:C277"/>
    <mergeCell ref="A279:C279"/>
    <mergeCell ref="A280:C280"/>
    <mergeCell ref="A281:C281"/>
    <mergeCell ref="A282:C282"/>
    <mergeCell ref="A264:C264"/>
    <mergeCell ref="A265:C265"/>
    <mergeCell ref="A266:C266"/>
    <mergeCell ref="A267:C267"/>
    <mergeCell ref="A268:C268"/>
    <mergeCell ref="A269:C269"/>
    <mergeCell ref="A270:C270"/>
    <mergeCell ref="A271:C271"/>
    <mergeCell ref="A272:C272"/>
    <mergeCell ref="A254:C254"/>
    <mergeCell ref="A255:C255"/>
    <mergeCell ref="A256:C256"/>
    <mergeCell ref="A257:C257"/>
    <mergeCell ref="A258:C258"/>
    <mergeCell ref="A259:C259"/>
    <mergeCell ref="A261:C261"/>
    <mergeCell ref="A262:C262"/>
    <mergeCell ref="A263:C263"/>
    <mergeCell ref="A243:C243"/>
    <mergeCell ref="A246:C246"/>
    <mergeCell ref="A247:C247"/>
    <mergeCell ref="A248:C248"/>
    <mergeCell ref="A249:C249"/>
    <mergeCell ref="A250:C250"/>
    <mergeCell ref="A251:C251"/>
    <mergeCell ref="A252:C252"/>
    <mergeCell ref="A253:C253"/>
    <mergeCell ref="A234:C234"/>
    <mergeCell ref="A235:C235"/>
    <mergeCell ref="A236:C236"/>
    <mergeCell ref="A237:C237"/>
    <mergeCell ref="A238:C238"/>
    <mergeCell ref="A239:C239"/>
    <mergeCell ref="A240:C240"/>
    <mergeCell ref="A241:C241"/>
    <mergeCell ref="A242:C242"/>
    <mergeCell ref="A225:C225"/>
    <mergeCell ref="A226:C226"/>
    <mergeCell ref="A227:C227"/>
    <mergeCell ref="A228:C228"/>
    <mergeCell ref="A229:C229"/>
    <mergeCell ref="A230:C230"/>
    <mergeCell ref="A231:C231"/>
    <mergeCell ref="A232:C232"/>
    <mergeCell ref="A233:C233"/>
    <mergeCell ref="A216:C216"/>
    <mergeCell ref="A217:C217"/>
    <mergeCell ref="A218:C218"/>
    <mergeCell ref="A219:C219"/>
    <mergeCell ref="A220:C220"/>
    <mergeCell ref="A221:C221"/>
    <mergeCell ref="A222:C222"/>
    <mergeCell ref="A223:C223"/>
    <mergeCell ref="A224:C224"/>
    <mergeCell ref="A207:C207"/>
    <mergeCell ref="A208:C208"/>
    <mergeCell ref="A209:C209"/>
    <mergeCell ref="A210:C210"/>
    <mergeCell ref="A211:C211"/>
    <mergeCell ref="A212:C212"/>
    <mergeCell ref="A213:C213"/>
    <mergeCell ref="A214:C214"/>
    <mergeCell ref="A215:C215"/>
    <mergeCell ref="A196:C196"/>
    <mergeCell ref="A197:C197"/>
    <mergeCell ref="A198:C198"/>
    <mergeCell ref="A199:C199"/>
    <mergeCell ref="A200:C200"/>
    <mergeCell ref="A203:C203"/>
    <mergeCell ref="A204:C204"/>
    <mergeCell ref="A205:C205"/>
    <mergeCell ref="A206:C206"/>
    <mergeCell ref="A187:C187"/>
    <mergeCell ref="A188:C188"/>
    <mergeCell ref="A189:C189"/>
    <mergeCell ref="A190:C190"/>
    <mergeCell ref="A191:C191"/>
    <mergeCell ref="A192:C192"/>
    <mergeCell ref="A193:C193"/>
    <mergeCell ref="A194:C194"/>
    <mergeCell ref="A195:C195"/>
    <mergeCell ref="A178:C178"/>
    <mergeCell ref="A179:C179"/>
    <mergeCell ref="A180:C180"/>
    <mergeCell ref="A181:C181"/>
    <mergeCell ref="A182:C182"/>
    <mergeCell ref="A183:C183"/>
    <mergeCell ref="A184:C184"/>
    <mergeCell ref="A185:C185"/>
    <mergeCell ref="A186:C186"/>
    <mergeCell ref="A169:C169"/>
    <mergeCell ref="A170:C170"/>
    <mergeCell ref="A171:C171"/>
    <mergeCell ref="A172:C172"/>
    <mergeCell ref="A173:C173"/>
    <mergeCell ref="A174:C174"/>
    <mergeCell ref="A175:C175"/>
    <mergeCell ref="A176:C176"/>
    <mergeCell ref="A177:C177"/>
    <mergeCell ref="A160:C160"/>
    <mergeCell ref="A161:C161"/>
    <mergeCell ref="A162:C162"/>
    <mergeCell ref="A163:C163"/>
    <mergeCell ref="A164:C164"/>
    <mergeCell ref="A165:C165"/>
    <mergeCell ref="A166:C166"/>
    <mergeCell ref="A167:C167"/>
    <mergeCell ref="A168:C168"/>
    <mergeCell ref="A151:C151"/>
    <mergeCell ref="A152:C152"/>
    <mergeCell ref="A153:C153"/>
    <mergeCell ref="A154:C154"/>
    <mergeCell ref="A155:C155"/>
    <mergeCell ref="A156:C156"/>
    <mergeCell ref="A157:C157"/>
    <mergeCell ref="A158:C158"/>
    <mergeCell ref="A159:C159"/>
    <mergeCell ref="A142:C142"/>
    <mergeCell ref="A143:C143"/>
    <mergeCell ref="A144:C144"/>
    <mergeCell ref="A145:C145"/>
    <mergeCell ref="A146:C146"/>
    <mergeCell ref="A147:C147"/>
    <mergeCell ref="A148:C148"/>
    <mergeCell ref="A149:C149"/>
    <mergeCell ref="A150:C150"/>
    <mergeCell ref="A128:C128"/>
    <mergeCell ref="A129:C129"/>
    <mergeCell ref="A133:C133"/>
    <mergeCell ref="A136:C136"/>
    <mergeCell ref="A137:C137"/>
    <mergeCell ref="A138:C138"/>
    <mergeCell ref="A139:C139"/>
    <mergeCell ref="A140:C140"/>
    <mergeCell ref="A141:C141"/>
    <mergeCell ref="A119:C119"/>
    <mergeCell ref="A120:C120"/>
    <mergeCell ref="A121:C121"/>
    <mergeCell ref="A122:C122"/>
    <mergeCell ref="A123:C123"/>
    <mergeCell ref="A124:C124"/>
    <mergeCell ref="A125:C125"/>
    <mergeCell ref="A126:C126"/>
    <mergeCell ref="A127:C127"/>
    <mergeCell ref="A110:C110"/>
    <mergeCell ref="A111:C111"/>
    <mergeCell ref="A112:C112"/>
    <mergeCell ref="A113:C113"/>
    <mergeCell ref="A114:C114"/>
    <mergeCell ref="A115:C115"/>
    <mergeCell ref="A116:C116"/>
    <mergeCell ref="A117:C117"/>
    <mergeCell ref="A118:C118"/>
    <mergeCell ref="A101:C101"/>
    <mergeCell ref="A102:C102"/>
    <mergeCell ref="A103:C103"/>
    <mergeCell ref="A104:C104"/>
    <mergeCell ref="A105:C105"/>
    <mergeCell ref="A106:C106"/>
    <mergeCell ref="A107:C107"/>
    <mergeCell ref="A108:C108"/>
    <mergeCell ref="A109:C109"/>
    <mergeCell ref="A92:C92"/>
    <mergeCell ref="A93:C93"/>
    <mergeCell ref="A94:C94"/>
    <mergeCell ref="A95:C95"/>
    <mergeCell ref="A96:C96"/>
    <mergeCell ref="A97:C97"/>
    <mergeCell ref="A98:C98"/>
    <mergeCell ref="A99:C99"/>
    <mergeCell ref="A100:C100"/>
    <mergeCell ref="A83:C83"/>
    <mergeCell ref="A84:C84"/>
    <mergeCell ref="A85:C85"/>
    <mergeCell ref="A86:C86"/>
    <mergeCell ref="A87:C87"/>
    <mergeCell ref="A88:C88"/>
    <mergeCell ref="A89:C89"/>
    <mergeCell ref="A90:C90"/>
    <mergeCell ref="A91:C91"/>
    <mergeCell ref="A74:C74"/>
    <mergeCell ref="A75:C75"/>
    <mergeCell ref="A76:C76"/>
    <mergeCell ref="A77:C77"/>
    <mergeCell ref="A78:C78"/>
    <mergeCell ref="A79:C79"/>
    <mergeCell ref="A80:C80"/>
    <mergeCell ref="A81:C81"/>
    <mergeCell ref="A82:C82"/>
    <mergeCell ref="A65:C65"/>
    <mergeCell ref="A66:C66"/>
    <mergeCell ref="A67:C67"/>
    <mergeCell ref="A68:C68"/>
    <mergeCell ref="A69:C69"/>
    <mergeCell ref="A70:C70"/>
    <mergeCell ref="A71:C71"/>
    <mergeCell ref="A72:C72"/>
    <mergeCell ref="A73:C73"/>
    <mergeCell ref="A56:C56"/>
    <mergeCell ref="A57:C57"/>
    <mergeCell ref="A58:C58"/>
    <mergeCell ref="A59:C59"/>
    <mergeCell ref="A60:C60"/>
    <mergeCell ref="A61:C61"/>
    <mergeCell ref="A62:C62"/>
    <mergeCell ref="A63:C63"/>
    <mergeCell ref="A64:C64"/>
    <mergeCell ref="A47:C47"/>
    <mergeCell ref="A48:C48"/>
    <mergeCell ref="A49:C49"/>
    <mergeCell ref="A50:C50"/>
    <mergeCell ref="A51:C51"/>
    <mergeCell ref="A52:C52"/>
    <mergeCell ref="A53:C53"/>
    <mergeCell ref="A54:C54"/>
    <mergeCell ref="A55:C55"/>
    <mergeCell ref="A37:C37"/>
    <mergeCell ref="A38:C38"/>
    <mergeCell ref="A40:C40"/>
    <mergeCell ref="A41:C41"/>
    <mergeCell ref="A42:C42"/>
    <mergeCell ref="A43:C43"/>
    <mergeCell ref="A44:C44"/>
    <mergeCell ref="A45:C45"/>
    <mergeCell ref="A46:C46"/>
    <mergeCell ref="A28:C28"/>
    <mergeCell ref="A29:C29"/>
    <mergeCell ref="A30:C30"/>
    <mergeCell ref="A31:C31"/>
    <mergeCell ref="A32:C32"/>
    <mergeCell ref="A33:C33"/>
    <mergeCell ref="A34:C34"/>
    <mergeCell ref="A35:C35"/>
    <mergeCell ref="A36:C36"/>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C1"/>
    <mergeCell ref="A2:C2"/>
    <mergeCell ref="A3:C3"/>
    <mergeCell ref="A4:C4"/>
    <mergeCell ref="A5:C5"/>
    <mergeCell ref="A6:C6"/>
    <mergeCell ref="A7:C7"/>
    <mergeCell ref="A8:C8"/>
    <mergeCell ref="A9:C9"/>
  </mergeCells>
  <pageMargins left="0.69930555555555596" right="0.69930555555555596" top="0.75" bottom="0.75" header="0.3" footer="0.3"/>
  <ignoredErrors>
    <ignoredError sqref="H216 J216 H35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0"/>
  <sheetViews>
    <sheetView topLeftCell="A148" zoomScale="105" zoomScaleNormal="105" workbookViewId="0">
      <selection activeCell="D248" sqref="D248"/>
    </sheetView>
  </sheetViews>
  <sheetFormatPr defaultColWidth="9" defaultRowHeight="14.6"/>
  <cols>
    <col min="3" max="3" width="25.3828125" customWidth="1"/>
    <col min="9" max="9" width="8.84375"/>
  </cols>
  <sheetData>
    <row r="1" spans="1:12">
      <c r="A1" s="140" t="s">
        <v>309</v>
      </c>
      <c r="B1" s="140"/>
      <c r="C1" s="140"/>
      <c r="D1" s="2">
        <v>2017</v>
      </c>
      <c r="E1" s="2">
        <v>2018</v>
      </c>
      <c r="F1" s="2">
        <v>2019</v>
      </c>
      <c r="G1" s="2">
        <v>2020</v>
      </c>
      <c r="H1" s="2">
        <v>2021</v>
      </c>
      <c r="I1" s="2">
        <v>2022</v>
      </c>
      <c r="J1" s="2">
        <v>2023</v>
      </c>
      <c r="K1" s="2">
        <v>2024</v>
      </c>
      <c r="L1" s="2">
        <v>2025</v>
      </c>
    </row>
    <row r="2" spans="1:12">
      <c r="A2" s="141" t="s">
        <v>26</v>
      </c>
      <c r="B2" s="141"/>
      <c r="C2" s="141"/>
    </row>
    <row r="3" spans="1:12" ht="19.3">
      <c r="A3" s="142" t="s">
        <v>27</v>
      </c>
      <c r="B3" s="142"/>
      <c r="C3" s="142"/>
    </row>
    <row r="4" spans="1:12">
      <c r="A4" s="141" t="s">
        <v>28</v>
      </c>
      <c r="B4" s="141"/>
      <c r="C4" s="141"/>
      <c r="D4" s="20">
        <v>2643</v>
      </c>
      <c r="E4" s="20">
        <v>1556</v>
      </c>
      <c r="F4" s="20">
        <v>2577</v>
      </c>
      <c r="K4" s="10"/>
    </row>
    <row r="5" spans="1:12">
      <c r="A5" s="141" t="s">
        <v>29</v>
      </c>
      <c r="B5" s="141"/>
      <c r="C5" s="141"/>
      <c r="D5" s="21">
        <v>8657</v>
      </c>
      <c r="E5" s="22">
        <v>9497</v>
      </c>
      <c r="F5" s="20">
        <v>8992</v>
      </c>
      <c r="K5" s="6"/>
    </row>
    <row r="6" spans="1:12">
      <c r="A6" s="141" t="s">
        <v>30</v>
      </c>
      <c r="B6" s="141"/>
      <c r="C6" s="141"/>
      <c r="D6" s="21">
        <v>1264</v>
      </c>
      <c r="E6" s="22">
        <v>1466</v>
      </c>
      <c r="F6" s="20">
        <v>1333</v>
      </c>
      <c r="K6" s="6"/>
    </row>
    <row r="7" spans="1:12">
      <c r="A7" s="143" t="s">
        <v>31</v>
      </c>
      <c r="B7" s="143"/>
      <c r="C7" s="143"/>
      <c r="D7" s="23">
        <f>SUM(D4:D6)</f>
        <v>12564</v>
      </c>
      <c r="E7" s="23">
        <f>SUM(E4:E6)</f>
        <v>12519</v>
      </c>
      <c r="F7" s="23">
        <f>SUM(F4:F6)</f>
        <v>12902</v>
      </c>
      <c r="K7" s="6"/>
    </row>
    <row r="8" spans="1:12">
      <c r="A8" s="144"/>
      <c r="B8" s="144"/>
      <c r="C8" s="144"/>
      <c r="D8" s="4"/>
      <c r="F8" s="4"/>
      <c r="I8" s="13" t="s">
        <v>32</v>
      </c>
    </row>
    <row r="9" spans="1:12" ht="19.3">
      <c r="A9" s="142" t="s">
        <v>33</v>
      </c>
      <c r="B9" s="142"/>
      <c r="C9" s="142"/>
      <c r="F9" s="4"/>
      <c r="K9" s="6"/>
    </row>
    <row r="10" spans="1:12">
      <c r="A10" s="141" t="s">
        <v>34</v>
      </c>
      <c r="B10" s="141"/>
      <c r="C10" s="141"/>
      <c r="D10" s="21">
        <v>6095</v>
      </c>
      <c r="E10" s="22">
        <v>6064</v>
      </c>
      <c r="F10" s="20">
        <v>6036</v>
      </c>
      <c r="K10" s="6"/>
    </row>
    <row r="11" spans="1:12">
      <c r="A11" s="141" t="s">
        <v>35</v>
      </c>
      <c r="B11" s="141"/>
      <c r="C11" s="141"/>
      <c r="D11" s="21">
        <v>28396</v>
      </c>
      <c r="E11" s="22">
        <v>29240</v>
      </c>
      <c r="F11" s="20">
        <v>30603</v>
      </c>
      <c r="K11" s="6"/>
    </row>
    <row r="12" spans="1:12">
      <c r="A12" s="141" t="s">
        <v>36</v>
      </c>
      <c r="B12" s="141"/>
      <c r="C12" s="141"/>
      <c r="D12" s="21">
        <v>5623</v>
      </c>
      <c r="E12" s="22">
        <v>5912</v>
      </c>
      <c r="F12" s="20">
        <v>6083</v>
      </c>
      <c r="K12" s="6"/>
    </row>
    <row r="13" spans="1:12">
      <c r="A13" s="141" t="s">
        <v>37</v>
      </c>
      <c r="B13" s="141"/>
      <c r="C13" s="141"/>
      <c r="D13" s="21">
        <v>2645</v>
      </c>
      <c r="E13" s="22">
        <v>2544</v>
      </c>
      <c r="F13" s="20">
        <v>2692</v>
      </c>
      <c r="K13" s="6"/>
    </row>
    <row r="14" spans="1:12">
      <c r="A14" s="141" t="s">
        <v>38</v>
      </c>
      <c r="B14" s="141"/>
      <c r="C14" s="141"/>
      <c r="D14" s="21">
        <v>440</v>
      </c>
      <c r="E14" s="22">
        <v>460</v>
      </c>
      <c r="F14" s="20">
        <v>533</v>
      </c>
      <c r="K14" s="7"/>
    </row>
    <row r="15" spans="1:12">
      <c r="A15" s="141" t="s">
        <v>39</v>
      </c>
      <c r="B15" s="141"/>
      <c r="C15" s="141"/>
      <c r="D15" s="24">
        <v>-18181</v>
      </c>
      <c r="E15" s="24">
        <v>-18687</v>
      </c>
      <c r="F15" s="24">
        <v>-19664</v>
      </c>
      <c r="K15" s="6"/>
    </row>
    <row r="16" spans="1:12">
      <c r="A16" s="141" t="s">
        <v>40</v>
      </c>
      <c r="B16" s="141"/>
      <c r="C16" s="141"/>
      <c r="D16" s="25">
        <f>SUM(D10:D15)</f>
        <v>25018</v>
      </c>
      <c r="E16" s="25">
        <f>SUM(E10:E15)</f>
        <v>25533</v>
      </c>
      <c r="F16" s="25">
        <f>SUM(F10:F15)</f>
        <v>26283</v>
      </c>
      <c r="I16" s="9"/>
      <c r="K16" s="6"/>
    </row>
    <row r="17" spans="1:11">
      <c r="A17" s="149" t="s">
        <v>41</v>
      </c>
      <c r="B17" s="149"/>
      <c r="C17" s="149"/>
      <c r="D17" s="26">
        <v>0</v>
      </c>
      <c r="E17" s="27">
        <v>1965</v>
      </c>
      <c r="F17" s="27">
        <v>2236</v>
      </c>
      <c r="I17" s="9"/>
      <c r="K17" s="6"/>
    </row>
    <row r="18" spans="1:11">
      <c r="A18" s="141" t="s">
        <v>42</v>
      </c>
      <c r="B18" s="141"/>
      <c r="C18" s="141"/>
      <c r="D18" s="21">
        <v>1417</v>
      </c>
      <c r="E18" s="22">
        <v>1273</v>
      </c>
      <c r="F18" s="22">
        <v>1358</v>
      </c>
      <c r="I18" s="14" t="s">
        <v>32</v>
      </c>
      <c r="K18" s="10"/>
    </row>
    <row r="19" spans="1:11">
      <c r="A19" s="143" t="s">
        <v>43</v>
      </c>
      <c r="B19" s="143"/>
      <c r="C19" s="143"/>
      <c r="D19" s="23">
        <f>SUM(D16:D18,D7)</f>
        <v>38999</v>
      </c>
      <c r="E19" s="23">
        <f>SUM(E16:E18,E7)</f>
        <v>41290</v>
      </c>
      <c r="F19" s="23">
        <f>SUM(F16:F18,F7)</f>
        <v>42779</v>
      </c>
      <c r="H19" s="9"/>
    </row>
    <row r="20" spans="1:11">
      <c r="A20" s="144"/>
      <c r="B20" s="144"/>
      <c r="C20" s="144"/>
      <c r="F20" s="10"/>
      <c r="K20" s="10"/>
    </row>
    <row r="21" spans="1:11">
      <c r="A21" s="141" t="s">
        <v>44</v>
      </c>
      <c r="B21" s="141"/>
      <c r="C21" s="141"/>
      <c r="K21" s="6"/>
    </row>
    <row r="22" spans="1:11">
      <c r="A22" s="141" t="s">
        <v>45</v>
      </c>
      <c r="B22" s="141"/>
      <c r="C22" s="141"/>
      <c r="D22" s="20">
        <v>8677</v>
      </c>
      <c r="E22" s="20">
        <v>9761</v>
      </c>
      <c r="F22" s="20">
        <v>9920</v>
      </c>
      <c r="K22" s="6"/>
    </row>
    <row r="23" spans="1:11">
      <c r="A23" s="141" t="s">
        <v>46</v>
      </c>
      <c r="B23" s="141"/>
      <c r="C23" s="141"/>
      <c r="D23" s="21">
        <v>4254</v>
      </c>
      <c r="E23" s="22">
        <v>4201</v>
      </c>
      <c r="F23" s="22">
        <v>4406</v>
      </c>
      <c r="K23" s="6"/>
    </row>
    <row r="24" spans="1:11">
      <c r="A24" s="141" t="s">
        <v>47</v>
      </c>
      <c r="B24" s="141"/>
      <c r="C24" s="141"/>
      <c r="D24" s="21">
        <v>270</v>
      </c>
      <c r="E24" s="22">
        <v>1052</v>
      </c>
      <c r="F24" s="22">
        <v>161</v>
      </c>
      <c r="K24" s="6"/>
    </row>
    <row r="25" spans="1:11">
      <c r="A25" s="143" t="s">
        <v>48</v>
      </c>
      <c r="B25" s="143"/>
      <c r="C25" s="143"/>
      <c r="D25" s="23">
        <f>SUM(D22:D24)</f>
        <v>13201</v>
      </c>
      <c r="E25" s="23">
        <f>SUM(E22:E24)</f>
        <v>15014</v>
      </c>
      <c r="F25" s="23">
        <f>SUM(F22:F24)</f>
        <v>14487</v>
      </c>
      <c r="H25" s="4"/>
      <c r="K25" s="6"/>
    </row>
    <row r="26" spans="1:11">
      <c r="A26" s="144"/>
      <c r="B26" s="144"/>
      <c r="C26" s="144"/>
      <c r="D26" s="28"/>
      <c r="E26" s="28"/>
      <c r="F26" s="22"/>
      <c r="K26" s="6"/>
    </row>
    <row r="27" spans="1:11">
      <c r="A27" s="141" t="s">
        <v>49</v>
      </c>
      <c r="B27" s="141"/>
      <c r="C27" s="141"/>
      <c r="D27" s="21">
        <v>11317</v>
      </c>
      <c r="E27" s="22">
        <v>10223</v>
      </c>
      <c r="F27" s="22">
        <v>11338</v>
      </c>
      <c r="K27" s="6"/>
    </row>
    <row r="28" spans="1:11">
      <c r="A28" s="141" t="s">
        <v>51</v>
      </c>
      <c r="B28" s="141"/>
      <c r="C28" s="141"/>
      <c r="D28" s="21">
        <v>713</v>
      </c>
      <c r="E28" s="22">
        <v>972</v>
      </c>
      <c r="F28" s="22">
        <v>1122</v>
      </c>
    </row>
    <row r="29" spans="1:11">
      <c r="A29" s="141" t="s">
        <v>52</v>
      </c>
      <c r="B29" s="141"/>
      <c r="C29" s="141"/>
      <c r="D29" s="21">
        <v>2059</v>
      </c>
      <c r="E29" s="22">
        <v>1780</v>
      </c>
      <c r="F29" s="22">
        <v>1724</v>
      </c>
      <c r="K29" s="6"/>
    </row>
    <row r="30" spans="1:11">
      <c r="A30" s="143" t="s">
        <v>53</v>
      </c>
      <c r="B30" s="143"/>
      <c r="C30" s="143"/>
      <c r="D30" s="21">
        <f>SUM(D27:D29)</f>
        <v>14089</v>
      </c>
      <c r="E30" s="22">
        <v>14979</v>
      </c>
      <c r="F30" s="22">
        <v>16459</v>
      </c>
      <c r="K30" s="6"/>
    </row>
    <row r="31" spans="1:11">
      <c r="A31" s="144"/>
      <c r="B31" s="144"/>
      <c r="C31" s="144"/>
      <c r="D31" s="28"/>
      <c r="E31" s="28"/>
      <c r="F31" s="22"/>
      <c r="K31" s="6"/>
    </row>
    <row r="32" spans="1:11">
      <c r="A32" s="141" t="s">
        <v>54</v>
      </c>
      <c r="B32" s="141"/>
      <c r="C32" s="141"/>
      <c r="D32" s="28"/>
      <c r="E32" s="28"/>
      <c r="F32" s="28"/>
      <c r="K32" s="7"/>
    </row>
    <row r="33" spans="1:12">
      <c r="A33" s="141" t="s">
        <v>55</v>
      </c>
      <c r="B33" s="141"/>
      <c r="C33" s="141"/>
      <c r="D33" s="21">
        <v>45</v>
      </c>
      <c r="E33" s="22">
        <v>43</v>
      </c>
      <c r="F33" s="22">
        <v>42</v>
      </c>
      <c r="K33" s="6"/>
    </row>
    <row r="34" spans="1:12">
      <c r="A34" s="141" t="s">
        <v>56</v>
      </c>
      <c r="B34" s="141"/>
      <c r="C34" s="141"/>
      <c r="D34" s="21">
        <v>5858</v>
      </c>
      <c r="E34" s="22">
        <v>6042</v>
      </c>
      <c r="F34" s="22">
        <v>6226</v>
      </c>
      <c r="K34" s="10"/>
    </row>
    <row r="35" spans="1:12">
      <c r="A35" s="141" t="s">
        <v>57</v>
      </c>
      <c r="B35" s="141"/>
      <c r="C35" s="141"/>
      <c r="D35" s="21">
        <v>6553</v>
      </c>
      <c r="E35" s="22">
        <v>6017</v>
      </c>
      <c r="F35" s="22">
        <v>6433</v>
      </c>
    </row>
    <row r="36" spans="1:12">
      <c r="A36" s="141" t="s">
        <v>58</v>
      </c>
      <c r="B36" s="141"/>
      <c r="C36" s="141"/>
      <c r="D36" s="24">
        <v>-747</v>
      </c>
      <c r="E36" s="24">
        <v>-805</v>
      </c>
      <c r="F36" s="24">
        <v>-868</v>
      </c>
    </row>
    <row r="37" spans="1:12">
      <c r="A37" s="143" t="s">
        <v>59</v>
      </c>
      <c r="B37" s="143"/>
      <c r="C37" s="143"/>
      <c r="D37" s="25">
        <f>SUM(D33:D36)</f>
        <v>11709</v>
      </c>
      <c r="E37" s="25">
        <f>SUM(E33:E36)</f>
        <v>11297</v>
      </c>
      <c r="F37" s="25">
        <f>SUM(F33:F36)</f>
        <v>11833</v>
      </c>
    </row>
    <row r="38" spans="1:12">
      <c r="A38" s="143" t="s">
        <v>60</v>
      </c>
      <c r="B38" s="143"/>
      <c r="C38" s="143"/>
      <c r="D38" s="23">
        <f>SUM(D37,D30,D25)</f>
        <v>38999</v>
      </c>
      <c r="E38" s="23">
        <f>SUM(E37,E30,E25)</f>
        <v>41290</v>
      </c>
      <c r="F38" s="23">
        <f>SUM(F37,F30,F25)</f>
        <v>42779</v>
      </c>
    </row>
    <row r="39" spans="1:12" ht="13.85" customHeight="1"/>
    <row r="40" spans="1:12">
      <c r="A40" s="140" t="s">
        <v>310</v>
      </c>
      <c r="B40" s="140"/>
      <c r="C40" s="140"/>
      <c r="D40" s="2">
        <v>2017</v>
      </c>
      <c r="E40" s="2">
        <v>2018</v>
      </c>
      <c r="F40" s="2">
        <v>2019</v>
      </c>
      <c r="G40" s="2">
        <v>2020</v>
      </c>
      <c r="H40" s="2">
        <v>2021</v>
      </c>
      <c r="I40" s="2">
        <v>2022</v>
      </c>
      <c r="J40" s="2">
        <v>2023</v>
      </c>
      <c r="K40" s="2">
        <v>2024</v>
      </c>
      <c r="L40" s="2">
        <v>2025</v>
      </c>
    </row>
    <row r="41" spans="1:12">
      <c r="A41" s="141" t="s">
        <v>61</v>
      </c>
      <c r="B41" s="141"/>
      <c r="C41" s="141"/>
    </row>
    <row r="42" spans="1:12">
      <c r="A42" s="145" t="s">
        <v>62</v>
      </c>
      <c r="B42" s="145"/>
      <c r="C42" s="145"/>
      <c r="D42" s="28">
        <v>71786</v>
      </c>
      <c r="E42" s="28">
        <v>74433</v>
      </c>
      <c r="F42" s="28">
        <v>77130</v>
      </c>
      <c r="G42" s="4">
        <f>Sheet3!G158</f>
        <v>94574.014817281655</v>
      </c>
      <c r="H42" s="4">
        <f>Sheet3!G158</f>
        <v>94574.014817281655</v>
      </c>
      <c r="I42" s="4">
        <f>F42*(1+F113)^3</f>
        <v>85821.629270177102</v>
      </c>
      <c r="J42" s="4">
        <f>I42*(1+F113)</f>
        <v>88931.28404885951</v>
      </c>
      <c r="K42" s="4">
        <f>J42*(1+F113)</f>
        <v>92153.613836450691</v>
      </c>
    </row>
    <row r="43" spans="1:12">
      <c r="A43" s="145" t="s">
        <v>63</v>
      </c>
      <c r="B43" s="145"/>
      <c r="C43" s="145"/>
      <c r="D43" s="28">
        <v>928</v>
      </c>
      <c r="E43" s="28">
        <v>923</v>
      </c>
      <c r="F43" s="28">
        <v>982</v>
      </c>
      <c r="G43" s="4">
        <f>Sheet3!G159</f>
        <v>1098.2735551301289</v>
      </c>
      <c r="H43" s="4">
        <f>Sheet3!G159</f>
        <v>1098.2735551301289</v>
      </c>
      <c r="I43" s="4">
        <f>AVERAGE(D43:F43)</f>
        <v>944.33333333333337</v>
      </c>
      <c r="J43" s="4">
        <f>I43</f>
        <v>944.33333333333337</v>
      </c>
      <c r="K43" s="4">
        <f>J43</f>
        <v>944.33333333333337</v>
      </c>
    </row>
    <row r="44" spans="1:12">
      <c r="A44" s="145" t="s">
        <v>64</v>
      </c>
      <c r="B44" s="145"/>
      <c r="C44" s="145"/>
      <c r="D44" s="28">
        <v>72714</v>
      </c>
      <c r="E44" s="28">
        <v>75356</v>
      </c>
      <c r="F44" s="28">
        <f>SUM(F42:F43)</f>
        <v>78112</v>
      </c>
      <c r="G44" s="4">
        <f>Sheet3!G160</f>
        <v>95809.817149227601</v>
      </c>
      <c r="H44" s="4">
        <f>Sheet3!G160</f>
        <v>95809.817149227601</v>
      </c>
      <c r="I44" s="4">
        <f>F44*(1+F117)^3</f>
        <v>86999.652633899561</v>
      </c>
      <c r="J44" s="4">
        <f>I44*(1+F117)</f>
        <v>90181.496716109701</v>
      </c>
      <c r="K44" s="4">
        <f>H44*(1+F117)</f>
        <v>99313.875964229344</v>
      </c>
    </row>
    <row r="45" spans="1:12">
      <c r="A45" s="145" t="s">
        <v>65</v>
      </c>
      <c r="B45" s="145"/>
      <c r="C45" s="145"/>
      <c r="D45" s="28">
        <v>51125</v>
      </c>
      <c r="E45" s="28">
        <v>53299</v>
      </c>
      <c r="F45" s="28">
        <v>54864</v>
      </c>
      <c r="G45" s="4">
        <f>Sheet3!G161</f>
        <v>68434.623348894456</v>
      </c>
      <c r="H45" s="4">
        <f>Sheet3!G161</f>
        <v>68434.623348894456</v>
      </c>
      <c r="I45" s="4">
        <f>AVERAGE(D45:F45)</f>
        <v>53096</v>
      </c>
      <c r="J45" s="4">
        <f t="shared" ref="J45:K46" si="0">AVERAGE(E45:G45)</f>
        <v>58865.87444963149</v>
      </c>
      <c r="K45" s="4">
        <f t="shared" si="0"/>
        <v>63911.082232596302</v>
      </c>
    </row>
    <row r="46" spans="1:12">
      <c r="A46" s="145" t="s">
        <v>66</v>
      </c>
      <c r="B46" s="145"/>
      <c r="C46" s="145"/>
      <c r="D46" s="28">
        <v>15140</v>
      </c>
      <c r="E46" s="28">
        <v>15723</v>
      </c>
      <c r="F46" s="28">
        <v>16233</v>
      </c>
      <c r="G46" s="4">
        <f>Sheet3!G162</f>
        <v>18367.989006725395</v>
      </c>
      <c r="H46" s="4">
        <f>Sheet3!G162</f>
        <v>18367.989006725395</v>
      </c>
      <c r="I46" s="4">
        <f>AVERAGE(D46:F46)</f>
        <v>15698.666666666666</v>
      </c>
      <c r="J46" s="4">
        <f t="shared" si="0"/>
        <v>16774.663002241799</v>
      </c>
      <c r="K46" s="4">
        <f t="shared" si="0"/>
        <v>17656.326004483595</v>
      </c>
    </row>
    <row r="47" spans="1:12">
      <c r="A47" s="145" t="s">
        <v>67</v>
      </c>
      <c r="B47" s="145"/>
      <c r="C47" s="145"/>
      <c r="D47" s="28">
        <v>2225</v>
      </c>
      <c r="E47" s="28">
        <v>2224</v>
      </c>
      <c r="F47" s="28">
        <v>2357</v>
      </c>
      <c r="G47" s="4">
        <f>Sheet3!G163</f>
        <v>2368.7776866283839</v>
      </c>
      <c r="H47" s="4">
        <f>Sheet3!G163</f>
        <v>2368.7776866283839</v>
      </c>
      <c r="I47" s="4">
        <f>AVERAGE(D47:F47)</f>
        <v>2268.6666666666665</v>
      </c>
      <c r="J47" s="4">
        <f>I47</f>
        <v>2268.6666666666665</v>
      </c>
      <c r="K47" s="4">
        <f>I47</f>
        <v>2268.6666666666665</v>
      </c>
    </row>
    <row r="48" spans="1:12">
      <c r="A48" s="145" t="s">
        <v>68</v>
      </c>
      <c r="B48" s="145"/>
      <c r="C48" s="145"/>
      <c r="D48" s="29">
        <f>D44-SUM(D45:D47)</f>
        <v>4224</v>
      </c>
      <c r="E48" s="29">
        <f>E44-SUM(E45:E47)</f>
        <v>4110</v>
      </c>
      <c r="F48" s="29">
        <f>F44-SUM(F45:F47)</f>
        <v>4658</v>
      </c>
      <c r="G48" s="4">
        <f>Sheet3!G164</f>
        <v>6243.8922079994618</v>
      </c>
      <c r="H48" s="4">
        <f>Sheet3!G164</f>
        <v>6243.8922079994618</v>
      </c>
      <c r="I48" s="4">
        <f>AVERAGE(D48:F48)</f>
        <v>4330.666666666667</v>
      </c>
      <c r="J48" s="4">
        <f>I48</f>
        <v>4330.666666666667</v>
      </c>
      <c r="K48" s="4">
        <f>I48</f>
        <v>4330.666666666667</v>
      </c>
    </row>
    <row r="49" spans="1:11">
      <c r="A49" s="145" t="s">
        <v>69</v>
      </c>
      <c r="B49" s="145"/>
      <c r="C49" s="145"/>
      <c r="D49" s="28">
        <v>653</v>
      </c>
      <c r="E49" s="28">
        <v>461</v>
      </c>
      <c r="F49" s="24">
        <v>477</v>
      </c>
      <c r="G49" s="4">
        <f>Sheet3!G165</f>
        <v>989.0454020777222</v>
      </c>
      <c r="H49" s="4">
        <f>Sheet3!G165</f>
        <v>989.0454020777222</v>
      </c>
      <c r="I49" s="4">
        <f>AVERAGE(D49:F49)</f>
        <v>530.33333333333337</v>
      </c>
      <c r="J49" s="4">
        <f>I49</f>
        <v>530.33333333333337</v>
      </c>
      <c r="K49" s="4">
        <f>I49</f>
        <v>530.33333333333337</v>
      </c>
    </row>
    <row r="50" spans="1:11">
      <c r="A50" s="145" t="s">
        <v>70</v>
      </c>
      <c r="B50" s="145"/>
      <c r="C50" s="145"/>
      <c r="D50" s="24">
        <v>-59</v>
      </c>
      <c r="E50" s="24">
        <v>-27</v>
      </c>
      <c r="F50" s="24">
        <v>-9</v>
      </c>
      <c r="G50" s="12">
        <f>Sheet3!G166</f>
        <v>-7.7638888888888893</v>
      </c>
      <c r="H50" s="12">
        <f>Sheet3!G166</f>
        <v>-7.7638888888888893</v>
      </c>
    </row>
    <row r="51" spans="1:11">
      <c r="A51" s="145" t="s">
        <v>71</v>
      </c>
      <c r="B51" s="145"/>
      <c r="C51" s="145"/>
      <c r="D51" s="11">
        <f>D48-D49-D50</f>
        <v>3630</v>
      </c>
      <c r="E51" s="11">
        <f>E48-E49-E50</f>
        <v>3676</v>
      </c>
      <c r="F51" s="11">
        <f>F48-F49-F50</f>
        <v>4190</v>
      </c>
      <c r="G51" s="4">
        <f>Sheet3!G167</f>
        <v>5176.3311475639503</v>
      </c>
      <c r="H51" s="4">
        <f>Sheet3!G167</f>
        <v>5176.3311475639503</v>
      </c>
    </row>
    <row r="52" spans="1:11">
      <c r="A52" s="145" t="s">
        <v>72</v>
      </c>
      <c r="B52" s="145"/>
      <c r="C52" s="145"/>
      <c r="D52" s="28">
        <v>722</v>
      </c>
      <c r="E52" s="28">
        <v>746</v>
      </c>
      <c r="F52" s="28">
        <v>921</v>
      </c>
      <c r="G52" s="4">
        <f>Sheet3!G168</f>
        <v>1030.7406043041833</v>
      </c>
      <c r="H52" s="4">
        <f>Sheet3!G168</f>
        <v>1030.7406043041833</v>
      </c>
    </row>
    <row r="53" spans="1:11">
      <c r="A53" s="145" t="s">
        <v>73</v>
      </c>
      <c r="B53" s="145"/>
      <c r="C53" s="145"/>
      <c r="D53" s="28">
        <v>2908</v>
      </c>
      <c r="E53" s="28">
        <v>2930</v>
      </c>
      <c r="F53" s="28">
        <v>3269</v>
      </c>
      <c r="G53" s="4">
        <f>Sheet3!G169</f>
        <v>4018.9796227143961</v>
      </c>
      <c r="H53" s="4">
        <f>Sheet3!G169</f>
        <v>4018.9796227143961</v>
      </c>
    </row>
    <row r="54" spans="1:11">
      <c r="A54" s="145" t="s">
        <v>74</v>
      </c>
      <c r="B54" s="145"/>
      <c r="C54" s="145"/>
      <c r="D54" s="28">
        <v>6</v>
      </c>
      <c r="E54" s="28">
        <v>7</v>
      </c>
      <c r="F54" s="28">
        <v>12</v>
      </c>
      <c r="G54" s="72">
        <f>Sheet3!G170</f>
        <v>-6.9444444444444461E-2</v>
      </c>
      <c r="H54" s="4">
        <f>Sheet3!G170</f>
        <v>-6.9444444444444461E-2</v>
      </c>
    </row>
    <row r="55" spans="1:11">
      <c r="A55" s="147" t="s">
        <v>75</v>
      </c>
      <c r="B55" s="147"/>
      <c r="C55" s="147"/>
      <c r="D55" s="29">
        <f>SUM(D53:D54)</f>
        <v>2914</v>
      </c>
      <c r="E55" s="29">
        <f>SUM(E53:E54)</f>
        <v>2937</v>
      </c>
      <c r="F55" s="29">
        <f>SUM(F53:F54)</f>
        <v>3281</v>
      </c>
      <c r="G55" s="4">
        <f>Sheet3!G171</f>
        <v>4010.7480207517092</v>
      </c>
      <c r="H55" s="4">
        <f>Sheet3!G171</f>
        <v>4010.7480207517092</v>
      </c>
    </row>
    <row r="56" spans="1:11" ht="19.3">
      <c r="A56" s="148" t="s">
        <v>76</v>
      </c>
      <c r="B56" s="148"/>
      <c r="C56" s="148"/>
      <c r="D56" s="28"/>
      <c r="E56" s="28"/>
      <c r="F56" s="28"/>
      <c r="G56" s="4"/>
      <c r="H56" s="4"/>
    </row>
    <row r="57" spans="1:11">
      <c r="A57" s="145" t="s">
        <v>77</v>
      </c>
      <c r="B57" s="145"/>
      <c r="C57" s="145"/>
      <c r="D57" s="28">
        <v>5.32</v>
      </c>
      <c r="E57" s="28">
        <v>5.54</v>
      </c>
      <c r="F57" s="28">
        <v>6.39</v>
      </c>
      <c r="G57" s="4">
        <f>Sheet3!G173</f>
        <v>8.0168004459308797</v>
      </c>
      <c r="H57" s="4">
        <f>Sheet3!G173</f>
        <v>8.0168004459308797</v>
      </c>
    </row>
    <row r="58" spans="1:11">
      <c r="A58" s="145" t="s">
        <v>78</v>
      </c>
      <c r="B58" s="145"/>
      <c r="C58" s="145"/>
      <c r="D58" s="28">
        <v>0.01</v>
      </c>
      <c r="E58" s="28">
        <v>0.01</v>
      </c>
      <c r="F58" s="28">
        <v>0.02</v>
      </c>
      <c r="G58" s="15">
        <f>Sheet3!G174</f>
        <v>0</v>
      </c>
      <c r="H58" s="15">
        <f>Sheet3!G174</f>
        <v>0</v>
      </c>
    </row>
    <row r="59" spans="1:11">
      <c r="A59" s="145" t="s">
        <v>79</v>
      </c>
      <c r="B59" s="145"/>
      <c r="C59" s="145"/>
      <c r="D59" s="28">
        <v>5.32</v>
      </c>
      <c r="E59" s="28">
        <v>5.55</v>
      </c>
      <c r="F59" s="28">
        <v>6.42</v>
      </c>
      <c r="G59" s="4">
        <f>Sheet3!G175</f>
        <v>8.0083847314317236</v>
      </c>
      <c r="H59" s="4">
        <f>Sheet3!G175</f>
        <v>8.0083847314317236</v>
      </c>
    </row>
    <row r="60" spans="1:11" ht="19.3">
      <c r="A60" s="148" t="s">
        <v>80</v>
      </c>
      <c r="B60" s="148"/>
      <c r="C60" s="148"/>
      <c r="D60" s="28"/>
      <c r="E60" s="28"/>
      <c r="F60" s="28"/>
      <c r="G60" s="4"/>
      <c r="H60" s="4"/>
    </row>
    <row r="61" spans="1:11">
      <c r="A61" s="145" t="s">
        <v>77</v>
      </c>
      <c r="B61" s="145"/>
      <c r="C61" s="145"/>
      <c r="D61" s="28">
        <v>5.29</v>
      </c>
      <c r="E61" s="28">
        <v>5.5</v>
      </c>
      <c r="F61" s="28">
        <v>6.34</v>
      </c>
      <c r="G61" s="4">
        <f>Sheet3!G177</f>
        <v>8.0583507781297339</v>
      </c>
      <c r="H61" s="4">
        <f>Sheet3!G177</f>
        <v>8.0583507781297339</v>
      </c>
    </row>
    <row r="62" spans="1:11">
      <c r="A62" s="145" t="s">
        <v>78</v>
      </c>
      <c r="B62" s="145"/>
      <c r="C62" s="145"/>
      <c r="D62" s="28">
        <v>1E-3</v>
      </c>
      <c r="E62" s="28">
        <v>1E-3</v>
      </c>
      <c r="F62" s="28">
        <v>2E-3</v>
      </c>
      <c r="G62" s="15">
        <f>Sheet3!G178</f>
        <v>0</v>
      </c>
      <c r="H62" s="15">
        <f>Sheet3!G178</f>
        <v>0</v>
      </c>
    </row>
    <row r="63" spans="1:11">
      <c r="A63" s="145" t="s">
        <v>79</v>
      </c>
      <c r="B63" s="145"/>
      <c r="C63" s="145"/>
      <c r="D63" s="28">
        <v>5.29</v>
      </c>
      <c r="E63" s="28">
        <v>5.51</v>
      </c>
      <c r="F63" s="28">
        <f>6.36</f>
        <v>6.36</v>
      </c>
      <c r="G63" s="4">
        <f>Sheet3!G179</f>
        <v>8.0334764338062268</v>
      </c>
      <c r="H63" s="4">
        <f>Sheet3!G179</f>
        <v>8.0334764338062268</v>
      </c>
    </row>
    <row r="64" spans="1:11" ht="19.3">
      <c r="A64" s="148" t="s">
        <v>81</v>
      </c>
      <c r="B64" s="148"/>
      <c r="C64" s="148"/>
      <c r="D64" s="28"/>
      <c r="E64" s="28"/>
      <c r="F64" s="28"/>
    </row>
    <row r="65" spans="1:12">
      <c r="A65" s="145" t="s">
        <v>82</v>
      </c>
      <c r="B65" s="145"/>
      <c r="C65" s="145"/>
      <c r="D65" s="28">
        <v>510.9</v>
      </c>
      <c r="E65" s="28">
        <v>528.6</v>
      </c>
      <c r="F65" s="28">
        <v>546.79999999999995</v>
      </c>
      <c r="G65" s="4">
        <f>Sheet3!G181</f>
        <v>500.81859891297643</v>
      </c>
      <c r="H65" s="4">
        <f>Sheet3!G181</f>
        <v>500.81859891297643</v>
      </c>
    </row>
    <row r="66" spans="1:12">
      <c r="A66" s="145" t="s">
        <v>83</v>
      </c>
      <c r="B66" s="145"/>
      <c r="C66" s="145"/>
      <c r="D66" s="28">
        <v>515.6</v>
      </c>
      <c r="E66" s="28">
        <v>533.20000000000005</v>
      </c>
      <c r="F66" s="28">
        <v>550.29999999999995</v>
      </c>
      <c r="G66" s="4">
        <f>Sheet3!G183</f>
        <v>505.21267413403609</v>
      </c>
      <c r="H66" s="4">
        <f>Sheet3!G183</f>
        <v>505.21267413403609</v>
      </c>
    </row>
    <row r="67" spans="1:12">
      <c r="A67" s="149" t="s">
        <v>84</v>
      </c>
      <c r="B67" s="149"/>
      <c r="C67" s="149"/>
      <c r="D67" s="30">
        <v>0</v>
      </c>
      <c r="E67" s="30">
        <v>0</v>
      </c>
      <c r="F67" s="31">
        <v>4.0999999999999996</v>
      </c>
      <c r="G67" s="41">
        <f>Sheet3!G184</f>
        <v>0.02</v>
      </c>
      <c r="H67" s="41">
        <f>Sheet3!G184</f>
        <v>0.02</v>
      </c>
    </row>
    <row r="68" spans="1:12">
      <c r="A68" s="146"/>
      <c r="B68" s="146"/>
      <c r="C68" s="146"/>
    </row>
    <row r="69" spans="1:12">
      <c r="A69" s="140" t="s">
        <v>85</v>
      </c>
      <c r="B69" s="140"/>
      <c r="C69" s="140"/>
      <c r="D69" s="2">
        <v>2017</v>
      </c>
      <c r="E69" s="2">
        <v>2018</v>
      </c>
      <c r="F69" s="2">
        <v>2019</v>
      </c>
      <c r="G69" s="2">
        <v>2020</v>
      </c>
      <c r="H69" s="2">
        <v>2021</v>
      </c>
      <c r="I69" s="2">
        <v>2022</v>
      </c>
      <c r="J69" s="2">
        <v>2023</v>
      </c>
      <c r="K69" s="2">
        <v>2024</v>
      </c>
      <c r="L69" s="2">
        <v>2025</v>
      </c>
    </row>
    <row r="70" spans="1:12">
      <c r="A70" s="147" t="s">
        <v>86</v>
      </c>
      <c r="B70" s="147"/>
      <c r="C70" s="147"/>
    </row>
    <row r="71" spans="1:12">
      <c r="A71" s="145" t="s">
        <v>87</v>
      </c>
      <c r="B71" s="145"/>
      <c r="C71" s="145"/>
      <c r="D71" s="28">
        <v>2914</v>
      </c>
      <c r="E71" s="28">
        <v>2937</v>
      </c>
      <c r="F71" s="28">
        <v>3281</v>
      </c>
    </row>
    <row r="72" spans="1:12">
      <c r="A72" s="145" t="s">
        <v>88</v>
      </c>
      <c r="B72" s="145"/>
      <c r="C72" s="145"/>
      <c r="D72" s="28">
        <v>6</v>
      </c>
      <c r="E72" s="28">
        <v>7</v>
      </c>
      <c r="F72" s="28">
        <v>12</v>
      </c>
    </row>
    <row r="73" spans="1:12">
      <c r="A73" s="145" t="s">
        <v>73</v>
      </c>
      <c r="B73" s="145"/>
      <c r="C73" s="145"/>
      <c r="D73" s="29">
        <f>D71-D72</f>
        <v>2908</v>
      </c>
      <c r="E73" s="29">
        <f t="shared" ref="E73:F73" si="1">E71-E72</f>
        <v>2930</v>
      </c>
      <c r="F73" s="29">
        <f t="shared" si="1"/>
        <v>3269</v>
      </c>
    </row>
    <row r="74" spans="1:12">
      <c r="A74" s="145" t="s">
        <v>89</v>
      </c>
      <c r="B74" s="145"/>
      <c r="C74" s="145"/>
      <c r="D74" s="28"/>
      <c r="E74" s="28"/>
      <c r="F74" s="28"/>
    </row>
    <row r="75" spans="1:12">
      <c r="A75" s="145" t="s">
        <v>90</v>
      </c>
      <c r="B75" s="145"/>
      <c r="C75" s="145"/>
      <c r="D75" s="24">
        <v>2476</v>
      </c>
      <c r="E75" s="24">
        <v>2474</v>
      </c>
      <c r="F75" s="24">
        <v>2604</v>
      </c>
    </row>
    <row r="76" spans="1:12">
      <c r="A76" s="145" t="s">
        <v>91</v>
      </c>
      <c r="B76" s="145"/>
      <c r="C76" s="145"/>
      <c r="D76" s="32">
        <v>112</v>
      </c>
      <c r="E76" s="32">
        <v>132</v>
      </c>
      <c r="F76" s="32">
        <v>147</v>
      </c>
    </row>
    <row r="77" spans="1:12">
      <c r="A77" s="145" t="s">
        <v>92</v>
      </c>
      <c r="B77" s="145"/>
      <c r="C77" s="145"/>
      <c r="D77" s="33">
        <v>-188</v>
      </c>
      <c r="E77" s="32">
        <v>322</v>
      </c>
      <c r="F77" s="32">
        <v>178</v>
      </c>
    </row>
    <row r="78" spans="1:12">
      <c r="A78" s="149" t="s">
        <v>93</v>
      </c>
      <c r="B78" s="149"/>
      <c r="C78" s="149"/>
      <c r="D78" s="34">
        <v>123</v>
      </c>
      <c r="E78" s="35">
        <v>0</v>
      </c>
      <c r="F78" s="34">
        <v>10</v>
      </c>
    </row>
    <row r="79" spans="1:12">
      <c r="A79" s="145" t="s">
        <v>94</v>
      </c>
      <c r="B79" s="145"/>
      <c r="C79" s="145"/>
      <c r="D79" s="32">
        <v>208</v>
      </c>
      <c r="E79" s="32">
        <v>95</v>
      </c>
      <c r="F79" s="32">
        <v>29</v>
      </c>
    </row>
    <row r="80" spans="1:12">
      <c r="A80" s="145" t="s">
        <v>95</v>
      </c>
      <c r="B80" s="145"/>
      <c r="C80" s="145"/>
      <c r="D80" s="32"/>
      <c r="E80" s="32"/>
      <c r="F80" s="32"/>
    </row>
    <row r="81" spans="1:6">
      <c r="A81" s="145" t="s">
        <v>96</v>
      </c>
      <c r="B81" s="145"/>
      <c r="C81" s="145"/>
      <c r="D81" s="33">
        <v>-348</v>
      </c>
      <c r="E81" s="33">
        <v>-900</v>
      </c>
      <c r="F81" s="32">
        <v>505</v>
      </c>
    </row>
    <row r="82" spans="1:6">
      <c r="A82" s="145" t="s">
        <v>97</v>
      </c>
      <c r="B82" s="145"/>
      <c r="C82" s="145"/>
      <c r="D82" s="33">
        <v>-156</v>
      </c>
      <c r="E82" s="33">
        <v>-299</v>
      </c>
      <c r="F82" s="32">
        <v>18</v>
      </c>
    </row>
    <row r="83" spans="1:6">
      <c r="A83" s="145" t="s">
        <v>45</v>
      </c>
      <c r="B83" s="145"/>
      <c r="C83" s="145"/>
      <c r="D83" s="32">
        <v>1307</v>
      </c>
      <c r="E83" s="32">
        <v>1127</v>
      </c>
      <c r="F83" s="32">
        <v>140</v>
      </c>
    </row>
    <row r="84" spans="1:6">
      <c r="A84" s="145" t="s">
        <v>98</v>
      </c>
      <c r="B84" s="145"/>
      <c r="C84" s="145"/>
      <c r="D84" s="32">
        <v>419</v>
      </c>
      <c r="E84" s="32">
        <v>89</v>
      </c>
      <c r="F84" s="32">
        <v>199</v>
      </c>
    </row>
    <row r="85" spans="1:6">
      <c r="A85" s="145" t="s">
        <v>99</v>
      </c>
      <c r="B85" s="145"/>
      <c r="C85" s="145"/>
      <c r="D85" s="32">
        <v>6861</v>
      </c>
      <c r="E85" s="32">
        <v>5970</v>
      </c>
      <c r="F85" s="32">
        <v>7099</v>
      </c>
    </row>
    <row r="86" spans="1:6">
      <c r="A86" s="145" t="s">
        <v>100</v>
      </c>
      <c r="B86" s="145"/>
      <c r="C86" s="145"/>
      <c r="D86" s="32">
        <v>74</v>
      </c>
      <c r="E86" s="28">
        <v>3</v>
      </c>
      <c r="F86" s="32">
        <v>18</v>
      </c>
    </row>
    <row r="87" spans="1:6">
      <c r="A87" s="145" t="s">
        <v>101</v>
      </c>
      <c r="B87" s="145"/>
      <c r="C87" s="145"/>
      <c r="D87" s="36">
        <f>SUM(D85:D86)</f>
        <v>6935</v>
      </c>
      <c r="E87" s="29">
        <f>SUM(E85:E86)</f>
        <v>5973</v>
      </c>
      <c r="F87" s="29">
        <f>SUM(F85:F86)</f>
        <v>7117</v>
      </c>
    </row>
    <row r="88" spans="1:6">
      <c r="A88" s="147" t="s">
        <v>102</v>
      </c>
      <c r="B88" s="147"/>
      <c r="C88" s="147"/>
      <c r="D88" s="28"/>
      <c r="E88" s="28"/>
      <c r="F88" s="28"/>
    </row>
    <row r="89" spans="1:6">
      <c r="A89" s="145" t="s">
        <v>103</v>
      </c>
      <c r="B89" s="145"/>
      <c r="C89" s="145"/>
      <c r="D89" s="24">
        <v>-2533</v>
      </c>
      <c r="E89" s="24">
        <v>-3516</v>
      </c>
      <c r="F89" s="24">
        <v>-3027</v>
      </c>
    </row>
    <row r="90" spans="1:6">
      <c r="A90" s="145" t="s">
        <v>104</v>
      </c>
      <c r="B90" s="145"/>
      <c r="C90" s="145"/>
      <c r="D90" s="28">
        <v>31</v>
      </c>
      <c r="E90" s="28">
        <v>85</v>
      </c>
      <c r="F90" s="24">
        <v>63</v>
      </c>
    </row>
    <row r="91" spans="1:6">
      <c r="A91" s="149" t="s">
        <v>105</v>
      </c>
      <c r="B91" s="149"/>
      <c r="C91" s="149"/>
      <c r="D91" s="37">
        <v>-518</v>
      </c>
      <c r="E91" s="35">
        <v>0</v>
      </c>
      <c r="F91" s="35">
        <v>0</v>
      </c>
    </row>
    <row r="92" spans="1:6">
      <c r="A92" s="145" t="s">
        <v>106</v>
      </c>
      <c r="B92" s="145"/>
      <c r="C92" s="145"/>
      <c r="D92" s="24">
        <v>-55</v>
      </c>
      <c r="E92" s="28">
        <v>15</v>
      </c>
      <c r="F92" s="24">
        <v>20</v>
      </c>
    </row>
    <row r="93" spans="1:6">
      <c r="A93" s="145" t="s">
        <v>107</v>
      </c>
      <c r="B93" s="145"/>
      <c r="C93" s="145"/>
      <c r="D93" s="11">
        <f>SUM(D89:D92)</f>
        <v>-3075</v>
      </c>
      <c r="E93" s="11">
        <f>SUM(E89:E92)</f>
        <v>-3416</v>
      </c>
      <c r="F93" s="11">
        <f>SUM(F89:F92)</f>
        <v>-2944</v>
      </c>
    </row>
    <row r="94" spans="1:6">
      <c r="A94" s="147" t="s">
        <v>108</v>
      </c>
      <c r="B94" s="147"/>
      <c r="C94" s="147"/>
      <c r="D94" s="28"/>
      <c r="E94" s="28"/>
      <c r="F94" s="28"/>
    </row>
    <row r="95" spans="1:6">
      <c r="A95" s="149" t="s">
        <v>109</v>
      </c>
      <c r="B95" s="149"/>
      <c r="C95" s="149"/>
      <c r="D95" s="31">
        <v>739</v>
      </c>
      <c r="E95" s="35">
        <v>0</v>
      </c>
      <c r="F95" s="37">
        <v>1739</v>
      </c>
    </row>
    <row r="96" spans="1:6">
      <c r="A96" s="145" t="s">
        <v>110</v>
      </c>
      <c r="B96" s="145"/>
      <c r="C96" s="145"/>
      <c r="D96" s="24">
        <v>-2192</v>
      </c>
      <c r="E96" s="24">
        <v>-281</v>
      </c>
      <c r="F96" s="24">
        <v>-2069</v>
      </c>
    </row>
    <row r="97" spans="1:16">
      <c r="A97" s="145" t="s">
        <v>111</v>
      </c>
      <c r="B97" s="145"/>
      <c r="C97" s="145"/>
      <c r="D97" s="24">
        <v>-1338</v>
      </c>
      <c r="E97" s="24">
        <v>-1335</v>
      </c>
      <c r="F97" s="24">
        <v>-1330</v>
      </c>
    </row>
    <row r="98" spans="1:16">
      <c r="A98" s="145" t="s">
        <v>112</v>
      </c>
      <c r="B98" s="145"/>
      <c r="C98" s="145"/>
      <c r="D98" s="24">
        <v>-1046</v>
      </c>
      <c r="E98" s="24">
        <v>-2124</v>
      </c>
      <c r="F98" s="24">
        <v>-1565</v>
      </c>
    </row>
    <row r="99" spans="1:16">
      <c r="A99" s="145" t="s">
        <v>113</v>
      </c>
      <c r="B99" s="145"/>
      <c r="C99" s="145"/>
      <c r="D99" s="28">
        <v>108</v>
      </c>
      <c r="E99" s="28">
        <v>96</v>
      </c>
      <c r="F99" s="28">
        <v>73</v>
      </c>
    </row>
    <row r="100" spans="1:16">
      <c r="A100" s="145" t="s">
        <v>114</v>
      </c>
      <c r="B100" s="145"/>
      <c r="C100" s="145"/>
      <c r="D100" s="24">
        <v>-3729</v>
      </c>
      <c r="E100" s="24">
        <f>SUM(E95:E99)</f>
        <v>-3644</v>
      </c>
      <c r="F100" s="24">
        <v>-3152</v>
      </c>
    </row>
    <row r="101" spans="1:16">
      <c r="A101" s="145" t="s">
        <v>115</v>
      </c>
      <c r="B101" s="145"/>
      <c r="C101" s="145"/>
      <c r="D101" s="28">
        <v>131</v>
      </c>
      <c r="E101" s="24">
        <v>-1087</v>
      </c>
      <c r="F101" s="28">
        <v>1021</v>
      </c>
    </row>
    <row r="102" spans="1:16">
      <c r="A102" s="145" t="s">
        <v>116</v>
      </c>
      <c r="B102" s="145"/>
      <c r="C102" s="145"/>
      <c r="D102" s="28">
        <v>2512</v>
      </c>
      <c r="E102" s="28">
        <v>2643</v>
      </c>
      <c r="F102" s="28">
        <v>1556</v>
      </c>
    </row>
    <row r="103" spans="1:16">
      <c r="A103" s="145" t="s">
        <v>117</v>
      </c>
      <c r="B103" s="145"/>
      <c r="C103" s="145"/>
      <c r="D103" s="29">
        <f>SUM(D101:D102)</f>
        <v>2643</v>
      </c>
      <c r="E103" s="11">
        <f>SUM(E101:E102)</f>
        <v>1556</v>
      </c>
      <c r="F103" s="29">
        <f>SUM(F101:F102)</f>
        <v>2577</v>
      </c>
    </row>
    <row r="104" spans="1:16">
      <c r="A104" s="145" t="s">
        <v>118</v>
      </c>
      <c r="B104" s="145"/>
      <c r="C104" s="145"/>
      <c r="D104" s="28"/>
      <c r="E104" s="28"/>
      <c r="F104" s="28"/>
    </row>
    <row r="105" spans="1:16">
      <c r="A105" s="145" t="s">
        <v>119</v>
      </c>
      <c r="B105" s="145"/>
      <c r="C105" s="145"/>
      <c r="D105" s="28">
        <v>678</v>
      </c>
      <c r="E105" s="28">
        <v>476</v>
      </c>
      <c r="F105" s="28">
        <v>492</v>
      </c>
    </row>
    <row r="106" spans="1:16">
      <c r="A106" s="145" t="s">
        <v>120</v>
      </c>
      <c r="B106" s="145"/>
      <c r="C106" s="145"/>
      <c r="D106" s="28">
        <v>934</v>
      </c>
      <c r="E106" s="28">
        <v>373</v>
      </c>
      <c r="F106" s="28">
        <v>696</v>
      </c>
    </row>
    <row r="107" spans="1:16">
      <c r="A107" s="145" t="s">
        <v>121</v>
      </c>
      <c r="B107" s="145"/>
      <c r="C107" s="145"/>
      <c r="D107" s="28">
        <v>139</v>
      </c>
      <c r="E107" s="28">
        <v>130</v>
      </c>
      <c r="F107" s="28">
        <v>379</v>
      </c>
    </row>
    <row r="108" spans="1:16">
      <c r="A108" s="145" t="s">
        <v>122</v>
      </c>
      <c r="B108" s="145"/>
      <c r="C108" s="145"/>
      <c r="D108" s="28">
        <v>212</v>
      </c>
      <c r="E108" s="28">
        <v>246</v>
      </c>
      <c r="F108" s="28">
        <v>464</v>
      </c>
    </row>
    <row r="109" spans="1:16">
      <c r="A109" s="145"/>
      <c r="B109" s="145"/>
      <c r="C109" s="145"/>
    </row>
    <row r="110" spans="1:16">
      <c r="A110" s="140" t="s">
        <v>123</v>
      </c>
      <c r="B110" s="140"/>
      <c r="C110" s="140"/>
      <c r="D110" s="2">
        <v>2017</v>
      </c>
      <c r="E110" s="2">
        <v>2018</v>
      </c>
      <c r="F110" s="2">
        <v>2019</v>
      </c>
      <c r="G110" s="2">
        <v>2020</v>
      </c>
      <c r="H110" s="2">
        <v>2021</v>
      </c>
      <c r="I110" s="2">
        <v>2022</v>
      </c>
      <c r="J110" s="2">
        <v>2023</v>
      </c>
      <c r="K110" s="2">
        <v>2024</v>
      </c>
      <c r="L110" s="2">
        <v>2025</v>
      </c>
      <c r="M110" s="157" t="s">
        <v>311</v>
      </c>
      <c r="N110" s="146"/>
      <c r="O110" s="146"/>
      <c r="P110" s="146"/>
    </row>
    <row r="111" spans="1:16">
      <c r="A111" s="146" t="s">
        <v>124</v>
      </c>
      <c r="B111" s="146"/>
      <c r="C111" s="146"/>
      <c r="M111" s="146"/>
      <c r="N111" s="146"/>
      <c r="O111" s="146"/>
      <c r="P111" s="146"/>
    </row>
    <row r="112" spans="1:16">
      <c r="A112" s="145" t="s">
        <v>126</v>
      </c>
      <c r="B112" s="145"/>
      <c r="C112" s="145"/>
      <c r="D112">
        <f>$D$42</f>
        <v>71786</v>
      </c>
      <c r="E112">
        <f>$E$42</f>
        <v>74433</v>
      </c>
      <c r="F112">
        <f>$F$42</f>
        <v>77130</v>
      </c>
      <c r="G112" s="4">
        <f>G42</f>
        <v>94574.014817281655</v>
      </c>
      <c r="M112" s="146"/>
      <c r="N112" s="146"/>
      <c r="O112" s="146"/>
      <c r="P112" s="146"/>
    </row>
    <row r="113" spans="1:7">
      <c r="A113" s="145" t="s">
        <v>127</v>
      </c>
      <c r="B113" s="145"/>
      <c r="C113" s="145"/>
      <c r="E113" s="38">
        <f>((E112-D112))/D112</f>
        <v>3.6873485080656396E-2</v>
      </c>
      <c r="F113" s="38">
        <f>((F112-E112))/E112</f>
        <v>3.6233928499455885E-2</v>
      </c>
      <c r="G113" s="38">
        <f>((G112-F112))/F112</f>
        <v>0.22616381197046098</v>
      </c>
    </row>
    <row r="114" spans="1:7">
      <c r="A114" s="146"/>
      <c r="B114" s="146"/>
      <c r="C114" s="146"/>
      <c r="E114" s="38"/>
      <c r="F114" s="38"/>
    </row>
    <row r="115" spans="1:7">
      <c r="A115" s="146" t="s">
        <v>128</v>
      </c>
      <c r="B115" s="146"/>
      <c r="C115" s="146"/>
    </row>
    <row r="116" spans="1:7">
      <c r="A116" s="145" t="s">
        <v>129</v>
      </c>
      <c r="B116" s="145"/>
      <c r="C116" s="145"/>
      <c r="D116">
        <f>$D$44</f>
        <v>72714</v>
      </c>
      <c r="E116">
        <f>$E$44</f>
        <v>75356</v>
      </c>
      <c r="F116">
        <f>$F$44</f>
        <v>78112</v>
      </c>
      <c r="G116" s="4">
        <f>G44</f>
        <v>95809.817149227601</v>
      </c>
    </row>
    <row r="117" spans="1:7">
      <c r="A117" s="150" t="s">
        <v>131</v>
      </c>
      <c r="B117" s="150"/>
      <c r="C117" s="150"/>
      <c r="E117" s="38">
        <f>E116/D116-1</f>
        <v>3.6334130978903589E-2</v>
      </c>
      <c r="F117" s="38">
        <f>F116/E116-1</f>
        <v>3.6573066510961372E-2</v>
      </c>
      <c r="G117" s="38">
        <f>G116/F116-1</f>
        <v>0.22656976071829682</v>
      </c>
    </row>
    <row r="118" spans="1:7">
      <c r="A118" s="145" t="s">
        <v>132</v>
      </c>
      <c r="B118" s="145"/>
      <c r="C118" s="145"/>
      <c r="E118" s="38">
        <f>((E116/D116)^(1/1))-1</f>
        <v>3.6334130978903589E-2</v>
      </c>
      <c r="F118" s="38">
        <f>((F116/D116)^(1/2))-1</f>
        <v>3.6453591859652246E-2</v>
      </c>
      <c r="G118" s="38">
        <f>((G116/E116)^(1/3))-1</f>
        <v>8.333820179533924E-2</v>
      </c>
    </row>
    <row r="119" spans="1:7">
      <c r="A119" s="146"/>
      <c r="B119" s="146"/>
      <c r="C119" s="146"/>
    </row>
    <row r="120" spans="1:7">
      <c r="A120" s="145" t="s">
        <v>133</v>
      </c>
      <c r="B120" s="145"/>
      <c r="C120" s="145"/>
      <c r="D120" s="12">
        <f>-$D$45</f>
        <v>-51125</v>
      </c>
      <c r="E120" s="12">
        <f>-$E$45</f>
        <v>-53299</v>
      </c>
      <c r="F120" s="12">
        <f>-$F$45</f>
        <v>-54864</v>
      </c>
    </row>
    <row r="121" spans="1:7">
      <c r="A121" s="150" t="s">
        <v>134</v>
      </c>
      <c r="B121" s="150"/>
      <c r="C121" s="150"/>
      <c r="D121" s="39">
        <f>-D120/D116</f>
        <v>0.70309706521440163</v>
      </c>
      <c r="E121" s="39">
        <f t="shared" ref="E121:F121" si="2">-E120/E116</f>
        <v>0.70729603482138115</v>
      </c>
      <c r="F121" s="39">
        <f t="shared" si="2"/>
        <v>0.70237607537894309</v>
      </c>
    </row>
    <row r="122" spans="1:7">
      <c r="A122" s="150" t="s">
        <v>135</v>
      </c>
      <c r="B122" s="150"/>
      <c r="C122" s="150"/>
      <c r="D122" s="40">
        <f>1-D121</f>
        <v>0.29690293478559837</v>
      </c>
      <c r="E122" s="40">
        <f t="shared" ref="E122:F122" si="3">1-E121</f>
        <v>0.29270396517861885</v>
      </c>
      <c r="F122" s="40">
        <f t="shared" si="3"/>
        <v>0.29762392462105691</v>
      </c>
    </row>
    <row r="123" spans="1:7">
      <c r="A123" s="146"/>
      <c r="B123" s="146"/>
      <c r="C123" s="146"/>
    </row>
    <row r="124" spans="1:7">
      <c r="A124" s="145" t="s">
        <v>136</v>
      </c>
      <c r="B124" s="145"/>
      <c r="C124" s="145"/>
      <c r="D124" s="12">
        <f>-$D$46</f>
        <v>-15140</v>
      </c>
      <c r="E124" s="12">
        <f>-$E$46</f>
        <v>-15723</v>
      </c>
      <c r="F124" s="12">
        <f>-$F$46</f>
        <v>-16233</v>
      </c>
    </row>
    <row r="125" spans="1:7">
      <c r="A125" s="150" t="s">
        <v>137</v>
      </c>
      <c r="B125" s="150"/>
      <c r="C125" s="150"/>
      <c r="D125" s="39">
        <f>-D124/D116</f>
        <v>0.20821299887229419</v>
      </c>
      <c r="E125" s="39">
        <f t="shared" ref="E125:F125" si="4">-E124/E116</f>
        <v>0.20864960985190298</v>
      </c>
      <c r="F125" s="39">
        <f t="shared" si="4"/>
        <v>0.20781698074559607</v>
      </c>
    </row>
    <row r="126" spans="1:7">
      <c r="A126" s="146"/>
      <c r="B126" s="146"/>
      <c r="C126" s="146"/>
    </row>
    <row r="127" spans="1:7">
      <c r="A127" s="145" t="s">
        <v>139</v>
      </c>
      <c r="B127" s="145"/>
      <c r="C127" s="145"/>
      <c r="D127" s="12">
        <f>D116+D124+D120</f>
        <v>6449</v>
      </c>
      <c r="E127" s="12">
        <f t="shared" ref="E127:F127" si="5">E116+E124+E120</f>
        <v>6334</v>
      </c>
      <c r="F127" s="12">
        <f t="shared" si="5"/>
        <v>7015</v>
      </c>
    </row>
    <row r="128" spans="1:7">
      <c r="A128" s="145" t="s">
        <v>141</v>
      </c>
      <c r="B128" s="145"/>
      <c r="C128" s="145"/>
      <c r="D128" s="39">
        <f>D127/D116</f>
        <v>8.868993591330418E-2</v>
      </c>
      <c r="E128" s="39">
        <f t="shared" ref="E128:F128" si="6">E127/E116</f>
        <v>8.405435532671586E-2</v>
      </c>
      <c r="F128" s="39">
        <f t="shared" si="6"/>
        <v>8.9806943875460871E-2</v>
      </c>
    </row>
    <row r="129" spans="1:7">
      <c r="A129" s="146"/>
      <c r="B129" s="146"/>
      <c r="C129" s="146"/>
    </row>
    <row r="130" spans="1:7">
      <c r="G130" s="4"/>
    </row>
    <row r="131" spans="1:7">
      <c r="G131" s="4"/>
    </row>
    <row r="133" spans="1:7">
      <c r="A133" s="145"/>
      <c r="B133" s="145"/>
      <c r="C133" s="145"/>
    </row>
    <row r="136" spans="1:7">
      <c r="A136" s="146"/>
      <c r="B136" s="146"/>
      <c r="C136" s="146"/>
    </row>
    <row r="137" spans="1:7">
      <c r="A137" s="146" t="s">
        <v>156</v>
      </c>
      <c r="B137" s="146"/>
      <c r="C137" s="146"/>
    </row>
    <row r="138" spans="1:7">
      <c r="A138" s="162" t="s">
        <v>157</v>
      </c>
      <c r="B138" s="162"/>
      <c r="C138" s="162"/>
    </row>
    <row r="139" spans="1:7">
      <c r="A139" s="162" t="s">
        <v>159</v>
      </c>
      <c r="B139" s="162"/>
      <c r="C139" s="162"/>
      <c r="D139">
        <f>$D$44</f>
        <v>72714</v>
      </c>
      <c r="E139">
        <f>$E$44</f>
        <v>75356</v>
      </c>
      <c r="F139">
        <f>$F$44</f>
        <v>78112</v>
      </c>
    </row>
    <row r="140" spans="1:7">
      <c r="A140" s="162" t="s">
        <v>133</v>
      </c>
      <c r="B140" s="162"/>
      <c r="C140" s="162"/>
      <c r="D140">
        <f>$D$45</f>
        <v>51125</v>
      </c>
      <c r="E140">
        <f>$E$45</f>
        <v>53299</v>
      </c>
      <c r="F140">
        <f>$F$45</f>
        <v>54864</v>
      </c>
    </row>
    <row r="141" spans="1:7">
      <c r="A141" s="162"/>
      <c r="B141" s="162"/>
      <c r="C141" s="162"/>
    </row>
    <row r="142" spans="1:7">
      <c r="A142" s="162" t="s">
        <v>160</v>
      </c>
      <c r="B142" s="162"/>
      <c r="C142" s="162"/>
    </row>
    <row r="143" spans="1:7">
      <c r="A143" s="162" t="s">
        <v>161</v>
      </c>
      <c r="B143" s="162"/>
      <c r="C143" s="162"/>
    </row>
    <row r="144" spans="1:7">
      <c r="A144" s="162" t="s">
        <v>96</v>
      </c>
      <c r="B144" s="162"/>
      <c r="C144" s="162"/>
      <c r="D144" s="4">
        <f>$D$5</f>
        <v>8657</v>
      </c>
      <c r="E144" s="4">
        <f>$E$5</f>
        <v>9497</v>
      </c>
      <c r="F144" s="4">
        <f>$F$5</f>
        <v>8992</v>
      </c>
    </row>
    <row r="145" spans="1:6">
      <c r="A145" s="162" t="s">
        <v>163</v>
      </c>
      <c r="B145" s="162"/>
      <c r="C145" s="162"/>
      <c r="D145" s="4">
        <f>D144/D140*365</f>
        <v>61.805476772616139</v>
      </c>
      <c r="E145" s="4">
        <f>E144/E140*365</f>
        <v>65.036961293832903</v>
      </c>
      <c r="F145" s="4">
        <f>F144/F140*365</f>
        <v>59.822105570137062</v>
      </c>
    </row>
    <row r="146" spans="1:6">
      <c r="A146" s="162" t="s">
        <v>162</v>
      </c>
      <c r="B146" s="162"/>
      <c r="C146" s="162"/>
    </row>
    <row r="147" spans="1:6">
      <c r="A147" s="162"/>
      <c r="B147" s="162"/>
      <c r="C147" s="162"/>
    </row>
    <row r="148" spans="1:6">
      <c r="A148" s="162"/>
      <c r="B148" s="162"/>
      <c r="C148" s="162"/>
    </row>
    <row r="149" spans="1:6">
      <c r="A149" s="162" t="s">
        <v>164</v>
      </c>
      <c r="B149" s="162"/>
      <c r="C149" s="162"/>
    </row>
    <row r="150" spans="1:6">
      <c r="A150" s="162" t="s">
        <v>165</v>
      </c>
      <c r="B150" s="162"/>
      <c r="C150" s="162"/>
      <c r="D150" s="4">
        <f>$D$23</f>
        <v>4254</v>
      </c>
      <c r="E150" s="4">
        <f>$E$23</f>
        <v>4201</v>
      </c>
      <c r="F150" s="4">
        <f>$F$23</f>
        <v>4406</v>
      </c>
    </row>
    <row r="151" spans="1:6">
      <c r="A151" s="162" t="s">
        <v>166</v>
      </c>
      <c r="B151" s="162"/>
      <c r="C151" s="162"/>
      <c r="D151" s="4">
        <f>D150/D140*365</f>
        <v>30.370855745721272</v>
      </c>
      <c r="E151" s="4">
        <f>E150/E140*365</f>
        <v>28.769113867051917</v>
      </c>
      <c r="F151" s="4">
        <f>F150/F140*365</f>
        <v>29.312299504228637</v>
      </c>
    </row>
    <row r="152" spans="1:6">
      <c r="A152" s="146" t="s">
        <v>312</v>
      </c>
      <c r="B152" s="146"/>
      <c r="C152" s="146"/>
    </row>
    <row r="153" spans="1:6">
      <c r="A153" s="146" t="s">
        <v>313</v>
      </c>
      <c r="B153" s="146"/>
      <c r="C153" s="146"/>
    </row>
    <row r="154" spans="1:6">
      <c r="A154" s="146" t="s">
        <v>314</v>
      </c>
      <c r="B154" s="146"/>
      <c r="C154" s="146"/>
    </row>
    <row r="155" spans="1:6">
      <c r="A155" s="146" t="s">
        <v>315</v>
      </c>
      <c r="B155" s="146"/>
      <c r="C155" s="146"/>
    </row>
    <row r="156" spans="1:6">
      <c r="A156" s="146"/>
      <c r="B156" s="146"/>
      <c r="C156" s="146"/>
    </row>
    <row r="157" spans="1:6">
      <c r="A157" s="146"/>
      <c r="B157" s="146"/>
      <c r="C157" s="146"/>
    </row>
    <row r="158" spans="1:6">
      <c r="A158" s="146"/>
      <c r="B158" s="146"/>
      <c r="C158" s="146"/>
    </row>
    <row r="159" spans="1:6">
      <c r="A159" s="146"/>
      <c r="B159" s="146"/>
      <c r="C159" s="146"/>
    </row>
    <row r="160" spans="1:6">
      <c r="A160" s="146"/>
      <c r="B160" s="146"/>
      <c r="C160" s="146"/>
    </row>
    <row r="161" spans="1:6">
      <c r="A161" s="146"/>
      <c r="B161" s="146"/>
      <c r="C161" s="146"/>
    </row>
    <row r="162" spans="1:6">
      <c r="A162" s="146" t="s">
        <v>169</v>
      </c>
      <c r="B162" s="146"/>
      <c r="C162" s="146"/>
    </row>
    <row r="163" spans="1:6">
      <c r="A163" s="145" t="s">
        <v>170</v>
      </c>
      <c r="B163" s="145"/>
      <c r="C163" s="145"/>
      <c r="D163" s="4">
        <f>$D$55</f>
        <v>2914</v>
      </c>
      <c r="E163" s="4">
        <f>$E$55</f>
        <v>2937</v>
      </c>
      <c r="F163" s="4">
        <f>$F$55</f>
        <v>3281</v>
      </c>
    </row>
    <row r="164" spans="1:6">
      <c r="A164" s="145" t="s">
        <v>171</v>
      </c>
      <c r="B164" s="145"/>
      <c r="C164" s="145"/>
      <c r="D164" s="9">
        <f>$D$37</f>
        <v>11709</v>
      </c>
      <c r="E164" s="9">
        <f>$E$37</f>
        <v>11297</v>
      </c>
      <c r="F164" s="9">
        <f>$F$37</f>
        <v>11833</v>
      </c>
    </row>
    <row r="165" spans="1:6">
      <c r="A165" s="150" t="s">
        <v>172</v>
      </c>
      <c r="B165" s="150"/>
      <c r="C165" s="150"/>
      <c r="D165" s="41">
        <f>D163/D164</f>
        <v>0.24886839183534035</v>
      </c>
      <c r="E165" s="41">
        <f>E163/E164</f>
        <v>0.2599805258033106</v>
      </c>
      <c r="F165" s="41">
        <f>F163/F164</f>
        <v>0.27727541620890728</v>
      </c>
    </row>
    <row r="166" spans="1:6">
      <c r="A166" s="146"/>
      <c r="B166" s="146"/>
      <c r="C166" s="146"/>
    </row>
    <row r="167" spans="1:6">
      <c r="A167" s="145" t="s">
        <v>173</v>
      </c>
      <c r="B167" s="145"/>
      <c r="C167" s="145"/>
      <c r="D167" s="4">
        <f>D19</f>
        <v>38999</v>
      </c>
      <c r="E167" s="4">
        <f>$E$19</f>
        <v>41290</v>
      </c>
      <c r="F167" s="4">
        <f>$F$19</f>
        <v>42779</v>
      </c>
    </row>
    <row r="168" spans="1:6">
      <c r="A168" s="150" t="s">
        <v>174</v>
      </c>
      <c r="B168" s="145"/>
      <c r="C168" s="145"/>
      <c r="D168" s="42">
        <f>D163/D167</f>
        <v>7.4719864611913128E-2</v>
      </c>
      <c r="E168" s="42">
        <f>E163/E167</f>
        <v>7.1131024461128609E-2</v>
      </c>
      <c r="F168" s="42">
        <f>F163/F167</f>
        <v>7.669650996984502E-2</v>
      </c>
    </row>
    <row r="169" spans="1:6">
      <c r="A169" s="146"/>
      <c r="B169" s="146"/>
      <c r="C169" s="146"/>
    </row>
    <row r="170" spans="1:6">
      <c r="A170" s="146" t="s">
        <v>175</v>
      </c>
      <c r="B170" s="146"/>
      <c r="C170" s="146"/>
    </row>
    <row r="171" spans="1:6">
      <c r="A171" s="146" t="s">
        <v>176</v>
      </c>
      <c r="B171" s="146"/>
      <c r="C171" s="146"/>
    </row>
    <row r="172" spans="1:6">
      <c r="A172" s="145" t="s">
        <v>177</v>
      </c>
      <c r="B172" s="145"/>
      <c r="C172" s="145"/>
      <c r="D172" s="4">
        <f>$D$7</f>
        <v>12564</v>
      </c>
      <c r="E172" s="4">
        <f>$E$7</f>
        <v>12519</v>
      </c>
      <c r="F172" s="4">
        <f>$F$7</f>
        <v>12902</v>
      </c>
    </row>
    <row r="173" spans="1:6">
      <c r="A173" s="145" t="s">
        <v>178</v>
      </c>
      <c r="B173" s="145"/>
      <c r="C173" s="145"/>
      <c r="D173" s="4">
        <f>$D$25</f>
        <v>13201</v>
      </c>
      <c r="E173" s="4">
        <f>$E$25</f>
        <v>15014</v>
      </c>
      <c r="F173" s="4">
        <f>$F$25</f>
        <v>14487</v>
      </c>
    </row>
    <row r="174" spans="1:6">
      <c r="A174" s="145" t="s">
        <v>179</v>
      </c>
      <c r="B174" s="145"/>
      <c r="C174" s="145"/>
      <c r="D174" s="4">
        <f>$D$4</f>
        <v>2643</v>
      </c>
      <c r="E174" s="4">
        <f>$E$4</f>
        <v>1556</v>
      </c>
      <c r="F174" s="4">
        <f>$F$4</f>
        <v>2577</v>
      </c>
    </row>
    <row r="175" spans="1:6">
      <c r="A175" s="145" t="s">
        <v>180</v>
      </c>
      <c r="B175" s="145"/>
      <c r="C175" s="145"/>
      <c r="D175" s="4">
        <f>$D$87</f>
        <v>6935</v>
      </c>
      <c r="E175" s="4">
        <f>$E$87</f>
        <v>5973</v>
      </c>
      <c r="F175" s="4">
        <f>$F$87</f>
        <v>7117</v>
      </c>
    </row>
    <row r="176" spans="1:6">
      <c r="A176" s="145" t="s">
        <v>96</v>
      </c>
      <c r="B176" s="145"/>
      <c r="C176" s="145"/>
      <c r="D176" s="4">
        <f>$D$5</f>
        <v>8657</v>
      </c>
      <c r="E176" s="4">
        <f>$E$5</f>
        <v>9497</v>
      </c>
      <c r="F176" s="4">
        <f>$F$5</f>
        <v>8992</v>
      </c>
    </row>
    <row r="177" spans="1:7">
      <c r="A177" s="146"/>
      <c r="B177" s="146"/>
      <c r="C177" s="146"/>
      <c r="D177" s="4"/>
      <c r="E177" s="4"/>
      <c r="F177" s="4"/>
    </row>
    <row r="178" spans="1:7">
      <c r="A178" s="147" t="s">
        <v>181</v>
      </c>
      <c r="B178" s="147"/>
      <c r="C178" s="147"/>
      <c r="D178" s="41">
        <f>D172/D173</f>
        <v>0.9517460798424362</v>
      </c>
      <c r="E178" s="41">
        <f>E172/E173</f>
        <v>0.83382176635140537</v>
      </c>
      <c r="F178" s="41">
        <f>F172/F173</f>
        <v>0.89059156485124591</v>
      </c>
    </row>
    <row r="179" spans="1:7">
      <c r="A179" s="145"/>
      <c r="B179" s="145"/>
      <c r="C179" s="145"/>
    </row>
    <row r="180" spans="1:7">
      <c r="A180" s="147" t="s">
        <v>182</v>
      </c>
      <c r="B180" s="147"/>
      <c r="C180" s="147"/>
      <c r="D180" s="41">
        <f>D174/D173</f>
        <v>0.20021210514354973</v>
      </c>
      <c r="E180" s="41">
        <f>E174/E173</f>
        <v>0.10363660583455442</v>
      </c>
      <c r="F180" s="41">
        <f>F174/F173</f>
        <v>0.17788361979705944</v>
      </c>
    </row>
    <row r="181" spans="1:7">
      <c r="A181" s="146"/>
      <c r="B181" s="146"/>
      <c r="C181" s="146"/>
      <c r="D181" s="4"/>
      <c r="E181" s="4"/>
      <c r="F181" s="4"/>
    </row>
    <row r="182" spans="1:7">
      <c r="A182" s="147" t="s">
        <v>183</v>
      </c>
      <c r="B182" s="147"/>
      <c r="C182" s="147"/>
      <c r="D182" s="41">
        <f>E175/D173</f>
        <v>0.45246572229376564</v>
      </c>
      <c r="E182" s="41">
        <f>F175/E173</f>
        <v>0.47402424403889704</v>
      </c>
      <c r="F182" s="41">
        <f>F175/F173</f>
        <v>0.4912680334092635</v>
      </c>
    </row>
    <row r="183" spans="1:7">
      <c r="A183" s="146"/>
      <c r="B183" s="146"/>
      <c r="C183" s="146"/>
    </row>
    <row r="184" spans="1:7">
      <c r="A184" s="147" t="s">
        <v>184</v>
      </c>
      <c r="B184" s="147"/>
      <c r="C184" s="147"/>
      <c r="D184" s="41">
        <f>(D172-D176)/D173</f>
        <v>0.29596242708885689</v>
      </c>
      <c r="E184" s="41">
        <f>(E172-E176)/E173</f>
        <v>0.20127880644731583</v>
      </c>
      <c r="F184" s="41">
        <f>(F172-F176)/F173</f>
        <v>0.26989714916821977</v>
      </c>
    </row>
    <row r="185" spans="1:7">
      <c r="A185" s="145"/>
      <c r="B185" s="145"/>
      <c r="C185" s="145"/>
    </row>
    <row r="186" spans="1:7">
      <c r="A186" s="146" t="s">
        <v>186</v>
      </c>
      <c r="B186" s="146"/>
      <c r="C186" s="146"/>
      <c r="G186" s="41"/>
    </row>
    <row r="187" spans="1:7">
      <c r="A187" s="146" t="s">
        <v>176</v>
      </c>
      <c r="B187" s="146"/>
      <c r="C187" s="146"/>
    </row>
    <row r="188" spans="1:7">
      <c r="A188" s="146" t="s">
        <v>187</v>
      </c>
      <c r="B188" s="146"/>
      <c r="C188" s="146"/>
      <c r="D188" s="4">
        <f>$D$25+$D$30</f>
        <v>27290</v>
      </c>
      <c r="E188" s="4">
        <f>$E$25+$E$30</f>
        <v>29993</v>
      </c>
      <c r="F188" s="4">
        <f>$F$25+$F$30</f>
        <v>30946</v>
      </c>
    </row>
    <row r="189" spans="1:7">
      <c r="A189" s="146" t="s">
        <v>188</v>
      </c>
      <c r="B189" s="146"/>
      <c r="C189" s="146"/>
      <c r="D189" s="4">
        <f>$D$19</f>
        <v>38999</v>
      </c>
      <c r="E189" s="4">
        <f>$E$19</f>
        <v>41290</v>
      </c>
      <c r="F189" s="4">
        <f>$F$19</f>
        <v>42779</v>
      </c>
    </row>
    <row r="190" spans="1:7">
      <c r="A190" s="146" t="s">
        <v>171</v>
      </c>
      <c r="B190" s="146"/>
      <c r="C190" s="146"/>
      <c r="D190" s="9">
        <f>$D$37</f>
        <v>11709</v>
      </c>
      <c r="E190" s="9">
        <f>$E$37</f>
        <v>11297</v>
      </c>
      <c r="F190" s="9">
        <f>$F$37</f>
        <v>11833</v>
      </c>
    </row>
    <row r="191" spans="1:7">
      <c r="A191" s="146" t="s">
        <v>139</v>
      </c>
      <c r="B191" s="146"/>
      <c r="C191" s="146"/>
      <c r="D191">
        <f>$D$48</f>
        <v>4224</v>
      </c>
      <c r="E191">
        <f>$E$48</f>
        <v>4110</v>
      </c>
      <c r="F191">
        <f>$F$48</f>
        <v>4658</v>
      </c>
    </row>
    <row r="192" spans="1:7">
      <c r="A192" s="146" t="s">
        <v>189</v>
      </c>
      <c r="B192" s="146"/>
      <c r="C192" s="146"/>
    </row>
    <row r="193" spans="1:8">
      <c r="A193" s="146"/>
      <c r="B193" s="146"/>
      <c r="C193" s="146"/>
    </row>
    <row r="194" spans="1:8">
      <c r="A194" s="146" t="s">
        <v>316</v>
      </c>
      <c r="B194" s="146"/>
      <c r="C194" s="146"/>
      <c r="D194" s="41">
        <f>D188/D189</f>
        <v>0.69976153234698324</v>
      </c>
      <c r="E194" s="41">
        <f>E188/E189</f>
        <v>0.72639864373940422</v>
      </c>
      <c r="F194" s="41">
        <f>F188/F189</f>
        <v>0.72339231866102527</v>
      </c>
    </row>
    <row r="195" spans="1:8">
      <c r="A195" s="146"/>
      <c r="B195" s="146"/>
      <c r="C195" s="146"/>
      <c r="D195" s="41"/>
      <c r="E195" s="41"/>
      <c r="F195" s="41"/>
    </row>
    <row r="196" spans="1:8">
      <c r="A196" s="146" t="s">
        <v>193</v>
      </c>
      <c r="B196" s="146"/>
      <c r="C196" s="146"/>
      <c r="D196" s="41">
        <f>D188/D190</f>
        <v>2.3306857972499788</v>
      </c>
      <c r="E196" s="41">
        <f>E188/E190</f>
        <v>2.6549526422944143</v>
      </c>
      <c r="F196" s="41">
        <f>F188/F190</f>
        <v>2.6152285979886756</v>
      </c>
    </row>
    <row r="197" spans="1:8">
      <c r="A197" s="146"/>
      <c r="B197" s="146"/>
      <c r="C197" s="146"/>
    </row>
    <row r="198" spans="1:8">
      <c r="A198" s="146" t="s">
        <v>194</v>
      </c>
      <c r="B198" s="146"/>
      <c r="C198" s="146"/>
      <c r="D198">
        <f>$D$55+$D$52+$D$49+$D$47</f>
        <v>6514</v>
      </c>
      <c r="E198">
        <f>$E$55+$E$52+$E$49+$E$47</f>
        <v>6368</v>
      </c>
      <c r="F198" s="12">
        <f>$F$55+$F$52+$F$49+$F$47</f>
        <v>7036</v>
      </c>
    </row>
    <row r="201" spans="1:8">
      <c r="A201" s="140" t="s">
        <v>328</v>
      </c>
      <c r="B201" s="140"/>
      <c r="C201" s="140"/>
      <c r="D201" s="2">
        <v>2017</v>
      </c>
      <c r="E201" s="2">
        <v>2018</v>
      </c>
      <c r="F201" s="2">
        <v>2019</v>
      </c>
      <c r="G201" s="2">
        <v>2020</v>
      </c>
      <c r="H201" s="2">
        <v>2021</v>
      </c>
    </row>
    <row r="202" spans="1:8">
      <c r="A202" s="141" t="s">
        <v>61</v>
      </c>
      <c r="B202" s="141"/>
      <c r="C202" s="141"/>
    </row>
    <row r="203" spans="1:8">
      <c r="A203" s="145" t="s">
        <v>62</v>
      </c>
      <c r="B203" s="145"/>
      <c r="C203" s="145"/>
      <c r="D203" s="28">
        <v>71786</v>
      </c>
      <c r="E203" s="28">
        <v>74433</v>
      </c>
      <c r="F203" s="28">
        <v>77130</v>
      </c>
      <c r="G203" s="4"/>
      <c r="H203" s="4"/>
    </row>
    <row r="204" spans="1:8">
      <c r="A204" s="145" t="s">
        <v>63</v>
      </c>
      <c r="B204" s="145"/>
      <c r="C204" s="145"/>
      <c r="D204" s="28">
        <v>928</v>
      </c>
      <c r="E204" s="28">
        <v>923</v>
      </c>
      <c r="F204" s="28">
        <v>982</v>
      </c>
      <c r="G204" s="4"/>
      <c r="H204" s="4"/>
    </row>
    <row r="205" spans="1:8">
      <c r="A205" s="146" t="s">
        <v>199</v>
      </c>
      <c r="B205" s="146"/>
      <c r="C205" s="146"/>
      <c r="D205" s="28" t="s">
        <v>200</v>
      </c>
      <c r="E205" s="28"/>
      <c r="F205" s="28"/>
      <c r="G205" s="4"/>
      <c r="H205" s="4"/>
    </row>
    <row r="206" spans="1:8">
      <c r="A206" s="145" t="s">
        <v>64</v>
      </c>
      <c r="B206" s="145"/>
      <c r="C206" s="145"/>
      <c r="D206" s="28">
        <v>72714</v>
      </c>
      <c r="E206" s="28">
        <v>75356</v>
      </c>
      <c r="F206" s="28">
        <f>SUM(F203:F204)</f>
        <v>78112</v>
      </c>
      <c r="G206" s="4"/>
      <c r="H206" s="4"/>
    </row>
    <row r="207" spans="1:8">
      <c r="A207" s="145" t="s">
        <v>65</v>
      </c>
      <c r="B207" s="145"/>
      <c r="C207" s="145"/>
      <c r="D207" s="28">
        <v>51125</v>
      </c>
      <c r="E207" s="28">
        <v>53299</v>
      </c>
      <c r="F207" s="28">
        <v>54864</v>
      </c>
      <c r="G207" s="4"/>
      <c r="H207" s="4"/>
    </row>
    <row r="208" spans="1:8">
      <c r="A208" s="145" t="s">
        <v>66</v>
      </c>
      <c r="B208" s="145"/>
      <c r="C208" s="145"/>
      <c r="D208" s="28">
        <v>15140</v>
      </c>
      <c r="E208" s="28">
        <v>15723</v>
      </c>
      <c r="F208" s="28">
        <v>16233</v>
      </c>
      <c r="G208" s="4"/>
      <c r="H208" s="4"/>
    </row>
    <row r="209" spans="1:8">
      <c r="A209" s="145" t="s">
        <v>67</v>
      </c>
      <c r="B209" s="145"/>
      <c r="C209" s="145"/>
      <c r="D209" s="28">
        <v>2225</v>
      </c>
      <c r="E209" s="28">
        <v>2224</v>
      </c>
      <c r="F209" s="28">
        <v>2357</v>
      </c>
      <c r="G209" s="4"/>
      <c r="H209" s="4"/>
    </row>
    <row r="210" spans="1:8">
      <c r="A210" s="145" t="s">
        <v>68</v>
      </c>
      <c r="B210" s="145"/>
      <c r="C210" s="145"/>
      <c r="D210" s="29">
        <f>D206-SUM(D207:D209)</f>
        <v>4224</v>
      </c>
      <c r="E210" s="29">
        <f>E206-SUM(E207:E209)</f>
        <v>4110</v>
      </c>
      <c r="F210" s="29">
        <f>F206-SUM(F207:F209)</f>
        <v>4658</v>
      </c>
      <c r="G210" s="4"/>
      <c r="H210" s="4"/>
    </row>
    <row r="211" spans="1:8">
      <c r="A211" s="145" t="s">
        <v>69</v>
      </c>
      <c r="B211" s="145"/>
      <c r="C211" s="145"/>
      <c r="D211" s="28">
        <v>653</v>
      </c>
      <c r="E211" s="28">
        <v>461</v>
      </c>
      <c r="F211" s="24">
        <v>477</v>
      </c>
      <c r="G211" s="4"/>
      <c r="H211" s="4"/>
    </row>
    <row r="212" spans="1:8">
      <c r="A212" s="145" t="s">
        <v>70</v>
      </c>
      <c r="B212" s="145"/>
      <c r="C212" s="145"/>
      <c r="D212" s="24">
        <v>-59</v>
      </c>
      <c r="E212" s="24">
        <v>-27</v>
      </c>
      <c r="F212" s="24">
        <v>-9</v>
      </c>
      <c r="G212" s="12"/>
      <c r="H212" s="4"/>
    </row>
    <row r="213" spans="1:8">
      <c r="A213" s="145" t="s">
        <v>71</v>
      </c>
      <c r="B213" s="145"/>
      <c r="C213" s="145"/>
      <c r="D213" s="11">
        <f>D210-D211-D212</f>
        <v>3630</v>
      </c>
      <c r="E213" s="11">
        <f>E210-E211-E212</f>
        <v>3676</v>
      </c>
      <c r="F213" s="11">
        <f>F210-F211-F212</f>
        <v>4190</v>
      </c>
      <c r="G213" s="4"/>
      <c r="H213" s="4"/>
    </row>
    <row r="214" spans="1:8">
      <c r="A214" s="145" t="s">
        <v>72</v>
      </c>
      <c r="B214" s="145"/>
      <c r="C214" s="145"/>
      <c r="D214" s="28">
        <v>722</v>
      </c>
      <c r="E214" s="28">
        <v>746</v>
      </c>
      <c r="F214" s="28">
        <v>921</v>
      </c>
      <c r="G214" s="4"/>
      <c r="H214" s="4"/>
    </row>
    <row r="215" spans="1:8">
      <c r="A215" s="145" t="s">
        <v>73</v>
      </c>
      <c r="B215" s="145"/>
      <c r="C215" s="145"/>
      <c r="D215" s="28">
        <v>2908</v>
      </c>
      <c r="E215" s="28">
        <v>2930</v>
      </c>
      <c r="F215" s="28">
        <v>3269</v>
      </c>
      <c r="G215" s="4"/>
      <c r="H215" s="4"/>
    </row>
    <row r="216" spans="1:8">
      <c r="A216" s="145" t="s">
        <v>74</v>
      </c>
      <c r="B216" s="145"/>
      <c r="C216" s="145"/>
      <c r="D216" s="28">
        <v>6</v>
      </c>
      <c r="E216" s="28">
        <v>7</v>
      </c>
      <c r="F216" s="28">
        <v>12</v>
      </c>
      <c r="G216" s="72"/>
      <c r="H216" s="4"/>
    </row>
    <row r="217" spans="1:8">
      <c r="A217" s="147" t="s">
        <v>75</v>
      </c>
      <c r="B217" s="147"/>
      <c r="C217" s="147"/>
      <c r="D217" s="29">
        <f>SUM(D215:D216)</f>
        <v>2914</v>
      </c>
      <c r="E217" s="29">
        <f>SUM(E215:E216)</f>
        <v>2937</v>
      </c>
      <c r="F217" s="29">
        <f>SUM(F215:F216)</f>
        <v>3281</v>
      </c>
      <c r="G217" s="4"/>
      <c r="H217" s="4"/>
    </row>
    <row r="218" spans="1:8" ht="19.3">
      <c r="A218" s="148" t="s">
        <v>76</v>
      </c>
      <c r="B218" s="148"/>
      <c r="C218" s="148"/>
      <c r="D218" s="28"/>
      <c r="E218" s="28"/>
      <c r="F218" s="28"/>
      <c r="G218" s="4"/>
      <c r="H218" s="4"/>
    </row>
    <row r="219" spans="1:8">
      <c r="A219" s="145" t="s">
        <v>77</v>
      </c>
      <c r="B219" s="145"/>
      <c r="C219" s="145"/>
      <c r="D219" s="28">
        <v>5.32</v>
      </c>
      <c r="E219" s="28">
        <v>5.54</v>
      </c>
      <c r="F219" s="28">
        <v>6.39</v>
      </c>
      <c r="G219" s="4"/>
      <c r="H219" s="4"/>
    </row>
    <row r="220" spans="1:8">
      <c r="A220" s="145" t="s">
        <v>78</v>
      </c>
      <c r="B220" s="145"/>
      <c r="C220" s="145"/>
      <c r="D220" s="28">
        <v>0.01</v>
      </c>
      <c r="E220" s="28">
        <v>0.01</v>
      </c>
      <c r="F220" s="28">
        <v>0.02</v>
      </c>
      <c r="G220" s="15"/>
      <c r="H220" s="15"/>
    </row>
    <row r="221" spans="1:8">
      <c r="A221" s="145" t="s">
        <v>79</v>
      </c>
      <c r="B221" s="145"/>
      <c r="C221" s="145"/>
      <c r="D221" s="28">
        <v>5.32</v>
      </c>
      <c r="E221" s="28">
        <v>5.55</v>
      </c>
      <c r="F221" s="28">
        <v>6.42</v>
      </c>
      <c r="G221" s="4"/>
      <c r="H221" s="4"/>
    </row>
    <row r="222" spans="1:8" ht="19.3">
      <c r="A222" s="148" t="s">
        <v>80</v>
      </c>
      <c r="B222" s="148"/>
      <c r="C222" s="148"/>
      <c r="D222" s="28"/>
      <c r="E222" s="28"/>
      <c r="F222" s="28"/>
      <c r="G222" s="4"/>
      <c r="H222" s="4"/>
    </row>
    <row r="223" spans="1:8">
      <c r="A223" s="145" t="s">
        <v>77</v>
      </c>
      <c r="B223" s="145"/>
      <c r="C223" s="145"/>
      <c r="D223" s="28">
        <v>5.29</v>
      </c>
      <c r="E223" s="28">
        <v>5.5</v>
      </c>
      <c r="F223" s="28">
        <v>6.34</v>
      </c>
      <c r="G223" s="4"/>
      <c r="H223" s="4"/>
    </row>
    <row r="224" spans="1:8">
      <c r="A224" s="145" t="s">
        <v>78</v>
      </c>
      <c r="B224" s="145"/>
      <c r="C224" s="145"/>
      <c r="D224" s="28">
        <v>1E-3</v>
      </c>
      <c r="E224" s="28">
        <v>1E-3</v>
      </c>
      <c r="F224" s="28">
        <v>2E-3</v>
      </c>
      <c r="G224" s="15"/>
      <c r="H224" s="15"/>
    </row>
    <row r="225" spans="1:8">
      <c r="A225" s="145" t="s">
        <v>79</v>
      </c>
      <c r="B225" s="145"/>
      <c r="C225" s="145"/>
      <c r="D225" s="28">
        <v>5.29</v>
      </c>
      <c r="E225" s="28">
        <v>5.51</v>
      </c>
      <c r="F225" s="28">
        <f>6.36</f>
        <v>6.36</v>
      </c>
      <c r="G225" s="4"/>
      <c r="H225" s="4"/>
    </row>
    <row r="226" spans="1:8" ht="19.3">
      <c r="A226" s="148" t="s">
        <v>81</v>
      </c>
      <c r="B226" s="148"/>
      <c r="C226" s="148"/>
      <c r="D226" s="28"/>
      <c r="E226" s="28"/>
      <c r="F226" s="28"/>
    </row>
    <row r="227" spans="1:8">
      <c r="A227" s="145" t="s">
        <v>82</v>
      </c>
      <c r="B227" s="145"/>
      <c r="C227" s="145"/>
      <c r="D227" s="28">
        <v>510.9</v>
      </c>
      <c r="E227" s="28">
        <v>528.6</v>
      </c>
      <c r="F227" s="28">
        <v>546.79999999999995</v>
      </c>
      <c r="G227" s="4"/>
      <c r="H227" s="4"/>
    </row>
    <row r="228" spans="1:8">
      <c r="A228" s="145" t="s">
        <v>83</v>
      </c>
      <c r="B228" s="145"/>
      <c r="C228" s="145"/>
      <c r="D228" s="28">
        <v>515.6</v>
      </c>
      <c r="E228" s="28">
        <v>533.20000000000005</v>
      </c>
      <c r="F228" s="28">
        <v>550.29999999999995</v>
      </c>
      <c r="G228" s="4"/>
      <c r="H228" s="4"/>
    </row>
    <row r="229" spans="1:8">
      <c r="A229" s="149" t="s">
        <v>84</v>
      </c>
      <c r="B229" s="149"/>
      <c r="C229" s="149"/>
      <c r="D229" s="30">
        <v>0</v>
      </c>
      <c r="E229" s="30">
        <v>0</v>
      </c>
      <c r="F229" s="31">
        <v>4.0999999999999996</v>
      </c>
      <c r="G229" s="41"/>
      <c r="H229" s="41"/>
    </row>
    <row r="230" spans="1:8">
      <c r="A230" s="146"/>
      <c r="B230" s="146"/>
      <c r="C230" s="146"/>
    </row>
  </sheetData>
  <mergeCells count="223">
    <mergeCell ref="A225:C225"/>
    <mergeCell ref="A226:C226"/>
    <mergeCell ref="A227:C227"/>
    <mergeCell ref="A228:C228"/>
    <mergeCell ref="A229:C229"/>
    <mergeCell ref="A230:C230"/>
    <mergeCell ref="M110:P112"/>
    <mergeCell ref="A216:C216"/>
    <mergeCell ref="A217:C217"/>
    <mergeCell ref="A218:C218"/>
    <mergeCell ref="A219:C219"/>
    <mergeCell ref="A220:C220"/>
    <mergeCell ref="A221:C221"/>
    <mergeCell ref="A222:C222"/>
    <mergeCell ref="A223:C223"/>
    <mergeCell ref="A224:C224"/>
    <mergeCell ref="A207:C207"/>
    <mergeCell ref="A208:C208"/>
    <mergeCell ref="A209:C209"/>
    <mergeCell ref="A210:C210"/>
    <mergeCell ref="A211:C211"/>
    <mergeCell ref="A212:C212"/>
    <mergeCell ref="A213:C213"/>
    <mergeCell ref="A214:C214"/>
    <mergeCell ref="A215:C215"/>
    <mergeCell ref="A196:C196"/>
    <mergeCell ref="A197:C197"/>
    <mergeCell ref="A198:C198"/>
    <mergeCell ref="A201:C201"/>
    <mergeCell ref="A202:C202"/>
    <mergeCell ref="A203:C203"/>
    <mergeCell ref="A204:C204"/>
    <mergeCell ref="A205:C205"/>
    <mergeCell ref="A206:C206"/>
    <mergeCell ref="A187:C187"/>
    <mergeCell ref="A188:C188"/>
    <mergeCell ref="A189:C189"/>
    <mergeCell ref="A190:C190"/>
    <mergeCell ref="A191:C191"/>
    <mergeCell ref="A192:C192"/>
    <mergeCell ref="A193:C193"/>
    <mergeCell ref="A194:C194"/>
    <mergeCell ref="A195:C195"/>
    <mergeCell ref="A178:C178"/>
    <mergeCell ref="A179:C179"/>
    <mergeCell ref="A180:C180"/>
    <mergeCell ref="A181:C181"/>
    <mergeCell ref="A182:C182"/>
    <mergeCell ref="A183:C183"/>
    <mergeCell ref="A184:C184"/>
    <mergeCell ref="A185:C185"/>
    <mergeCell ref="A186:C186"/>
    <mergeCell ref="A169:C169"/>
    <mergeCell ref="A170:C170"/>
    <mergeCell ref="A171:C171"/>
    <mergeCell ref="A172:C172"/>
    <mergeCell ref="A173:C173"/>
    <mergeCell ref="A174:C174"/>
    <mergeCell ref="A175:C175"/>
    <mergeCell ref="A176:C176"/>
    <mergeCell ref="A177:C177"/>
    <mergeCell ref="A160:C160"/>
    <mergeCell ref="A161:C161"/>
    <mergeCell ref="A162:C162"/>
    <mergeCell ref="A163:C163"/>
    <mergeCell ref="A164:C164"/>
    <mergeCell ref="A165:C165"/>
    <mergeCell ref="A166:C166"/>
    <mergeCell ref="A167:C167"/>
    <mergeCell ref="A168:C168"/>
    <mergeCell ref="A151:C151"/>
    <mergeCell ref="A152:C152"/>
    <mergeCell ref="A153:C153"/>
    <mergeCell ref="A154:C154"/>
    <mergeCell ref="A155:C155"/>
    <mergeCell ref="A156:C156"/>
    <mergeCell ref="A157:C157"/>
    <mergeCell ref="A158:C158"/>
    <mergeCell ref="A159:C159"/>
    <mergeCell ref="A142:C142"/>
    <mergeCell ref="A143:C143"/>
    <mergeCell ref="A144:C144"/>
    <mergeCell ref="A145:C145"/>
    <mergeCell ref="A146:C146"/>
    <mergeCell ref="A147:C147"/>
    <mergeCell ref="A148:C148"/>
    <mergeCell ref="A149:C149"/>
    <mergeCell ref="A150:C150"/>
    <mergeCell ref="A128:C128"/>
    <mergeCell ref="A129:C129"/>
    <mergeCell ref="A133:C133"/>
    <mergeCell ref="A136:C136"/>
    <mergeCell ref="A137:C137"/>
    <mergeCell ref="A138:C138"/>
    <mergeCell ref="A139:C139"/>
    <mergeCell ref="A140:C140"/>
    <mergeCell ref="A141:C141"/>
    <mergeCell ref="A119:C119"/>
    <mergeCell ref="A120:C120"/>
    <mergeCell ref="A121:C121"/>
    <mergeCell ref="A122:C122"/>
    <mergeCell ref="A123:C123"/>
    <mergeCell ref="A124:C124"/>
    <mergeCell ref="A125:C125"/>
    <mergeCell ref="A126:C126"/>
    <mergeCell ref="A127:C127"/>
    <mergeCell ref="A110:C110"/>
    <mergeCell ref="A111:C111"/>
    <mergeCell ref="A112:C112"/>
    <mergeCell ref="A113:C113"/>
    <mergeCell ref="A114:C114"/>
    <mergeCell ref="A115:C115"/>
    <mergeCell ref="A116:C116"/>
    <mergeCell ref="A117:C117"/>
    <mergeCell ref="A118:C118"/>
    <mergeCell ref="A101:C101"/>
    <mergeCell ref="A102:C102"/>
    <mergeCell ref="A103:C103"/>
    <mergeCell ref="A104:C104"/>
    <mergeCell ref="A105:C105"/>
    <mergeCell ref="A106:C106"/>
    <mergeCell ref="A107:C107"/>
    <mergeCell ref="A108:C108"/>
    <mergeCell ref="A109:C109"/>
    <mergeCell ref="A92:C92"/>
    <mergeCell ref="A93:C93"/>
    <mergeCell ref="A94:C94"/>
    <mergeCell ref="A95:C95"/>
    <mergeCell ref="A96:C96"/>
    <mergeCell ref="A97:C97"/>
    <mergeCell ref="A98:C98"/>
    <mergeCell ref="A99:C99"/>
    <mergeCell ref="A100:C100"/>
    <mergeCell ref="A83:C83"/>
    <mergeCell ref="A84:C84"/>
    <mergeCell ref="A85:C85"/>
    <mergeCell ref="A86:C86"/>
    <mergeCell ref="A87:C87"/>
    <mergeCell ref="A88:C88"/>
    <mergeCell ref="A89:C89"/>
    <mergeCell ref="A90:C90"/>
    <mergeCell ref="A91:C91"/>
    <mergeCell ref="A74:C74"/>
    <mergeCell ref="A75:C75"/>
    <mergeCell ref="A76:C76"/>
    <mergeCell ref="A77:C77"/>
    <mergeCell ref="A78:C78"/>
    <mergeCell ref="A79:C79"/>
    <mergeCell ref="A80:C80"/>
    <mergeCell ref="A81:C81"/>
    <mergeCell ref="A82:C82"/>
    <mergeCell ref="A65:C65"/>
    <mergeCell ref="A66:C66"/>
    <mergeCell ref="A67:C67"/>
    <mergeCell ref="A68:C68"/>
    <mergeCell ref="A69:C69"/>
    <mergeCell ref="A70:C70"/>
    <mergeCell ref="A71:C71"/>
    <mergeCell ref="A72:C72"/>
    <mergeCell ref="A73:C73"/>
    <mergeCell ref="A56:C56"/>
    <mergeCell ref="A57:C57"/>
    <mergeCell ref="A58:C58"/>
    <mergeCell ref="A59:C59"/>
    <mergeCell ref="A60:C60"/>
    <mergeCell ref="A61:C61"/>
    <mergeCell ref="A62:C62"/>
    <mergeCell ref="A63:C63"/>
    <mergeCell ref="A64:C64"/>
    <mergeCell ref="A47:C47"/>
    <mergeCell ref="A48:C48"/>
    <mergeCell ref="A49:C49"/>
    <mergeCell ref="A50:C50"/>
    <mergeCell ref="A51:C51"/>
    <mergeCell ref="A52:C52"/>
    <mergeCell ref="A53:C53"/>
    <mergeCell ref="A54:C54"/>
    <mergeCell ref="A55:C55"/>
    <mergeCell ref="A37:C37"/>
    <mergeCell ref="A38:C38"/>
    <mergeCell ref="A40:C40"/>
    <mergeCell ref="A41:C41"/>
    <mergeCell ref="A42:C42"/>
    <mergeCell ref="A43:C43"/>
    <mergeCell ref="A44:C44"/>
    <mergeCell ref="A45:C45"/>
    <mergeCell ref="A46:C46"/>
    <mergeCell ref="A28:C28"/>
    <mergeCell ref="A29:C29"/>
    <mergeCell ref="A30:C30"/>
    <mergeCell ref="A31:C31"/>
    <mergeCell ref="A32:C32"/>
    <mergeCell ref="A33:C33"/>
    <mergeCell ref="A34:C34"/>
    <mergeCell ref="A35:C35"/>
    <mergeCell ref="A36:C36"/>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C1"/>
    <mergeCell ref="A2:C2"/>
    <mergeCell ref="A3:C3"/>
    <mergeCell ref="A4:C4"/>
    <mergeCell ref="A5:C5"/>
    <mergeCell ref="A6:C6"/>
    <mergeCell ref="A7:C7"/>
    <mergeCell ref="A8:C8"/>
    <mergeCell ref="A9:C9"/>
  </mergeCells>
  <pageMargins left="0.69930555555555596" right="0.69930555555555596" top="0.75" bottom="0.75" header="0.3" footer="0.3"/>
  <ignoredErrors>
    <ignoredError sqref="I44 J47:K47" formula="1"/>
    <ignoredError sqref="D55:F55 D103 E87:F87 F10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5"/>
  <sheetViews>
    <sheetView topLeftCell="A24" zoomScale="155" zoomScaleNormal="155" workbookViewId="0">
      <selection activeCell="I35" sqref="I35"/>
    </sheetView>
  </sheetViews>
  <sheetFormatPr defaultColWidth="9" defaultRowHeight="14.6"/>
  <sheetData>
    <row r="1" spans="1:7">
      <c r="A1" s="146" t="s">
        <v>310</v>
      </c>
      <c r="B1" s="146"/>
      <c r="C1" s="146"/>
      <c r="D1" s="146"/>
      <c r="E1" s="146"/>
      <c r="F1" s="146"/>
      <c r="G1" s="146"/>
    </row>
    <row r="2" spans="1:7">
      <c r="A2" s="155" t="s">
        <v>329</v>
      </c>
      <c r="B2" s="155"/>
      <c r="C2" s="155"/>
      <c r="D2" s="2">
        <v>2017</v>
      </c>
      <c r="E2" s="2">
        <v>2018</v>
      </c>
      <c r="F2" s="2">
        <v>2019</v>
      </c>
      <c r="G2" s="2">
        <v>2020</v>
      </c>
    </row>
    <row r="3" spans="1:7">
      <c r="A3" s="141" t="s">
        <v>61</v>
      </c>
      <c r="B3" s="141"/>
      <c r="C3" s="141"/>
    </row>
    <row r="4" spans="1:7">
      <c r="A4" s="145" t="s">
        <v>62</v>
      </c>
      <c r="B4" s="145"/>
      <c r="C4" s="145"/>
      <c r="D4">
        <v>22734</v>
      </c>
      <c r="E4">
        <v>22734</v>
      </c>
      <c r="F4" s="6">
        <v>23133</v>
      </c>
      <c r="G4" s="4">
        <f t="shared" ref="G4:G17" si="0">F4*G127</f>
        <v>30171.014817281663</v>
      </c>
    </row>
    <row r="5" spans="1:7">
      <c r="A5" s="145" t="s">
        <v>63</v>
      </c>
      <c r="B5" s="145"/>
      <c r="C5" s="145"/>
      <c r="D5">
        <v>249</v>
      </c>
      <c r="E5">
        <v>243</v>
      </c>
      <c r="F5">
        <v>265</v>
      </c>
      <c r="G5" s="4">
        <f t="shared" si="0"/>
        <v>279.27355513012884</v>
      </c>
    </row>
    <row r="6" spans="1:7">
      <c r="A6" s="145" t="s">
        <v>64</v>
      </c>
      <c r="B6" s="145"/>
      <c r="C6" s="145"/>
      <c r="D6">
        <f>SUM(D4:D5)</f>
        <v>22983</v>
      </c>
      <c r="E6">
        <f>SUM(E4:E5)</f>
        <v>22977</v>
      </c>
      <c r="F6" s="6">
        <f>SUM(F4:F5)</f>
        <v>23398</v>
      </c>
      <c r="G6" s="4">
        <f t="shared" si="0"/>
        <v>30587.817149227609</v>
      </c>
    </row>
    <row r="7" spans="1:7">
      <c r="A7" s="145" t="s">
        <v>65</v>
      </c>
      <c r="B7" s="145"/>
      <c r="C7" s="145"/>
      <c r="D7">
        <v>16795</v>
      </c>
      <c r="E7">
        <v>16900</v>
      </c>
      <c r="F7" s="6">
        <v>17056</v>
      </c>
      <c r="G7" s="4">
        <f t="shared" si="0"/>
        <v>22742.623348894453</v>
      </c>
    </row>
    <row r="8" spans="1:7">
      <c r="A8" s="145" t="s">
        <v>66</v>
      </c>
      <c r="B8" s="145"/>
      <c r="C8" s="145"/>
      <c r="D8">
        <v>4454</v>
      </c>
      <c r="E8">
        <v>4376</v>
      </c>
      <c r="F8" s="6">
        <v>4504</v>
      </c>
      <c r="G8" s="4">
        <f t="shared" si="0"/>
        <v>5200.9890067253955</v>
      </c>
    </row>
    <row r="9" spans="1:7">
      <c r="A9" s="145" t="s">
        <v>67</v>
      </c>
      <c r="B9" s="145"/>
      <c r="C9" s="145"/>
      <c r="D9">
        <v>605</v>
      </c>
      <c r="E9">
        <v>584</v>
      </c>
      <c r="F9" s="6">
        <v>640</v>
      </c>
      <c r="G9" s="4">
        <f t="shared" si="0"/>
        <v>708.77768662838389</v>
      </c>
    </row>
    <row r="10" spans="1:7">
      <c r="A10" s="145" t="s">
        <v>68</v>
      </c>
      <c r="B10" s="145"/>
      <c r="C10" s="145"/>
      <c r="D10">
        <v>1129</v>
      </c>
      <c r="E10">
        <v>1117</v>
      </c>
      <c r="F10" s="6">
        <v>1198</v>
      </c>
      <c r="G10" s="4">
        <f t="shared" si="0"/>
        <v>1540.8922079994618</v>
      </c>
    </row>
    <row r="11" spans="1:7">
      <c r="A11" s="145" t="s">
        <v>69</v>
      </c>
      <c r="B11" s="145"/>
      <c r="C11" s="145"/>
      <c r="D11">
        <v>131</v>
      </c>
      <c r="E11">
        <v>110</v>
      </c>
      <c r="F11" s="6">
        <v>118</v>
      </c>
      <c r="G11" s="4">
        <f t="shared" si="0"/>
        <v>118.0454020777222</v>
      </c>
    </row>
    <row r="12" spans="1:7">
      <c r="A12" s="145" t="s">
        <v>70</v>
      </c>
      <c r="B12" s="145"/>
      <c r="C12" s="145"/>
      <c r="D12" s="12">
        <v>-14</v>
      </c>
      <c r="E12" s="12">
        <v>-7</v>
      </c>
      <c r="F12" s="6">
        <v>29</v>
      </c>
      <c r="G12" s="12">
        <f t="shared" si="0"/>
        <v>-23.763888888888889</v>
      </c>
    </row>
    <row r="13" spans="1:7">
      <c r="A13" s="145" t="s">
        <v>71</v>
      </c>
      <c r="B13" s="145"/>
      <c r="C13" s="145"/>
      <c r="D13">
        <v>1012</v>
      </c>
      <c r="E13">
        <v>1014</v>
      </c>
      <c r="F13" s="6">
        <v>1051</v>
      </c>
      <c r="G13" s="4">
        <f t="shared" si="0"/>
        <v>1360.3311475639503</v>
      </c>
    </row>
    <row r="14" spans="1:7">
      <c r="A14" s="145" t="s">
        <v>72</v>
      </c>
      <c r="B14" s="145"/>
      <c r="C14" s="145"/>
      <c r="D14" s="12">
        <v>-76</v>
      </c>
      <c r="E14">
        <v>216</v>
      </c>
      <c r="F14" s="6">
        <v>218</v>
      </c>
      <c r="G14" s="4">
        <f t="shared" si="0"/>
        <v>202.74060430418319</v>
      </c>
    </row>
    <row r="15" spans="1:7">
      <c r="A15" s="145" t="s">
        <v>73</v>
      </c>
      <c r="B15" s="145"/>
      <c r="C15" s="145"/>
      <c r="D15">
        <v>1088</v>
      </c>
      <c r="E15">
        <v>798</v>
      </c>
      <c r="F15" s="6">
        <v>833</v>
      </c>
      <c r="G15" s="4">
        <f t="shared" si="0"/>
        <v>1030.9796227143961</v>
      </c>
    </row>
    <row r="16" spans="1:7">
      <c r="A16" s="145" t="s">
        <v>74</v>
      </c>
      <c r="B16" s="145"/>
      <c r="C16" s="145"/>
      <c r="D16" s="12">
        <v>-1</v>
      </c>
      <c r="E16">
        <v>1</v>
      </c>
      <c r="F16" s="6">
        <v>1</v>
      </c>
      <c r="G16" s="51">
        <f t="shared" si="0"/>
        <v>-6.9444444444444461E-2</v>
      </c>
    </row>
    <row r="17" spans="1:7">
      <c r="A17" s="147" t="s">
        <v>75</v>
      </c>
      <c r="B17" s="147"/>
      <c r="C17" s="147"/>
      <c r="D17">
        <f>SUM(D15:D16)</f>
        <v>1087</v>
      </c>
      <c r="E17">
        <f>SUM(E15:E16)</f>
        <v>799</v>
      </c>
      <c r="F17">
        <f>SUM(F15:F16)</f>
        <v>834</v>
      </c>
      <c r="G17" s="4">
        <f t="shared" si="0"/>
        <v>1022.7480207517091</v>
      </c>
    </row>
    <row r="18" spans="1:7" ht="19.3">
      <c r="A18" s="148" t="s">
        <v>76</v>
      </c>
      <c r="B18" s="148"/>
      <c r="C18" s="148"/>
      <c r="G18" s="4"/>
    </row>
    <row r="19" spans="1:7">
      <c r="A19" s="145" t="s">
        <v>77</v>
      </c>
      <c r="B19" s="145"/>
      <c r="C19" s="145"/>
      <c r="D19" s="52">
        <v>2.0099999999999998</v>
      </c>
      <c r="E19" s="52">
        <v>1.53</v>
      </c>
      <c r="F19" s="52">
        <v>1.64</v>
      </c>
      <c r="G19" s="4">
        <f>F19*G142</f>
        <v>2.0468004459308804</v>
      </c>
    </row>
    <row r="20" spans="1:7">
      <c r="A20" s="145" t="s">
        <v>78</v>
      </c>
      <c r="B20" s="145"/>
      <c r="C20" s="145"/>
      <c r="D20" s="16" t="s">
        <v>330</v>
      </c>
      <c r="E20" s="16" t="s">
        <v>330</v>
      </c>
      <c r="F20" s="16" t="s">
        <v>330</v>
      </c>
      <c r="G20" s="53">
        <v>0</v>
      </c>
    </row>
    <row r="21" spans="1:7">
      <c r="A21" s="145" t="s">
        <v>79</v>
      </c>
      <c r="B21" s="145"/>
      <c r="C21" s="145"/>
      <c r="D21" s="52">
        <v>2.0099999999999998</v>
      </c>
      <c r="E21" s="52">
        <v>1.54</v>
      </c>
      <c r="F21" s="52">
        <v>1.65</v>
      </c>
      <c r="G21" s="4">
        <f>F21*G144</f>
        <v>2.0490163438256661</v>
      </c>
    </row>
    <row r="22" spans="1:7" ht="19.3">
      <c r="A22" s="148" t="s">
        <v>80</v>
      </c>
      <c r="B22" s="148"/>
      <c r="C22" s="148"/>
      <c r="G22" s="4"/>
    </row>
    <row r="23" spans="1:7">
      <c r="A23" s="145" t="s">
        <v>77</v>
      </c>
      <c r="B23" s="145"/>
      <c r="C23" s="145"/>
      <c r="D23" s="52">
        <v>1.99</v>
      </c>
      <c r="E23" s="52">
        <v>1.52</v>
      </c>
      <c r="F23" s="52">
        <v>1.63</v>
      </c>
      <c r="G23" s="4">
        <f>F23*G146</f>
        <v>2.138350778129734</v>
      </c>
    </row>
    <row r="24" spans="1:7">
      <c r="A24" s="145" t="s">
        <v>78</v>
      </c>
      <c r="B24" s="145"/>
      <c r="C24" s="145"/>
      <c r="D24" s="16" t="s">
        <v>330</v>
      </c>
      <c r="E24" s="16" t="s">
        <v>330</v>
      </c>
      <c r="F24" s="16" t="s">
        <v>330</v>
      </c>
      <c r="G24" s="53">
        <v>0</v>
      </c>
    </row>
    <row r="25" spans="1:7">
      <c r="A25" s="145" t="s">
        <v>79</v>
      </c>
      <c r="B25" s="145"/>
      <c r="C25" s="145"/>
      <c r="D25" s="52">
        <v>1.99</v>
      </c>
      <c r="E25" s="52">
        <v>1.52</v>
      </c>
      <c r="F25" s="52">
        <v>1.63</v>
      </c>
      <c r="G25" s="4">
        <f>F25*G148</f>
        <v>2.113476433806226</v>
      </c>
    </row>
    <row r="26" spans="1:7">
      <c r="A26" s="145" t="s">
        <v>81</v>
      </c>
      <c r="B26" s="145"/>
      <c r="C26" s="145"/>
      <c r="G26" s="4"/>
    </row>
    <row r="27" spans="1:7">
      <c r="A27" s="145" t="s">
        <v>82</v>
      </c>
      <c r="B27" s="145"/>
      <c r="C27" s="145"/>
      <c r="D27">
        <v>541.5</v>
      </c>
      <c r="E27">
        <v>519.9</v>
      </c>
      <c r="F27">
        <v>506.2</v>
      </c>
      <c r="G27" s="4">
        <f>F27*G150</f>
        <v>501.57439565190577</v>
      </c>
    </row>
    <row r="28" spans="1:7">
      <c r="A28" s="146" t="s">
        <v>331</v>
      </c>
      <c r="B28" s="146"/>
      <c r="C28" s="146"/>
      <c r="D28" s="53">
        <v>0</v>
      </c>
      <c r="E28" s="53">
        <v>0</v>
      </c>
      <c r="F28" s="53">
        <v>0</v>
      </c>
      <c r="G28" s="53">
        <v>0</v>
      </c>
    </row>
    <row r="29" spans="1:7">
      <c r="A29" s="145" t="s">
        <v>83</v>
      </c>
      <c r="B29" s="145"/>
      <c r="C29" s="145"/>
      <c r="D29">
        <v>545.9</v>
      </c>
      <c r="E29">
        <v>524.29999999999995</v>
      </c>
      <c r="F29">
        <v>511.9</v>
      </c>
      <c r="G29" s="54">
        <f>F29*G152</f>
        <v>505.25069653614446</v>
      </c>
    </row>
    <row r="30" spans="1:7">
      <c r="A30" s="145" t="s">
        <v>84</v>
      </c>
      <c r="B30" s="145"/>
      <c r="C30" s="145"/>
      <c r="D30">
        <v>2.2000000000000002</v>
      </c>
      <c r="E30">
        <v>0.2</v>
      </c>
      <c r="F30" s="16" t="s">
        <v>330</v>
      </c>
      <c r="G30" s="53">
        <v>0</v>
      </c>
    </row>
    <row r="31" spans="1:7">
      <c r="A31" s="145" t="s">
        <v>332</v>
      </c>
      <c r="B31" s="145"/>
      <c r="C31" s="145"/>
      <c r="D31" s="52">
        <v>0.62</v>
      </c>
      <c r="E31" s="52">
        <v>0.64</v>
      </c>
      <c r="F31" s="52">
        <v>0.66</v>
      </c>
      <c r="G31" s="54">
        <f t="shared" ref="G31" si="1">F31*G153</f>
        <v>9.0933333333333338E-2</v>
      </c>
    </row>
    <row r="33" spans="1:9">
      <c r="A33" s="155" t="s">
        <v>333</v>
      </c>
      <c r="B33" s="155"/>
      <c r="C33" s="155"/>
      <c r="D33" s="2">
        <v>2017</v>
      </c>
      <c r="E33" s="2">
        <v>2018</v>
      </c>
      <c r="F33" s="2">
        <v>2019</v>
      </c>
      <c r="G33" s="2">
        <v>2020</v>
      </c>
    </row>
    <row r="34" spans="1:9">
      <c r="A34" s="141" t="s">
        <v>61</v>
      </c>
      <c r="B34" s="141"/>
      <c r="C34" s="141"/>
    </row>
    <row r="35" spans="1:9">
      <c r="A35" s="145" t="s">
        <v>62</v>
      </c>
      <c r="B35" s="145"/>
      <c r="C35" s="145"/>
      <c r="D35" s="28">
        <v>16667</v>
      </c>
      <c r="E35" s="28">
        <v>17590</v>
      </c>
      <c r="F35" s="22">
        <v>18414</v>
      </c>
      <c r="G35" s="28">
        <v>22336</v>
      </c>
      <c r="I35">
        <f>G48+G79+G109+834</f>
        <v>3822</v>
      </c>
    </row>
    <row r="36" spans="1:9">
      <c r="A36" s="145" t="s">
        <v>63</v>
      </c>
      <c r="B36" s="145"/>
      <c r="C36" s="145"/>
      <c r="D36" s="55" t="s">
        <v>330</v>
      </c>
      <c r="E36" s="28">
        <v>231</v>
      </c>
      <c r="F36" s="28">
        <v>251</v>
      </c>
      <c r="G36" s="28">
        <v>296</v>
      </c>
    </row>
    <row r="37" spans="1:9">
      <c r="A37" s="145" t="s">
        <v>64</v>
      </c>
      <c r="B37" s="145"/>
      <c r="C37" s="145"/>
      <c r="D37">
        <f>SUM(D35:D36)</f>
        <v>16667</v>
      </c>
      <c r="E37">
        <f>SUM(E35:E36)</f>
        <v>17821</v>
      </c>
      <c r="F37" s="6">
        <f>SUM(F35:F36)</f>
        <v>18665</v>
      </c>
      <c r="G37">
        <f>SUM(G35:G36)</f>
        <v>22632</v>
      </c>
    </row>
    <row r="38" spans="1:9">
      <c r="A38" s="145" t="s">
        <v>65</v>
      </c>
      <c r="B38" s="145"/>
      <c r="C38" s="145"/>
      <c r="D38" s="28">
        <v>11712</v>
      </c>
      <c r="E38" s="28">
        <v>12535</v>
      </c>
      <c r="F38" s="22">
        <v>12935</v>
      </c>
      <c r="G38" s="28">
        <v>15509</v>
      </c>
    </row>
    <row r="39" spans="1:9">
      <c r="A39" s="145" t="s">
        <v>66</v>
      </c>
      <c r="B39" s="145"/>
      <c r="C39" s="145"/>
      <c r="D39" s="28">
        <v>3512</v>
      </c>
      <c r="E39" s="28">
        <v>3937</v>
      </c>
      <c r="F39" s="22">
        <v>4153</v>
      </c>
      <c r="G39" s="28">
        <v>4647</v>
      </c>
    </row>
    <row r="40" spans="1:9">
      <c r="A40" s="145" t="s">
        <v>67</v>
      </c>
      <c r="B40" s="145"/>
      <c r="C40" s="145"/>
      <c r="D40" s="28">
        <v>574</v>
      </c>
      <c r="E40" s="28">
        <v>530</v>
      </c>
      <c r="F40" s="28">
        <v>575</v>
      </c>
      <c r="G40" s="28">
        <v>541</v>
      </c>
    </row>
    <row r="41" spans="1:9">
      <c r="A41" s="145" t="s">
        <v>334</v>
      </c>
      <c r="B41" s="145"/>
      <c r="C41" s="145"/>
      <c r="D41" s="22">
        <f>D37-D38-D39-D40</f>
        <v>869</v>
      </c>
      <c r="E41" s="22">
        <f>E37-E38-E39-E40</f>
        <v>819</v>
      </c>
      <c r="F41" s="22">
        <f>F37-F38-F39-F40</f>
        <v>1002</v>
      </c>
      <c r="G41" s="22">
        <f>G37-G38-G39-G40</f>
        <v>1935</v>
      </c>
    </row>
    <row r="42" spans="1:9">
      <c r="A42" s="145" t="s">
        <v>69</v>
      </c>
      <c r="B42" s="145"/>
      <c r="C42" s="145"/>
      <c r="D42" s="28">
        <v>254</v>
      </c>
      <c r="E42" s="28">
        <v>115</v>
      </c>
      <c r="F42" s="22">
        <v>113</v>
      </c>
      <c r="G42" s="28">
        <v>632</v>
      </c>
    </row>
    <row r="43" spans="1:9">
      <c r="A43" s="145" t="s">
        <v>70</v>
      </c>
      <c r="B43" s="145"/>
      <c r="C43" s="145"/>
      <c r="D43" s="56">
        <v>0</v>
      </c>
      <c r="E43" s="24">
        <v>-9</v>
      </c>
      <c r="F43" s="24">
        <v>-12</v>
      </c>
      <c r="G43" s="56">
        <v>5</v>
      </c>
    </row>
    <row r="44" spans="1:9">
      <c r="A44" s="145" t="s">
        <v>71</v>
      </c>
      <c r="B44" s="145"/>
      <c r="C44" s="145"/>
      <c r="D44" s="6">
        <f>D41-D42-D43</f>
        <v>615</v>
      </c>
      <c r="E44" s="6">
        <f>E41-E42-E43</f>
        <v>713</v>
      </c>
      <c r="F44" s="6">
        <f>F41-F42-F43</f>
        <v>901</v>
      </c>
      <c r="G44" s="6">
        <f>G41-G42-G43</f>
        <v>1298</v>
      </c>
    </row>
    <row r="45" spans="1:9">
      <c r="A45" s="145" t="s">
        <v>72</v>
      </c>
      <c r="B45" s="145"/>
      <c r="C45" s="145"/>
      <c r="D45" s="12">
        <v>137</v>
      </c>
      <c r="E45">
        <v>97</v>
      </c>
      <c r="F45" s="6">
        <v>195</v>
      </c>
      <c r="G45" s="12">
        <v>284</v>
      </c>
    </row>
    <row r="46" spans="1:9">
      <c r="A46" s="145" t="s">
        <v>73</v>
      </c>
      <c r="B46" s="145"/>
      <c r="C46" s="145"/>
      <c r="D46" s="6">
        <f>D44-D45</f>
        <v>478</v>
      </c>
      <c r="E46" s="6">
        <f>E44-E45</f>
        <v>616</v>
      </c>
      <c r="F46" s="6">
        <f>F44-F45</f>
        <v>706</v>
      </c>
      <c r="G46" s="6">
        <f>G44-G45</f>
        <v>1014</v>
      </c>
    </row>
    <row r="47" spans="1:9">
      <c r="A47" s="145" t="s">
        <v>74</v>
      </c>
      <c r="B47" s="145"/>
      <c r="C47" s="145"/>
      <c r="D47" s="12">
        <v>2</v>
      </c>
      <c r="E47">
        <v>6</v>
      </c>
      <c r="F47" s="6">
        <v>8</v>
      </c>
      <c r="G47" s="53">
        <v>0</v>
      </c>
    </row>
    <row r="48" spans="1:9">
      <c r="A48" s="147" t="s">
        <v>75</v>
      </c>
      <c r="B48" s="147"/>
      <c r="C48" s="147"/>
      <c r="D48">
        <f>SUM(D46:D47)</f>
        <v>480</v>
      </c>
      <c r="E48">
        <f>SUM(E46:E47)</f>
        <v>622</v>
      </c>
      <c r="F48">
        <f>SUM(F46:F47)</f>
        <v>714</v>
      </c>
      <c r="G48">
        <f>SUM(G46:G47)</f>
        <v>1014</v>
      </c>
    </row>
    <row r="49" spans="1:7" ht="19.3">
      <c r="A49" s="148" t="s">
        <v>76</v>
      </c>
      <c r="B49" s="148"/>
      <c r="C49" s="148"/>
    </row>
    <row r="50" spans="1:7">
      <c r="A50" s="145" t="s">
        <v>77</v>
      </c>
      <c r="B50" s="145"/>
      <c r="C50" s="145"/>
      <c r="D50" s="57">
        <v>0.88</v>
      </c>
      <c r="E50" s="57">
        <v>1.17</v>
      </c>
      <c r="F50" s="57">
        <v>1.38</v>
      </c>
      <c r="G50" s="57">
        <v>2.02</v>
      </c>
    </row>
    <row r="51" spans="1:7">
      <c r="A51" s="145" t="s">
        <v>78</v>
      </c>
      <c r="B51" s="145"/>
      <c r="C51" s="145"/>
      <c r="D51" s="55" t="s">
        <v>330</v>
      </c>
      <c r="E51" s="28">
        <v>0.01</v>
      </c>
      <c r="F51" s="28">
        <v>0.02</v>
      </c>
      <c r="G51" s="53">
        <v>0</v>
      </c>
    </row>
    <row r="52" spans="1:7">
      <c r="A52" s="145" t="s">
        <v>79</v>
      </c>
      <c r="B52" s="145"/>
      <c r="C52" s="145"/>
      <c r="D52" s="52">
        <f>SUM(D50:D51)</f>
        <v>0.88</v>
      </c>
      <c r="E52" s="52">
        <f t="shared" ref="E52:G52" si="2">SUM(E50:E51)</f>
        <v>1.18</v>
      </c>
      <c r="F52" s="52">
        <f t="shared" si="2"/>
        <v>1.4</v>
      </c>
      <c r="G52" s="52">
        <f t="shared" si="2"/>
        <v>2.02</v>
      </c>
    </row>
    <row r="53" spans="1:7" ht="19.3">
      <c r="A53" s="148" t="s">
        <v>80</v>
      </c>
      <c r="B53" s="148"/>
      <c r="C53" s="148"/>
    </row>
    <row r="54" spans="1:7">
      <c r="A54" s="145" t="s">
        <v>77</v>
      </c>
      <c r="B54" s="145"/>
      <c r="C54" s="145"/>
      <c r="D54" s="57">
        <v>0.87</v>
      </c>
      <c r="E54" s="57">
        <v>1.06</v>
      </c>
      <c r="F54" s="57">
        <v>1.37</v>
      </c>
      <c r="G54" s="57">
        <v>2.0099999999999998</v>
      </c>
    </row>
    <row r="55" spans="1:7">
      <c r="A55" s="145" t="s">
        <v>78</v>
      </c>
      <c r="B55" s="145"/>
      <c r="C55" s="145"/>
      <c r="D55" s="55" t="s">
        <v>330</v>
      </c>
      <c r="E55" s="28">
        <v>0.01</v>
      </c>
      <c r="F55" s="28">
        <v>0.02</v>
      </c>
      <c r="G55" s="53">
        <v>0</v>
      </c>
    </row>
    <row r="56" spans="1:7">
      <c r="A56" s="145" t="s">
        <v>79</v>
      </c>
      <c r="B56" s="145"/>
      <c r="C56" s="145"/>
      <c r="D56" s="52">
        <v>0.88</v>
      </c>
      <c r="E56" s="52">
        <f>SUM(E54:E55)</f>
        <v>1.07</v>
      </c>
      <c r="F56" s="52">
        <f t="shared" ref="F56:G56" si="3">SUM(F54:F55)</f>
        <v>1.3900000000000001</v>
      </c>
      <c r="G56" s="52">
        <f t="shared" si="3"/>
        <v>2.0099999999999998</v>
      </c>
    </row>
    <row r="57" spans="1:7">
      <c r="A57" s="145" t="s">
        <v>81</v>
      </c>
      <c r="B57" s="145"/>
      <c r="C57" s="145"/>
    </row>
    <row r="58" spans="1:7">
      <c r="A58" s="145" t="s">
        <v>82</v>
      </c>
      <c r="B58" s="145"/>
      <c r="C58" s="145"/>
      <c r="D58" s="28">
        <v>544.5</v>
      </c>
      <c r="E58" s="28">
        <v>525.9</v>
      </c>
      <c r="F58" s="28">
        <v>509.7</v>
      </c>
      <c r="G58" s="28">
        <v>500.6</v>
      </c>
    </row>
    <row r="59" spans="1:7">
      <c r="A59" s="146" t="s">
        <v>331</v>
      </c>
      <c r="B59" s="146"/>
      <c r="C59" s="146"/>
      <c r="D59" s="28">
        <v>3.4</v>
      </c>
      <c r="E59" s="55" t="s">
        <v>330</v>
      </c>
      <c r="F59" s="55" t="s">
        <v>330</v>
      </c>
      <c r="G59" s="53">
        <v>0</v>
      </c>
    </row>
    <row r="60" spans="1:7">
      <c r="A60" s="145" t="s">
        <v>83</v>
      </c>
      <c r="B60" s="145"/>
      <c r="C60" s="145"/>
      <c r="D60" s="28">
        <v>547.9</v>
      </c>
      <c r="E60" s="28">
        <v>531.20000000000005</v>
      </c>
      <c r="F60" s="28">
        <v>514.79999999999995</v>
      </c>
      <c r="G60" s="28">
        <v>505.4</v>
      </c>
    </row>
    <row r="61" spans="1:7">
      <c r="A61" s="145" t="s">
        <v>84</v>
      </c>
      <c r="B61" s="145"/>
      <c r="C61" s="145"/>
      <c r="D61">
        <v>4.5</v>
      </c>
      <c r="E61" s="55" t="s">
        <v>330</v>
      </c>
      <c r="F61" s="55" t="s">
        <v>330</v>
      </c>
      <c r="G61" s="53">
        <v>0</v>
      </c>
    </row>
    <row r="62" spans="1:7">
      <c r="A62" s="145" t="s">
        <v>335</v>
      </c>
      <c r="B62" s="145"/>
      <c r="C62" s="145"/>
      <c r="D62" s="28">
        <v>0.62</v>
      </c>
      <c r="E62" s="58" t="s">
        <v>330</v>
      </c>
      <c r="F62" s="58" t="s">
        <v>330</v>
      </c>
      <c r="G62" s="53">
        <v>0</v>
      </c>
    </row>
    <row r="64" spans="1:7">
      <c r="A64" s="155" t="s">
        <v>336</v>
      </c>
      <c r="B64" s="155"/>
      <c r="C64" s="155"/>
      <c r="D64" s="2">
        <v>2017</v>
      </c>
      <c r="E64" s="2">
        <v>2018</v>
      </c>
      <c r="F64" s="2">
        <v>2019</v>
      </c>
      <c r="G64" s="2">
        <v>2020</v>
      </c>
    </row>
    <row r="65" spans="1:7">
      <c r="A65" s="141" t="s">
        <v>61</v>
      </c>
      <c r="B65" s="141"/>
      <c r="C65" s="141"/>
    </row>
    <row r="66" spans="1:7">
      <c r="A66" s="145" t="s">
        <v>62</v>
      </c>
      <c r="B66" s="145"/>
      <c r="C66" s="145"/>
      <c r="D66" s="28">
        <v>16410</v>
      </c>
      <c r="E66" s="28">
        <v>17552</v>
      </c>
      <c r="F66" s="22">
        <v>18183</v>
      </c>
      <c r="G66" s="28">
        <v>22696</v>
      </c>
    </row>
    <row r="67" spans="1:7">
      <c r="A67" s="145" t="s">
        <v>63</v>
      </c>
      <c r="B67" s="145"/>
      <c r="C67" s="145"/>
      <c r="D67" s="55">
        <v>224</v>
      </c>
      <c r="E67" s="28">
        <v>224</v>
      </c>
      <c r="F67" s="28">
        <v>239</v>
      </c>
      <c r="G67" s="28">
        <v>279</v>
      </c>
    </row>
    <row r="68" spans="1:7">
      <c r="A68" s="145" t="s">
        <v>64</v>
      </c>
      <c r="B68" s="145"/>
      <c r="C68" s="145"/>
      <c r="D68" s="29">
        <f>SUM(D66:D67)</f>
        <v>16634</v>
      </c>
      <c r="E68" s="29">
        <f>SUM(E66:E67)</f>
        <v>17776</v>
      </c>
      <c r="F68" s="59">
        <f>SUM(F66:F67)</f>
        <v>18422</v>
      </c>
      <c r="G68">
        <f>SUM(G66:G67)</f>
        <v>22975</v>
      </c>
    </row>
    <row r="69" spans="1:7">
      <c r="A69" s="145" t="s">
        <v>65</v>
      </c>
      <c r="B69" s="145"/>
      <c r="C69" s="145"/>
      <c r="D69" s="28">
        <v>11419</v>
      </c>
      <c r="E69" s="28">
        <v>12239</v>
      </c>
      <c r="F69" s="22">
        <v>12625</v>
      </c>
      <c r="G69" s="28">
        <v>15673</v>
      </c>
    </row>
    <row r="70" spans="1:7">
      <c r="A70" s="145" t="s">
        <v>66</v>
      </c>
      <c r="B70" s="145"/>
      <c r="C70" s="145"/>
      <c r="D70" s="28">
        <v>3601</v>
      </c>
      <c r="E70" s="28">
        <v>3865</v>
      </c>
      <c r="F70" s="22">
        <v>3912</v>
      </c>
      <c r="G70" s="28">
        <v>4460</v>
      </c>
    </row>
    <row r="71" spans="1:7">
      <c r="A71" s="145" t="s">
        <v>67</v>
      </c>
      <c r="B71" s="145"/>
      <c r="C71" s="145"/>
      <c r="D71" s="28">
        <v>521</v>
      </c>
      <c r="E71" s="28">
        <v>539</v>
      </c>
      <c r="F71" s="28">
        <v>561</v>
      </c>
      <c r="G71" s="28">
        <v>542</v>
      </c>
    </row>
    <row r="72" spans="1:7">
      <c r="A72" s="145" t="s">
        <v>334</v>
      </c>
      <c r="B72" s="145"/>
      <c r="C72" s="145"/>
      <c r="D72" s="6">
        <f>D68-D69-D70-D71</f>
        <v>1093</v>
      </c>
      <c r="E72" s="6">
        <f>E68-E69-E70-E71</f>
        <v>1133</v>
      </c>
      <c r="F72" s="6">
        <f>F68-F69-F70-F71</f>
        <v>1324</v>
      </c>
      <c r="G72" s="6">
        <f>G68-G69-G70-G71</f>
        <v>2300</v>
      </c>
    </row>
    <row r="73" spans="1:7">
      <c r="A73" s="145" t="s">
        <v>69</v>
      </c>
      <c r="B73" s="145"/>
      <c r="C73" s="145"/>
      <c r="D73" s="28">
        <v>131</v>
      </c>
      <c r="E73" s="28">
        <v>115</v>
      </c>
      <c r="F73" s="22">
        <v>120</v>
      </c>
      <c r="G73" s="28">
        <v>122</v>
      </c>
    </row>
    <row r="74" spans="1:7">
      <c r="A74" s="145" t="s">
        <v>70</v>
      </c>
      <c r="B74" s="145"/>
      <c r="C74" s="145"/>
      <c r="D74" s="24">
        <v>-15</v>
      </c>
      <c r="E74" s="24">
        <v>-4</v>
      </c>
      <c r="F74" s="24">
        <v>-13</v>
      </c>
      <c r="G74" s="24">
        <v>-11</v>
      </c>
    </row>
    <row r="75" spans="1:7">
      <c r="A75" s="145" t="s">
        <v>71</v>
      </c>
      <c r="B75" s="145"/>
      <c r="C75" s="145"/>
      <c r="D75" s="6">
        <f>D72-D73-D74</f>
        <v>977</v>
      </c>
      <c r="E75" s="6">
        <f>E72-E73-E74</f>
        <v>1022</v>
      </c>
      <c r="F75" s="6">
        <f>F72-F73-F74</f>
        <v>1217</v>
      </c>
      <c r="G75" s="6">
        <f>G72-G73-G74</f>
        <v>2189</v>
      </c>
    </row>
    <row r="76" spans="1:7">
      <c r="A76" s="145" t="s">
        <v>72</v>
      </c>
      <c r="B76" s="145"/>
      <c r="C76" s="145"/>
      <c r="D76" s="24">
        <v>307</v>
      </c>
      <c r="E76" s="28">
        <v>223</v>
      </c>
      <c r="F76" s="22">
        <v>279</v>
      </c>
      <c r="G76" s="28">
        <v>499</v>
      </c>
    </row>
    <row r="77" spans="1:7">
      <c r="A77" s="145" t="s">
        <v>73</v>
      </c>
      <c r="B77" s="145"/>
      <c r="C77" s="145"/>
      <c r="D77" s="6">
        <f>D75-D76</f>
        <v>670</v>
      </c>
      <c r="E77" s="6">
        <f>E75-E76</f>
        <v>799</v>
      </c>
      <c r="F77" s="6">
        <f>F75-F76</f>
        <v>938</v>
      </c>
      <c r="G77" s="6">
        <f>G75-G76</f>
        <v>1690</v>
      </c>
    </row>
    <row r="78" spans="1:7">
      <c r="A78" s="145" t="s">
        <v>74</v>
      </c>
      <c r="B78" s="145"/>
      <c r="C78" s="145"/>
      <c r="D78" s="24">
        <v>1</v>
      </c>
      <c r="E78" s="60" t="s">
        <v>330</v>
      </c>
      <c r="F78" s="60" t="s">
        <v>330</v>
      </c>
      <c r="G78" s="53">
        <v>0</v>
      </c>
    </row>
    <row r="79" spans="1:7">
      <c r="A79" s="147" t="s">
        <v>75</v>
      </c>
      <c r="B79" s="147"/>
      <c r="C79" s="147"/>
      <c r="D79">
        <f>SUM(D77:D78)</f>
        <v>671</v>
      </c>
      <c r="E79">
        <f>SUM(E77:E78)</f>
        <v>799</v>
      </c>
      <c r="F79">
        <f>SUM(F77:F78)</f>
        <v>938</v>
      </c>
      <c r="G79">
        <f>SUM(G77:G78)</f>
        <v>1690</v>
      </c>
    </row>
    <row r="80" spans="1:7" ht="19.3">
      <c r="A80" s="148" t="s">
        <v>76</v>
      </c>
      <c r="B80" s="148"/>
      <c r="C80" s="148"/>
    </row>
    <row r="81" spans="1:7">
      <c r="A81" s="145" t="s">
        <v>77</v>
      </c>
      <c r="B81" s="145"/>
      <c r="C81" s="145"/>
      <c r="D81" s="57">
        <v>1.22</v>
      </c>
      <c r="E81" s="57">
        <v>1.5</v>
      </c>
      <c r="F81" s="57">
        <v>1.83</v>
      </c>
      <c r="G81" s="57">
        <v>3.38</v>
      </c>
    </row>
    <row r="82" spans="1:7">
      <c r="A82" s="145" t="s">
        <v>78</v>
      </c>
      <c r="B82" s="145"/>
      <c r="C82" s="145"/>
      <c r="D82" s="55" t="s">
        <v>330</v>
      </c>
      <c r="E82" s="55" t="s">
        <v>330</v>
      </c>
      <c r="F82" s="55" t="s">
        <v>330</v>
      </c>
      <c r="G82" s="53">
        <v>0</v>
      </c>
    </row>
    <row r="83" spans="1:7">
      <c r="A83" s="145" t="s">
        <v>79</v>
      </c>
      <c r="B83" s="145"/>
      <c r="C83" s="145"/>
      <c r="D83" s="57">
        <f>SUM(D81:D82)</f>
        <v>1.22</v>
      </c>
      <c r="E83" s="57">
        <f t="shared" ref="E83:G83" si="4">SUM(E81:E82)</f>
        <v>1.5</v>
      </c>
      <c r="F83" s="57">
        <f t="shared" si="4"/>
        <v>1.83</v>
      </c>
      <c r="G83" s="57">
        <f t="shared" si="4"/>
        <v>3.38</v>
      </c>
    </row>
    <row r="84" spans="1:7" ht="19.3">
      <c r="A84" s="148" t="s">
        <v>80</v>
      </c>
      <c r="B84" s="148"/>
      <c r="C84" s="148"/>
      <c r="G84" s="28"/>
    </row>
    <row r="85" spans="1:7">
      <c r="A85" s="145" t="s">
        <v>77</v>
      </c>
      <c r="B85" s="145"/>
      <c r="C85" s="145"/>
      <c r="D85" s="57">
        <v>1.21</v>
      </c>
      <c r="E85" s="57">
        <v>1.49</v>
      </c>
      <c r="F85" s="57">
        <v>1.82</v>
      </c>
      <c r="G85" s="57">
        <v>3.35</v>
      </c>
    </row>
    <row r="86" spans="1:7">
      <c r="A86" s="145" t="s">
        <v>78</v>
      </c>
      <c r="B86" s="145"/>
      <c r="C86" s="145"/>
      <c r="D86" s="55" t="s">
        <v>330</v>
      </c>
      <c r="E86" s="55" t="s">
        <v>330</v>
      </c>
      <c r="F86" s="55" t="s">
        <v>330</v>
      </c>
      <c r="G86" s="53">
        <v>0</v>
      </c>
    </row>
    <row r="87" spans="1:7">
      <c r="A87" s="145" t="s">
        <v>79</v>
      </c>
      <c r="B87" s="145"/>
      <c r="C87" s="145"/>
      <c r="D87" s="57">
        <v>1.22</v>
      </c>
      <c r="E87" s="57">
        <f t="shared" ref="E87:G87" si="5">SUM(E85:E86)</f>
        <v>1.49</v>
      </c>
      <c r="F87" s="57">
        <f t="shared" si="5"/>
        <v>1.82</v>
      </c>
      <c r="G87" s="57">
        <f t="shared" si="5"/>
        <v>3.35</v>
      </c>
    </row>
    <row r="88" spans="1:7">
      <c r="A88" s="145" t="s">
        <v>81</v>
      </c>
      <c r="B88" s="145"/>
      <c r="C88" s="145"/>
      <c r="G88" s="28"/>
    </row>
    <row r="89" spans="1:7">
      <c r="A89" s="145" t="s">
        <v>82</v>
      </c>
      <c r="B89" s="145"/>
      <c r="C89" s="145"/>
      <c r="D89" s="28">
        <v>549.29999999999995</v>
      </c>
      <c r="E89" s="28">
        <v>531.70000000000005</v>
      </c>
      <c r="F89" s="28">
        <v>512.1</v>
      </c>
      <c r="G89" s="28">
        <v>500.1</v>
      </c>
    </row>
    <row r="90" spans="1:7">
      <c r="A90" s="146" t="s">
        <v>331</v>
      </c>
      <c r="B90" s="146"/>
      <c r="C90" s="146"/>
      <c r="D90" s="28">
        <v>2.6</v>
      </c>
      <c r="E90" s="55">
        <v>4.5999999999999996</v>
      </c>
      <c r="F90" s="55" t="s">
        <v>330</v>
      </c>
      <c r="G90" s="53">
        <v>0</v>
      </c>
    </row>
    <row r="91" spans="1:7">
      <c r="A91" s="145" t="s">
        <v>83</v>
      </c>
      <c r="B91" s="145"/>
      <c r="C91" s="145"/>
      <c r="D91" s="28">
        <f>SUM(D89:D90)</f>
        <v>551.9</v>
      </c>
      <c r="E91" s="28">
        <f>SUM(E89:E90)</f>
        <v>536.30000000000007</v>
      </c>
      <c r="F91" s="28">
        <v>516.1</v>
      </c>
      <c r="G91" s="28">
        <v>504.4</v>
      </c>
    </row>
    <row r="92" spans="1:7">
      <c r="A92" s="145" t="s">
        <v>84</v>
      </c>
      <c r="B92" s="145"/>
      <c r="C92" s="145"/>
      <c r="D92" s="28">
        <v>5.2</v>
      </c>
      <c r="E92" s="55" t="s">
        <v>330</v>
      </c>
      <c r="F92" s="55" t="s">
        <v>330</v>
      </c>
      <c r="G92" s="53">
        <v>0</v>
      </c>
    </row>
    <row r="93" spans="1:7">
      <c r="A93" s="145" t="s">
        <v>335</v>
      </c>
      <c r="B93" s="145"/>
      <c r="C93" s="145"/>
      <c r="D93" s="58">
        <v>0.62</v>
      </c>
      <c r="E93" s="58">
        <v>0.64</v>
      </c>
      <c r="F93" s="58" t="s">
        <v>330</v>
      </c>
      <c r="G93" s="53">
        <v>0</v>
      </c>
    </row>
    <row r="94" spans="1:7">
      <c r="A94" s="155" t="s">
        <v>337</v>
      </c>
      <c r="B94" s="155"/>
      <c r="C94" s="155"/>
      <c r="D94" s="2">
        <v>2017</v>
      </c>
      <c r="E94" s="2">
        <v>2018</v>
      </c>
      <c r="F94" s="2">
        <v>2019</v>
      </c>
      <c r="G94" s="2">
        <v>2020</v>
      </c>
    </row>
    <row r="95" spans="1:7">
      <c r="A95" s="141" t="s">
        <v>61</v>
      </c>
      <c r="B95" s="141"/>
      <c r="C95" s="141"/>
    </row>
    <row r="96" spans="1:7">
      <c r="A96" s="145" t="s">
        <v>62</v>
      </c>
      <c r="B96" s="145"/>
      <c r="C96" s="145"/>
      <c r="D96" s="28">
        <v>15995</v>
      </c>
      <c r="E96" s="28">
        <v>16556</v>
      </c>
      <c r="F96" s="22">
        <v>18414</v>
      </c>
      <c r="G96" s="28">
        <v>19371</v>
      </c>
    </row>
    <row r="97" spans="1:7">
      <c r="A97" s="145" t="s">
        <v>63</v>
      </c>
      <c r="B97" s="145"/>
      <c r="C97" s="145"/>
      <c r="D97" s="61">
        <v>228</v>
      </c>
      <c r="E97" s="61">
        <v>225</v>
      </c>
      <c r="F97" s="61">
        <v>251</v>
      </c>
      <c r="G97" s="61">
        <v>244</v>
      </c>
    </row>
    <row r="98" spans="1:7">
      <c r="A98" s="145" t="s">
        <v>64</v>
      </c>
      <c r="B98" s="145"/>
      <c r="C98" s="145"/>
      <c r="D98" s="29">
        <f>SUM(D96:D97)</f>
        <v>16223</v>
      </c>
      <c r="E98" s="29">
        <f>SUM(E96:E97)</f>
        <v>16781</v>
      </c>
      <c r="F98" s="59">
        <f>SUM(F96:F97)</f>
        <v>18665</v>
      </c>
      <c r="G98">
        <f>SUM(G96:G97)</f>
        <v>19615</v>
      </c>
    </row>
    <row r="99" spans="1:7">
      <c r="A99" s="145" t="s">
        <v>65</v>
      </c>
      <c r="B99" s="145"/>
      <c r="C99" s="145"/>
      <c r="D99" s="28">
        <v>11199</v>
      </c>
      <c r="E99" s="28">
        <v>11625</v>
      </c>
      <c r="F99" s="22">
        <v>12935</v>
      </c>
      <c r="G99" s="28">
        <v>14510</v>
      </c>
    </row>
    <row r="100" spans="1:7">
      <c r="A100" s="145" t="s">
        <v>66</v>
      </c>
      <c r="B100" s="145"/>
      <c r="C100" s="145"/>
      <c r="D100" s="28">
        <v>3353</v>
      </c>
      <c r="E100" s="28">
        <v>3545</v>
      </c>
      <c r="F100" s="22">
        <v>4153</v>
      </c>
      <c r="G100" s="28">
        <v>4060</v>
      </c>
    </row>
    <row r="101" spans="1:7">
      <c r="A101" s="145" t="s">
        <v>67</v>
      </c>
      <c r="B101" s="145"/>
      <c r="C101" s="145"/>
      <c r="D101" s="28">
        <v>516</v>
      </c>
      <c r="E101" s="28">
        <v>570</v>
      </c>
      <c r="F101" s="28">
        <v>575</v>
      </c>
      <c r="G101" s="28">
        <v>577</v>
      </c>
    </row>
    <row r="102" spans="1:7">
      <c r="A102" s="145" t="s">
        <v>334</v>
      </c>
      <c r="B102" s="145"/>
      <c r="C102" s="145"/>
      <c r="D102" s="6">
        <f>D98-D99-D100-D101</f>
        <v>1155</v>
      </c>
      <c r="E102" s="6">
        <f>E98-E99-E100-E101</f>
        <v>1041</v>
      </c>
      <c r="F102" s="6">
        <f>F98-F99-F100-F101</f>
        <v>1002</v>
      </c>
      <c r="G102" s="6">
        <f>G98-G99-G100-G101</f>
        <v>468</v>
      </c>
    </row>
    <row r="103" spans="1:7">
      <c r="A103" s="145" t="s">
        <v>69</v>
      </c>
      <c r="B103" s="145"/>
      <c r="C103" s="145"/>
      <c r="D103" s="28">
        <v>140</v>
      </c>
      <c r="E103" s="28">
        <v>121</v>
      </c>
      <c r="F103" s="22">
        <v>113</v>
      </c>
      <c r="G103" s="28">
        <v>117</v>
      </c>
    </row>
    <row r="104" spans="1:7">
      <c r="A104" s="145" t="s">
        <v>70</v>
      </c>
      <c r="B104" s="145"/>
      <c r="C104" s="145"/>
      <c r="D104" s="24">
        <v>-15</v>
      </c>
      <c r="E104" s="24">
        <v>-7</v>
      </c>
      <c r="F104" s="24">
        <v>-12</v>
      </c>
      <c r="G104" s="28">
        <v>22</v>
      </c>
    </row>
    <row r="105" spans="1:7">
      <c r="A105" s="145" t="s">
        <v>71</v>
      </c>
      <c r="B105" s="145"/>
      <c r="C105" s="145"/>
      <c r="D105" s="6">
        <f>D102-D103-D104</f>
        <v>1030</v>
      </c>
      <c r="E105" s="6">
        <f>E102-E103-E104</f>
        <v>927</v>
      </c>
      <c r="F105" s="6">
        <f>F102-F103-F104</f>
        <v>901</v>
      </c>
      <c r="G105" s="6">
        <f>G102-G103-G104</f>
        <v>329</v>
      </c>
    </row>
    <row r="106" spans="1:7">
      <c r="A106" s="145" t="s">
        <v>72</v>
      </c>
      <c r="B106" s="145"/>
      <c r="C106" s="145"/>
      <c r="D106" s="24">
        <v>355</v>
      </c>
      <c r="E106" s="28">
        <v>210</v>
      </c>
      <c r="F106" s="22">
        <v>195</v>
      </c>
      <c r="G106" s="28">
        <v>45</v>
      </c>
    </row>
    <row r="107" spans="1:7">
      <c r="A107" s="145" t="s">
        <v>73</v>
      </c>
      <c r="B107" s="145"/>
      <c r="C107" s="145"/>
      <c r="D107" s="6">
        <f>D105-D106</f>
        <v>675</v>
      </c>
      <c r="E107" s="6">
        <f>E105-E106</f>
        <v>717</v>
      </c>
      <c r="F107" s="6">
        <f>F105-F106</f>
        <v>706</v>
      </c>
      <c r="G107" s="6">
        <f>G105-G106</f>
        <v>284</v>
      </c>
    </row>
    <row r="108" spans="1:7">
      <c r="A108" s="145" t="s">
        <v>74</v>
      </c>
      <c r="B108" s="145"/>
      <c r="C108" s="145"/>
      <c r="D108" s="24">
        <v>3</v>
      </c>
      <c r="E108" s="28">
        <v>1</v>
      </c>
      <c r="F108" s="22">
        <v>8</v>
      </c>
      <c r="G108" s="53">
        <v>0</v>
      </c>
    </row>
    <row r="109" spans="1:7">
      <c r="A109" s="147" t="s">
        <v>75</v>
      </c>
      <c r="B109" s="147"/>
      <c r="C109" s="147"/>
      <c r="D109">
        <f>SUM(D107:D108)</f>
        <v>678</v>
      </c>
      <c r="E109">
        <f>SUM(E107:E108)</f>
        <v>718</v>
      </c>
      <c r="F109">
        <f>SUM(F107:F108)</f>
        <v>714</v>
      </c>
      <c r="G109">
        <f>SUM(G107:G108)</f>
        <v>284</v>
      </c>
    </row>
    <row r="110" spans="1:7" ht="19.3">
      <c r="A110" s="148" t="s">
        <v>76</v>
      </c>
      <c r="B110" s="148"/>
      <c r="C110" s="148"/>
    </row>
    <row r="111" spans="1:7">
      <c r="A111" s="145" t="s">
        <v>77</v>
      </c>
      <c r="B111" s="145"/>
      <c r="C111" s="145"/>
      <c r="D111" s="57">
        <v>1.22</v>
      </c>
      <c r="E111" s="57">
        <v>1.34</v>
      </c>
      <c r="F111" s="57">
        <v>1.38</v>
      </c>
      <c r="G111" s="57">
        <v>0.56999999999999995</v>
      </c>
    </row>
    <row r="112" spans="1:7">
      <c r="A112" s="145" t="s">
        <v>78</v>
      </c>
      <c r="B112" s="145"/>
      <c r="C112" s="145"/>
      <c r="D112" s="55">
        <v>0.01</v>
      </c>
      <c r="E112" s="55" t="s">
        <v>330</v>
      </c>
      <c r="F112" s="28">
        <v>0.02</v>
      </c>
      <c r="G112" s="53">
        <v>0</v>
      </c>
    </row>
    <row r="113" spans="1:7">
      <c r="A113" s="145" t="s">
        <v>79</v>
      </c>
      <c r="B113" s="145"/>
      <c r="C113" s="145"/>
      <c r="D113" s="62">
        <f>SUM(D111:D112)</f>
        <v>1.23</v>
      </c>
      <c r="E113" s="62">
        <f t="shared" ref="E113:G113" si="6">SUM(E111:E112)</f>
        <v>1.34</v>
      </c>
      <c r="F113" s="62">
        <f t="shared" si="6"/>
        <v>1.4</v>
      </c>
      <c r="G113" s="62">
        <f t="shared" si="6"/>
        <v>0.56999999999999995</v>
      </c>
    </row>
    <row r="114" spans="1:7" ht="19.3">
      <c r="A114" s="148" t="s">
        <v>80</v>
      </c>
      <c r="B114" s="148"/>
      <c r="C114" s="148"/>
      <c r="G114" s="28"/>
    </row>
    <row r="115" spans="1:7">
      <c r="A115" s="145" t="s">
        <v>77</v>
      </c>
      <c r="B115" s="145"/>
      <c r="C115" s="145"/>
      <c r="D115" s="57">
        <v>1.21</v>
      </c>
      <c r="E115" s="57">
        <v>1.33</v>
      </c>
      <c r="F115" s="57">
        <v>1.37</v>
      </c>
      <c r="G115" s="57">
        <v>0.56000000000000005</v>
      </c>
    </row>
    <row r="116" spans="1:7">
      <c r="A116" s="145" t="s">
        <v>78</v>
      </c>
      <c r="B116" s="145"/>
      <c r="C116" s="145"/>
      <c r="D116" s="61">
        <v>0.01</v>
      </c>
      <c r="E116" s="55" t="s">
        <v>330</v>
      </c>
      <c r="F116" s="28">
        <v>0.02</v>
      </c>
      <c r="G116" s="53">
        <v>0</v>
      </c>
    </row>
    <row r="117" spans="1:7">
      <c r="A117" s="145" t="s">
        <v>79</v>
      </c>
      <c r="B117" s="145"/>
      <c r="C117" s="145"/>
      <c r="D117" s="62">
        <f>SUM(D115:D116)</f>
        <v>1.22</v>
      </c>
      <c r="E117" s="62">
        <f t="shared" ref="E117:G117" si="7">SUM(E115:E116)</f>
        <v>1.33</v>
      </c>
      <c r="F117" s="62">
        <f t="shared" si="7"/>
        <v>1.3900000000000001</v>
      </c>
      <c r="G117" s="62">
        <f t="shared" si="7"/>
        <v>0.56000000000000005</v>
      </c>
    </row>
    <row r="118" spans="1:7">
      <c r="A118" s="145" t="s">
        <v>81</v>
      </c>
      <c r="B118" s="145"/>
      <c r="C118" s="145"/>
      <c r="G118" s="28"/>
    </row>
    <row r="119" spans="1:7">
      <c r="A119" s="145" t="s">
        <v>82</v>
      </c>
      <c r="B119" s="145"/>
      <c r="C119" s="145"/>
      <c r="D119" s="28">
        <v>552.4</v>
      </c>
      <c r="E119" s="28">
        <v>536.9</v>
      </c>
      <c r="F119" s="28">
        <v>509.7</v>
      </c>
      <c r="G119" s="28">
        <v>501</v>
      </c>
    </row>
    <row r="120" spans="1:7">
      <c r="A120" s="146" t="s">
        <v>331</v>
      </c>
      <c r="B120" s="146"/>
      <c r="C120" s="146"/>
      <c r="D120" s="28">
        <v>2.8</v>
      </c>
      <c r="E120" s="28">
        <v>4.0999999999999996</v>
      </c>
      <c r="F120" s="55" t="s">
        <v>330</v>
      </c>
      <c r="G120" s="53">
        <v>0</v>
      </c>
    </row>
    <row r="121" spans="1:7">
      <c r="A121" s="145" t="s">
        <v>83</v>
      </c>
      <c r="B121" s="145"/>
      <c r="C121" s="145"/>
      <c r="D121" s="28">
        <f>SUM(D119:D120)</f>
        <v>555.19999999999993</v>
      </c>
      <c r="E121" s="28">
        <f t="shared" ref="E121:F121" si="8">SUM(E119:E120)</f>
        <v>541</v>
      </c>
      <c r="F121" s="28">
        <f t="shared" si="8"/>
        <v>509.7</v>
      </c>
      <c r="G121" s="28">
        <v>505.8</v>
      </c>
    </row>
    <row r="122" spans="1:7">
      <c r="A122" s="145" t="s">
        <v>84</v>
      </c>
      <c r="B122" s="145"/>
      <c r="C122" s="145"/>
      <c r="D122" s="28">
        <v>3</v>
      </c>
      <c r="E122" s="61">
        <v>2.2000000000000002</v>
      </c>
      <c r="F122" s="55" t="s">
        <v>330</v>
      </c>
      <c r="G122" s="28">
        <v>0.02</v>
      </c>
    </row>
    <row r="123" spans="1:7">
      <c r="A123" s="145" t="s">
        <v>335</v>
      </c>
      <c r="B123" s="145"/>
      <c r="C123" s="145"/>
      <c r="D123" s="63">
        <v>0.6</v>
      </c>
      <c r="E123" s="63">
        <v>0.62</v>
      </c>
      <c r="F123" s="58" t="s">
        <v>330</v>
      </c>
      <c r="G123" s="53">
        <v>0</v>
      </c>
    </row>
    <row r="125" spans="1:7">
      <c r="A125" s="155" t="s">
        <v>338</v>
      </c>
      <c r="B125" s="155"/>
      <c r="C125" s="155"/>
      <c r="D125" s="2">
        <v>2017</v>
      </c>
      <c r="E125" s="2">
        <v>2018</v>
      </c>
      <c r="F125" s="2">
        <v>2019</v>
      </c>
      <c r="G125" s="2" t="s">
        <v>198</v>
      </c>
    </row>
    <row r="126" spans="1:7">
      <c r="A126" s="141" t="s">
        <v>61</v>
      </c>
      <c r="B126" s="141"/>
      <c r="C126" s="141"/>
    </row>
    <row r="127" spans="1:7">
      <c r="A127" s="145" t="s">
        <v>62</v>
      </c>
      <c r="B127" s="145"/>
      <c r="C127" s="145"/>
      <c r="D127" s="41">
        <f>D4/D35</f>
        <v>1.3640127197456051</v>
      </c>
      <c r="E127" s="41">
        <f>E4/E35</f>
        <v>1.2924388857305287</v>
      </c>
      <c r="F127" s="41">
        <f>F4/F35</f>
        <v>1.2562724014336917</v>
      </c>
      <c r="G127" s="64">
        <f>AVERAGE(D127:F127)</f>
        <v>1.3042413356366085</v>
      </c>
    </row>
    <row r="128" spans="1:7">
      <c r="A128" s="145" t="s">
        <v>63</v>
      </c>
      <c r="B128" s="145"/>
      <c r="C128" s="145"/>
      <c r="D128" s="16" t="s">
        <v>330</v>
      </c>
      <c r="E128" s="41">
        <f t="shared" ref="E128:F140" si="9">E5/E36</f>
        <v>1.051948051948052</v>
      </c>
      <c r="F128" s="41">
        <f t="shared" si="9"/>
        <v>1.0557768924302788</v>
      </c>
      <c r="G128" s="64">
        <f>AVERAGE(D128:F128)</f>
        <v>1.0538624721891654</v>
      </c>
    </row>
    <row r="129" spans="1:7">
      <c r="A129" s="145" t="s">
        <v>64</v>
      </c>
      <c r="B129" s="145"/>
      <c r="C129" s="145"/>
      <c r="D129" s="41">
        <f>D6/D37</f>
        <v>1.3789524209515809</v>
      </c>
      <c r="E129" s="41">
        <f t="shared" si="9"/>
        <v>1.289321586891869</v>
      </c>
      <c r="F129" s="41">
        <f t="shared" si="9"/>
        <v>1.2535762121618002</v>
      </c>
      <c r="G129" s="64">
        <f t="shared" ref="G129:G153" si="10">AVERAGE(D129:F129)</f>
        <v>1.3072834066684165</v>
      </c>
    </row>
    <row r="130" spans="1:7">
      <c r="A130" s="145" t="s">
        <v>65</v>
      </c>
      <c r="B130" s="145"/>
      <c r="C130" s="145"/>
      <c r="D130" s="16" t="s">
        <v>330</v>
      </c>
      <c r="E130" s="41">
        <f t="shared" si="9"/>
        <v>1.3482249700837654</v>
      </c>
      <c r="F130" s="41">
        <f t="shared" si="9"/>
        <v>1.3185929648241206</v>
      </c>
      <c r="G130" s="64">
        <f t="shared" si="10"/>
        <v>1.3334089674539431</v>
      </c>
    </row>
    <row r="131" spans="1:7">
      <c r="A131" s="145" t="s">
        <v>66</v>
      </c>
      <c r="B131" s="145"/>
      <c r="C131" s="145"/>
      <c r="D131" s="41">
        <f>D8/D39</f>
        <v>1.2682232346241458</v>
      </c>
      <c r="E131" s="41">
        <f t="shared" si="9"/>
        <v>1.1115062230124459</v>
      </c>
      <c r="F131" s="41">
        <f t="shared" si="9"/>
        <v>1.0845172164700216</v>
      </c>
      <c r="G131" s="64">
        <f t="shared" si="10"/>
        <v>1.154748891368871</v>
      </c>
    </row>
    <row r="132" spans="1:7">
      <c r="A132" s="145" t="s">
        <v>67</v>
      </c>
      <c r="B132" s="145"/>
      <c r="C132" s="145"/>
      <c r="D132" s="16" t="s">
        <v>330</v>
      </c>
      <c r="E132" s="41">
        <f t="shared" si="9"/>
        <v>1.1018867924528302</v>
      </c>
      <c r="F132" s="41">
        <f t="shared" si="9"/>
        <v>1.1130434782608696</v>
      </c>
      <c r="G132" s="64">
        <f t="shared" si="10"/>
        <v>1.1074651353568499</v>
      </c>
    </row>
    <row r="133" spans="1:7">
      <c r="A133" s="145" t="s">
        <v>334</v>
      </c>
      <c r="B133" s="145"/>
      <c r="C133" s="145"/>
      <c r="D133" s="41">
        <f>D10/D41</f>
        <v>1.2991944764096663</v>
      </c>
      <c r="E133" s="41">
        <f t="shared" si="9"/>
        <v>1.3638583638583639</v>
      </c>
      <c r="F133" s="41">
        <f t="shared" si="9"/>
        <v>1.1956087824351298</v>
      </c>
      <c r="G133" s="64">
        <f t="shared" si="10"/>
        <v>1.2862205409010532</v>
      </c>
    </row>
    <row r="134" spans="1:7">
      <c r="A134" s="145" t="s">
        <v>69</v>
      </c>
      <c r="B134" s="145"/>
      <c r="C134" s="145"/>
      <c r="D134" s="16" t="s">
        <v>330</v>
      </c>
      <c r="E134" s="41">
        <f t="shared" si="9"/>
        <v>0.95652173913043481</v>
      </c>
      <c r="F134" s="41">
        <f t="shared" si="9"/>
        <v>1.0442477876106195</v>
      </c>
      <c r="G134" s="64">
        <f t="shared" si="10"/>
        <v>1.0003847633705272</v>
      </c>
    </row>
    <row r="135" spans="1:7">
      <c r="A135" s="145" t="s">
        <v>70</v>
      </c>
      <c r="B135" s="145"/>
      <c r="C135" s="145"/>
      <c r="D135" s="16" t="s">
        <v>330</v>
      </c>
      <c r="E135" s="41">
        <f t="shared" si="9"/>
        <v>0.77777777777777779</v>
      </c>
      <c r="F135" s="12">
        <f t="shared" si="9"/>
        <v>-2.4166666666666665</v>
      </c>
      <c r="G135" s="65">
        <f t="shared" si="10"/>
        <v>-0.81944444444444442</v>
      </c>
    </row>
    <row r="136" spans="1:7">
      <c r="A136" s="145" t="s">
        <v>71</v>
      </c>
      <c r="B136" s="145"/>
      <c r="C136" s="145"/>
      <c r="D136" s="16" t="s">
        <v>330</v>
      </c>
      <c r="E136" s="41">
        <f t="shared" si="9"/>
        <v>1.4221598877980364</v>
      </c>
      <c r="F136" s="41">
        <f t="shared" si="9"/>
        <v>1.1664816870144283</v>
      </c>
      <c r="G136" s="64">
        <f t="shared" si="10"/>
        <v>1.2943207874062324</v>
      </c>
    </row>
    <row r="137" spans="1:7">
      <c r="A137" s="145" t="s">
        <v>72</v>
      </c>
      <c r="B137" s="145"/>
      <c r="C137" s="145"/>
      <c r="D137" s="12">
        <f>D14/D45</f>
        <v>-0.55474452554744524</v>
      </c>
      <c r="E137" s="41">
        <f t="shared" si="9"/>
        <v>2.2268041237113403</v>
      </c>
      <c r="F137" s="41">
        <f t="shared" si="9"/>
        <v>1.117948717948718</v>
      </c>
      <c r="G137" s="64">
        <f t="shared" si="10"/>
        <v>0.93000277203753756</v>
      </c>
    </row>
    <row r="138" spans="1:7">
      <c r="A138" s="145" t="s">
        <v>73</v>
      </c>
      <c r="B138" s="145"/>
      <c r="C138" s="145"/>
      <c r="D138" s="16" t="s">
        <v>330</v>
      </c>
      <c r="E138" s="41">
        <f t="shared" si="9"/>
        <v>1.2954545454545454</v>
      </c>
      <c r="F138" s="41">
        <f t="shared" si="9"/>
        <v>1.1798866855524079</v>
      </c>
      <c r="G138" s="64">
        <f t="shared" si="10"/>
        <v>1.2376706155034767</v>
      </c>
    </row>
    <row r="139" spans="1:7">
      <c r="A139" s="145" t="s">
        <v>74</v>
      </c>
      <c r="B139" s="145"/>
      <c r="C139" s="145"/>
      <c r="D139" s="12">
        <f>D16/D47</f>
        <v>-0.5</v>
      </c>
      <c r="E139" s="41">
        <f t="shared" si="9"/>
        <v>0.16666666666666666</v>
      </c>
      <c r="F139" s="41">
        <f t="shared" si="9"/>
        <v>0.125</v>
      </c>
      <c r="G139" s="66">
        <f t="shared" si="10"/>
        <v>-6.9444444444444461E-2</v>
      </c>
    </row>
    <row r="140" spans="1:7">
      <c r="A140" s="147" t="s">
        <v>75</v>
      </c>
      <c r="B140" s="147"/>
      <c r="C140" s="147"/>
      <c r="D140" s="16" t="s">
        <v>330</v>
      </c>
      <c r="E140" s="41">
        <f t="shared" si="9"/>
        <v>1.2845659163987138</v>
      </c>
      <c r="F140" s="41">
        <f t="shared" si="9"/>
        <v>1.1680672268907564</v>
      </c>
      <c r="G140" s="64">
        <f t="shared" si="10"/>
        <v>1.2263165716447351</v>
      </c>
    </row>
    <row r="141" spans="1:7" ht="19.3">
      <c r="A141" s="148" t="s">
        <v>76</v>
      </c>
      <c r="B141" s="148"/>
      <c r="C141" s="148"/>
      <c r="G141" s="1"/>
    </row>
    <row r="142" spans="1:7">
      <c r="A142" s="145" t="s">
        <v>77</v>
      </c>
      <c r="B142" s="145"/>
      <c r="C142" s="145"/>
      <c r="D142" s="16" t="s">
        <v>330</v>
      </c>
      <c r="E142" s="41">
        <f>E19/E50</f>
        <v>1.3076923076923077</v>
      </c>
      <c r="F142" s="41">
        <f>F19/F50</f>
        <v>1.1884057971014492</v>
      </c>
      <c r="G142" s="64">
        <f t="shared" si="10"/>
        <v>1.2480490523968784</v>
      </c>
    </row>
    <row r="143" spans="1:7">
      <c r="A143" s="145" t="s">
        <v>78</v>
      </c>
      <c r="B143" s="145"/>
      <c r="C143" s="145"/>
      <c r="D143" s="16" t="s">
        <v>330</v>
      </c>
      <c r="E143" s="16" t="s">
        <v>330</v>
      </c>
      <c r="F143" s="16" t="s">
        <v>330</v>
      </c>
      <c r="G143" s="67" t="s">
        <v>330</v>
      </c>
    </row>
    <row r="144" spans="1:7">
      <c r="A144" s="145" t="s">
        <v>79</v>
      </c>
      <c r="B144" s="145"/>
      <c r="C144" s="145"/>
      <c r="D144" s="16" t="s">
        <v>330</v>
      </c>
      <c r="E144" s="41">
        <f>E21/E52</f>
        <v>1.3050847457627119</v>
      </c>
      <c r="F144" s="41">
        <f>F21/F52</f>
        <v>1.1785714285714286</v>
      </c>
      <c r="G144" s="64">
        <f t="shared" si="10"/>
        <v>1.2418280871670704</v>
      </c>
    </row>
    <row r="145" spans="1:7" ht="19.3">
      <c r="A145" s="148" t="s">
        <v>80</v>
      </c>
      <c r="B145" s="148"/>
      <c r="C145" s="148"/>
      <c r="G145" s="1"/>
    </row>
    <row r="146" spans="1:7">
      <c r="A146" s="145" t="s">
        <v>77</v>
      </c>
      <c r="B146" s="145"/>
      <c r="C146" s="145"/>
      <c r="D146" s="16" t="s">
        <v>330</v>
      </c>
      <c r="E146" s="41">
        <f>E23/E54</f>
        <v>1.4339622641509433</v>
      </c>
      <c r="F146" s="41">
        <f>F23/F54</f>
        <v>1.18978102189781</v>
      </c>
      <c r="G146" s="64">
        <f t="shared" si="10"/>
        <v>1.3118716430243766</v>
      </c>
    </row>
    <row r="147" spans="1:7">
      <c r="A147" s="145" t="s">
        <v>78</v>
      </c>
      <c r="B147" s="145"/>
      <c r="C147" s="145"/>
      <c r="D147" s="16" t="s">
        <v>330</v>
      </c>
      <c r="E147" s="16" t="s">
        <v>330</v>
      </c>
      <c r="F147" s="16" t="s">
        <v>330</v>
      </c>
      <c r="G147" s="67" t="s">
        <v>330</v>
      </c>
    </row>
    <row r="148" spans="1:7">
      <c r="A148" s="145" t="s">
        <v>79</v>
      </c>
      <c r="B148" s="145"/>
      <c r="C148" s="145"/>
      <c r="D148" s="16" t="s">
        <v>330</v>
      </c>
      <c r="E148" s="41">
        <f>E25/E56</f>
        <v>1.4205607476635513</v>
      </c>
      <c r="F148" s="41">
        <f>F25/F56</f>
        <v>1.1726618705035969</v>
      </c>
      <c r="G148" s="64">
        <f t="shared" si="10"/>
        <v>1.2966113090835742</v>
      </c>
    </row>
    <row r="149" spans="1:7">
      <c r="A149" s="145" t="s">
        <v>81</v>
      </c>
      <c r="B149" s="145"/>
      <c r="C149" s="145"/>
      <c r="G149" s="1"/>
    </row>
    <row r="150" spans="1:7">
      <c r="A150" s="145" t="s">
        <v>82</v>
      </c>
      <c r="B150" s="145"/>
      <c r="C150" s="145"/>
      <c r="D150" s="16" t="s">
        <v>330</v>
      </c>
      <c r="E150" s="41">
        <f>E27/E58</f>
        <v>0.98859098687963487</v>
      </c>
      <c r="F150" s="41">
        <f>F27/F58</f>
        <v>0.99313321561702961</v>
      </c>
      <c r="G150" s="64">
        <f t="shared" si="10"/>
        <v>0.99086210124833229</v>
      </c>
    </row>
    <row r="151" spans="1:7">
      <c r="A151" s="146" t="s">
        <v>331</v>
      </c>
      <c r="B151" s="146"/>
      <c r="C151" s="146"/>
      <c r="D151" s="54">
        <f>D29/D59</f>
        <v>160.55882352941177</v>
      </c>
      <c r="E151" s="16" t="s">
        <v>330</v>
      </c>
      <c r="F151" s="16" t="s">
        <v>330</v>
      </c>
      <c r="G151" s="53">
        <v>0</v>
      </c>
    </row>
    <row r="152" spans="1:7">
      <c r="A152" s="145" t="s">
        <v>83</v>
      </c>
      <c r="B152" s="145"/>
      <c r="C152" s="145"/>
      <c r="D152" s="16" t="s">
        <v>330</v>
      </c>
      <c r="E152" s="68">
        <f>E29/E60</f>
        <v>0.98701054216867457</v>
      </c>
      <c r="F152" s="16" t="s">
        <v>330</v>
      </c>
      <c r="G152" s="64">
        <f t="shared" si="10"/>
        <v>0.98701054216867457</v>
      </c>
    </row>
    <row r="153" spans="1:7">
      <c r="A153" s="145" t="s">
        <v>84</v>
      </c>
      <c r="B153" s="145"/>
      <c r="C153" s="145"/>
      <c r="D153" s="41">
        <f>D31/D61</f>
        <v>0.13777777777777778</v>
      </c>
      <c r="E153" s="16" t="s">
        <v>330</v>
      </c>
      <c r="F153" s="16" t="s">
        <v>330</v>
      </c>
      <c r="G153" s="64">
        <f t="shared" si="10"/>
        <v>0.13777777777777778</v>
      </c>
    </row>
    <row r="154" spans="1:7">
      <c r="A154" s="145" t="s">
        <v>335</v>
      </c>
      <c r="B154" s="145"/>
      <c r="C154" s="145"/>
      <c r="D154" s="16" t="s">
        <v>330</v>
      </c>
      <c r="E154" s="16" t="s">
        <v>330</v>
      </c>
      <c r="F154" s="16" t="s">
        <v>330</v>
      </c>
      <c r="G154" s="53">
        <v>0</v>
      </c>
    </row>
    <row r="156" spans="1:7">
      <c r="A156" s="155" t="s">
        <v>339</v>
      </c>
      <c r="B156" s="155"/>
      <c r="C156" s="155"/>
      <c r="D156" s="2"/>
      <c r="E156" s="2"/>
      <c r="F156" s="2"/>
      <c r="G156" s="2">
        <v>2020</v>
      </c>
    </row>
    <row r="157" spans="1:7">
      <c r="A157" s="141" t="s">
        <v>61</v>
      </c>
      <c r="B157" s="141"/>
      <c r="C157" s="141"/>
    </row>
    <row r="158" spans="1:7">
      <c r="A158" s="145" t="s">
        <v>62</v>
      </c>
      <c r="B158" s="145"/>
      <c r="C158" s="145"/>
      <c r="D158" s="28"/>
      <c r="E158" s="28"/>
      <c r="F158" s="22"/>
      <c r="G158" s="20">
        <f t="shared" ref="G158:G171" si="11">G4+G35+G66+G96</f>
        <v>94574.014817281655</v>
      </c>
    </row>
    <row r="159" spans="1:7">
      <c r="A159" s="145" t="s">
        <v>63</v>
      </c>
      <c r="B159" s="145"/>
      <c r="C159" s="145"/>
      <c r="D159" s="55"/>
      <c r="E159" s="28"/>
      <c r="F159" s="28"/>
      <c r="G159" s="20">
        <f t="shared" si="11"/>
        <v>1098.2735551301289</v>
      </c>
    </row>
    <row r="160" spans="1:7">
      <c r="A160" s="145" t="s">
        <v>64</v>
      </c>
      <c r="B160" s="145"/>
      <c r="C160" s="145"/>
      <c r="F160" s="6"/>
      <c r="G160" s="20">
        <f t="shared" si="11"/>
        <v>95809.817149227601</v>
      </c>
    </row>
    <row r="161" spans="1:7">
      <c r="A161" s="145" t="s">
        <v>65</v>
      </c>
      <c r="B161" s="145"/>
      <c r="C161" s="145"/>
      <c r="D161" s="28"/>
      <c r="E161" s="28"/>
      <c r="F161" s="22"/>
      <c r="G161" s="20">
        <f t="shared" si="11"/>
        <v>68434.623348894456</v>
      </c>
    </row>
    <row r="162" spans="1:7">
      <c r="A162" s="145" t="s">
        <v>66</v>
      </c>
      <c r="B162" s="145"/>
      <c r="C162" s="145"/>
      <c r="D162" s="28"/>
      <c r="E162" s="28"/>
      <c r="F162" s="22"/>
      <c r="G162" s="20">
        <f t="shared" si="11"/>
        <v>18367.989006725395</v>
      </c>
    </row>
    <row r="163" spans="1:7">
      <c r="A163" s="145" t="s">
        <v>67</v>
      </c>
      <c r="B163" s="145"/>
      <c r="C163" s="145"/>
      <c r="D163" s="28"/>
      <c r="E163" s="28"/>
      <c r="F163" s="28"/>
      <c r="G163" s="20">
        <f t="shared" si="11"/>
        <v>2368.7776866283839</v>
      </c>
    </row>
    <row r="164" spans="1:7">
      <c r="A164" s="145" t="s">
        <v>334</v>
      </c>
      <c r="B164" s="145"/>
      <c r="C164" s="145"/>
      <c r="D164" s="22"/>
      <c r="E164" s="22"/>
      <c r="F164" s="22"/>
      <c r="G164" s="20">
        <f t="shared" si="11"/>
        <v>6243.8922079994618</v>
      </c>
    </row>
    <row r="165" spans="1:7">
      <c r="A165" s="145" t="s">
        <v>69</v>
      </c>
      <c r="B165" s="145"/>
      <c r="C165" s="145"/>
      <c r="D165" s="28"/>
      <c r="E165" s="28"/>
      <c r="F165" s="22"/>
      <c r="G165" s="20">
        <f t="shared" si="11"/>
        <v>989.0454020777222</v>
      </c>
    </row>
    <row r="166" spans="1:7">
      <c r="A166" s="145" t="s">
        <v>70</v>
      </c>
      <c r="B166" s="145"/>
      <c r="C166" s="145"/>
      <c r="D166" s="56"/>
      <c r="E166" s="24"/>
      <c r="F166" s="24"/>
      <c r="G166" s="69">
        <f t="shared" si="11"/>
        <v>-7.7638888888888893</v>
      </c>
    </row>
    <row r="167" spans="1:7">
      <c r="A167" s="145" t="s">
        <v>71</v>
      </c>
      <c r="B167" s="145"/>
      <c r="C167" s="145"/>
      <c r="D167" s="6"/>
      <c r="E167" s="6"/>
      <c r="F167" s="6"/>
      <c r="G167" s="20">
        <f t="shared" si="11"/>
        <v>5176.3311475639503</v>
      </c>
    </row>
    <row r="168" spans="1:7">
      <c r="A168" s="145" t="s">
        <v>72</v>
      </c>
      <c r="B168" s="145"/>
      <c r="C168" s="145"/>
      <c r="D168" s="12"/>
      <c r="F168" s="6"/>
      <c r="G168" s="20">
        <f t="shared" si="11"/>
        <v>1030.7406043041833</v>
      </c>
    </row>
    <row r="169" spans="1:7">
      <c r="A169" s="145" t="s">
        <v>73</v>
      </c>
      <c r="B169" s="145"/>
      <c r="C169" s="145"/>
      <c r="D169" s="6"/>
      <c r="E169" s="6"/>
      <c r="F169" s="6"/>
      <c r="G169" s="20">
        <f t="shared" si="11"/>
        <v>4018.9796227143961</v>
      </c>
    </row>
    <row r="170" spans="1:7">
      <c r="A170" s="145" t="s">
        <v>74</v>
      </c>
      <c r="B170" s="145"/>
      <c r="C170" s="145"/>
      <c r="D170" s="12"/>
      <c r="F170" s="6"/>
      <c r="G170" s="70">
        <f t="shared" si="11"/>
        <v>-6.9444444444444461E-2</v>
      </c>
    </row>
    <row r="171" spans="1:7">
      <c r="A171" s="147" t="s">
        <v>75</v>
      </c>
      <c r="B171" s="147"/>
      <c r="C171" s="147"/>
      <c r="G171" s="20">
        <f t="shared" si="11"/>
        <v>4010.7480207517092</v>
      </c>
    </row>
    <row r="172" spans="1:7" ht="19.3">
      <c r="A172" s="148" t="s">
        <v>76</v>
      </c>
      <c r="B172" s="148"/>
      <c r="C172" s="148"/>
      <c r="G172" s="20"/>
    </row>
    <row r="173" spans="1:7">
      <c r="A173" s="145" t="s">
        <v>77</v>
      </c>
      <c r="B173" s="145"/>
      <c r="C173" s="145"/>
      <c r="D173" s="57"/>
      <c r="E173" s="57"/>
      <c r="F173" s="57"/>
      <c r="G173" s="20">
        <f>G19+G50+G81+G111</f>
        <v>8.0168004459308797</v>
      </c>
    </row>
    <row r="174" spans="1:7">
      <c r="A174" s="145" t="s">
        <v>78</v>
      </c>
      <c r="B174" s="145"/>
      <c r="C174" s="145"/>
      <c r="D174" s="55"/>
      <c r="E174" s="28"/>
      <c r="F174" s="28"/>
      <c r="G174" s="56">
        <f>G20+G51+G82+G112</f>
        <v>0</v>
      </c>
    </row>
    <row r="175" spans="1:7">
      <c r="A175" s="145" t="s">
        <v>79</v>
      </c>
      <c r="B175" s="145"/>
      <c r="C175" s="145"/>
      <c r="D175" s="52"/>
      <c r="E175" s="52"/>
      <c r="F175" s="52"/>
      <c r="G175" s="20">
        <f>G171/G181</f>
        <v>8.0083847314317236</v>
      </c>
    </row>
    <row r="176" spans="1:7" ht="19.3">
      <c r="A176" s="148" t="s">
        <v>80</v>
      </c>
      <c r="B176" s="148"/>
      <c r="C176" s="148"/>
      <c r="G176" s="20"/>
    </row>
    <row r="177" spans="1:7">
      <c r="A177" s="145" t="s">
        <v>77</v>
      </c>
      <c r="B177" s="145"/>
      <c r="C177" s="145"/>
      <c r="D177" s="57"/>
      <c r="E177" s="57"/>
      <c r="F177" s="57"/>
      <c r="G177" s="20">
        <f>G23+G54+G85+G115</f>
        <v>8.0583507781297339</v>
      </c>
    </row>
    <row r="178" spans="1:7">
      <c r="A178" s="145" t="s">
        <v>78</v>
      </c>
      <c r="B178" s="145"/>
      <c r="C178" s="145"/>
      <c r="D178" s="55"/>
      <c r="E178" s="28"/>
      <c r="F178" s="28"/>
      <c r="G178" s="56">
        <f>G24+G55+G86+G116</f>
        <v>0</v>
      </c>
    </row>
    <row r="179" spans="1:7">
      <c r="A179" s="145" t="s">
        <v>79</v>
      </c>
      <c r="B179" s="145"/>
      <c r="C179" s="145"/>
      <c r="D179" s="52"/>
      <c r="E179" s="52"/>
      <c r="F179" s="52"/>
      <c r="G179" s="20">
        <f>G25+G56+G87+G117</f>
        <v>8.0334764338062268</v>
      </c>
    </row>
    <row r="180" spans="1:7">
      <c r="A180" s="145" t="s">
        <v>81</v>
      </c>
      <c r="B180" s="145"/>
      <c r="C180" s="145"/>
      <c r="G180" s="20"/>
    </row>
    <row r="181" spans="1:7">
      <c r="A181" s="145" t="s">
        <v>82</v>
      </c>
      <c r="B181" s="145"/>
      <c r="C181" s="145"/>
      <c r="D181" s="28"/>
      <c r="E181" s="28"/>
      <c r="F181" s="28"/>
      <c r="G181" s="20">
        <f>AVERAGE(G89,G58,G27,G119)</f>
        <v>500.81859891297643</v>
      </c>
    </row>
    <row r="182" spans="1:7">
      <c r="A182" s="146" t="s">
        <v>331</v>
      </c>
      <c r="B182" s="146"/>
      <c r="C182" s="146"/>
      <c r="D182" s="28"/>
      <c r="E182" s="55"/>
      <c r="F182" s="55"/>
      <c r="G182" s="56">
        <f>G28+G59+G90+G120</f>
        <v>0</v>
      </c>
    </row>
    <row r="183" spans="1:7">
      <c r="A183" s="145" t="s">
        <v>83</v>
      </c>
      <c r="B183" s="145"/>
      <c r="C183" s="145"/>
      <c r="D183" s="28"/>
      <c r="E183" s="28"/>
      <c r="F183" s="28"/>
      <c r="G183" s="20">
        <f>AVERAGE(G29,G60,G91,G121)</f>
        <v>505.21267413403609</v>
      </c>
    </row>
    <row r="184" spans="1:7">
      <c r="A184" s="145" t="s">
        <v>84</v>
      </c>
      <c r="B184" s="145"/>
      <c r="C184" s="145"/>
      <c r="E184" s="55"/>
      <c r="F184" s="55"/>
      <c r="G184" s="71">
        <f t="shared" ref="G184:G185" si="12">G30+G61+G92+G122</f>
        <v>0.02</v>
      </c>
    </row>
    <row r="185" spans="1:7">
      <c r="A185" s="145" t="s">
        <v>335</v>
      </c>
      <c r="B185" s="145"/>
      <c r="C185" s="145"/>
      <c r="D185" s="28"/>
      <c r="E185" s="58"/>
      <c r="F185" s="58"/>
      <c r="G185" s="71">
        <f t="shared" si="12"/>
        <v>9.0933333333333338E-2</v>
      </c>
    </row>
  </sheetData>
  <mergeCells count="181">
    <mergeCell ref="A185:C185"/>
    <mergeCell ref="A176:C176"/>
    <mergeCell ref="A177:C177"/>
    <mergeCell ref="A178:C178"/>
    <mergeCell ref="A179:C179"/>
    <mergeCell ref="A180:C180"/>
    <mergeCell ref="A181:C181"/>
    <mergeCell ref="A182:C182"/>
    <mergeCell ref="A183:C183"/>
    <mergeCell ref="A184:C184"/>
    <mergeCell ref="A167:C167"/>
    <mergeCell ref="A168:C168"/>
    <mergeCell ref="A169:C169"/>
    <mergeCell ref="A170:C170"/>
    <mergeCell ref="A171:C171"/>
    <mergeCell ref="A172:C172"/>
    <mergeCell ref="A173:C173"/>
    <mergeCell ref="A174:C174"/>
    <mergeCell ref="A175:C175"/>
    <mergeCell ref="A158:C158"/>
    <mergeCell ref="A159:C159"/>
    <mergeCell ref="A160:C160"/>
    <mergeCell ref="A161:C161"/>
    <mergeCell ref="A162:C162"/>
    <mergeCell ref="A163:C163"/>
    <mergeCell ref="A164:C164"/>
    <mergeCell ref="A165:C165"/>
    <mergeCell ref="A166:C166"/>
    <mergeCell ref="A148:C148"/>
    <mergeCell ref="A149:C149"/>
    <mergeCell ref="A150:C150"/>
    <mergeCell ref="A151:C151"/>
    <mergeCell ref="A152:C152"/>
    <mergeCell ref="A153:C153"/>
    <mergeCell ref="A154:C154"/>
    <mergeCell ref="A156:C156"/>
    <mergeCell ref="A157:C157"/>
    <mergeCell ref="A139:C139"/>
    <mergeCell ref="A140:C140"/>
    <mergeCell ref="A141:C141"/>
    <mergeCell ref="A142:C142"/>
    <mergeCell ref="A143:C143"/>
    <mergeCell ref="A144:C144"/>
    <mergeCell ref="A145:C145"/>
    <mergeCell ref="A146:C146"/>
    <mergeCell ref="A147:C147"/>
    <mergeCell ref="A130:C130"/>
    <mergeCell ref="A131:C131"/>
    <mergeCell ref="A132:C132"/>
    <mergeCell ref="A133:C133"/>
    <mergeCell ref="A134:C134"/>
    <mergeCell ref="A135:C135"/>
    <mergeCell ref="A136:C136"/>
    <mergeCell ref="A137:C137"/>
    <mergeCell ref="A138:C138"/>
    <mergeCell ref="A120:C120"/>
    <mergeCell ref="A121:C121"/>
    <mergeCell ref="A122:C122"/>
    <mergeCell ref="A123:C123"/>
    <mergeCell ref="A125:C125"/>
    <mergeCell ref="A126:C126"/>
    <mergeCell ref="A127:C127"/>
    <mergeCell ref="A128:C128"/>
    <mergeCell ref="A129:C129"/>
    <mergeCell ref="A111:C111"/>
    <mergeCell ref="A112:C112"/>
    <mergeCell ref="A113:C113"/>
    <mergeCell ref="A114:C114"/>
    <mergeCell ref="A115:C115"/>
    <mergeCell ref="A116:C116"/>
    <mergeCell ref="A117:C117"/>
    <mergeCell ref="A118:C118"/>
    <mergeCell ref="A119:C119"/>
    <mergeCell ref="A102:C102"/>
    <mergeCell ref="A103:C103"/>
    <mergeCell ref="A104:C104"/>
    <mergeCell ref="A105:C105"/>
    <mergeCell ref="A106:C106"/>
    <mergeCell ref="A107:C107"/>
    <mergeCell ref="A108:C108"/>
    <mergeCell ref="A109:C109"/>
    <mergeCell ref="A110:C110"/>
    <mergeCell ref="A93:C93"/>
    <mergeCell ref="A94:C94"/>
    <mergeCell ref="A95:C95"/>
    <mergeCell ref="A96:C96"/>
    <mergeCell ref="A97:C97"/>
    <mergeCell ref="A98:C98"/>
    <mergeCell ref="A99:C99"/>
    <mergeCell ref="A100:C100"/>
    <mergeCell ref="A101:C101"/>
    <mergeCell ref="A84:C84"/>
    <mergeCell ref="A85:C85"/>
    <mergeCell ref="A86:C86"/>
    <mergeCell ref="A87:C87"/>
    <mergeCell ref="A88:C88"/>
    <mergeCell ref="A89:C89"/>
    <mergeCell ref="A90:C90"/>
    <mergeCell ref="A91:C91"/>
    <mergeCell ref="A92:C92"/>
    <mergeCell ref="A75:C75"/>
    <mergeCell ref="A76:C76"/>
    <mergeCell ref="A77:C77"/>
    <mergeCell ref="A78:C78"/>
    <mergeCell ref="A79:C79"/>
    <mergeCell ref="A80:C80"/>
    <mergeCell ref="A81:C81"/>
    <mergeCell ref="A82:C82"/>
    <mergeCell ref="A83:C83"/>
    <mergeCell ref="A66:C66"/>
    <mergeCell ref="A67:C67"/>
    <mergeCell ref="A68:C68"/>
    <mergeCell ref="A69:C69"/>
    <mergeCell ref="A70:C70"/>
    <mergeCell ref="A71:C71"/>
    <mergeCell ref="A72:C72"/>
    <mergeCell ref="A73:C73"/>
    <mergeCell ref="A74:C74"/>
    <mergeCell ref="A56:C56"/>
    <mergeCell ref="A57:C57"/>
    <mergeCell ref="A58:C58"/>
    <mergeCell ref="A59:C59"/>
    <mergeCell ref="A60:C60"/>
    <mergeCell ref="A61:C61"/>
    <mergeCell ref="A62:C62"/>
    <mergeCell ref="A64:C64"/>
    <mergeCell ref="A65:C65"/>
    <mergeCell ref="A47:C47"/>
    <mergeCell ref="A48:C48"/>
    <mergeCell ref="A49:C49"/>
    <mergeCell ref="A50:C50"/>
    <mergeCell ref="A51:C51"/>
    <mergeCell ref="A52:C52"/>
    <mergeCell ref="A53:C53"/>
    <mergeCell ref="A54:C54"/>
    <mergeCell ref="A55:C55"/>
    <mergeCell ref="A38:C38"/>
    <mergeCell ref="A39:C39"/>
    <mergeCell ref="A40:C40"/>
    <mergeCell ref="A41:C41"/>
    <mergeCell ref="A42:C42"/>
    <mergeCell ref="A43:C43"/>
    <mergeCell ref="A44:C44"/>
    <mergeCell ref="A45:C45"/>
    <mergeCell ref="A46:C46"/>
    <mergeCell ref="A28:C28"/>
    <mergeCell ref="A29:C29"/>
    <mergeCell ref="A30:C30"/>
    <mergeCell ref="A31:C31"/>
    <mergeCell ref="A33:C33"/>
    <mergeCell ref="A34:C34"/>
    <mergeCell ref="A35:C35"/>
    <mergeCell ref="A36:C36"/>
    <mergeCell ref="A37:C37"/>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G1"/>
    <mergeCell ref="A2:C2"/>
    <mergeCell ref="A3:C3"/>
    <mergeCell ref="A4:C4"/>
    <mergeCell ref="A5:C5"/>
    <mergeCell ref="A6:C6"/>
    <mergeCell ref="A7:C7"/>
    <mergeCell ref="A8:C8"/>
    <mergeCell ref="A9:C9"/>
  </mergeCells>
  <pageMargins left="0.69930555555555596" right="0.69930555555555596" top="0.75" bottom="0.75" header="0.3" footer="0.3"/>
  <ignoredErrors>
    <ignoredError sqref="G183" formula="1"/>
    <ignoredError sqref="D17:F1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showGridLines="0" view="pageBreakPreview" topLeftCell="A5" zoomScale="85" zoomScaleNormal="100" zoomScaleSheetLayoutView="85" workbookViewId="0">
      <selection activeCell="F14" sqref="F14"/>
    </sheetView>
  </sheetViews>
  <sheetFormatPr defaultColWidth="9" defaultRowHeight="14.6"/>
  <cols>
    <col min="1" max="1" width="1.765625" customWidth="1"/>
    <col min="2" max="2" width="9.61328125" customWidth="1"/>
    <col min="3" max="3" width="20.4609375" customWidth="1"/>
    <col min="4" max="4" width="6" customWidth="1"/>
    <col min="5" max="5" width="18.07421875" customWidth="1"/>
    <col min="6" max="6" width="7.921875" customWidth="1"/>
    <col min="8" max="8" width="14.53515625" customWidth="1"/>
    <col min="9" max="9" width="10.23046875" customWidth="1"/>
    <col min="10" max="10" width="14.4609375" customWidth="1"/>
    <col min="11" max="11" width="19.765625" customWidth="1"/>
    <col min="12" max="12" width="29.07421875" customWidth="1"/>
  </cols>
  <sheetData>
    <row r="2" spans="1:13">
      <c r="B2" s="43"/>
      <c r="C2" s="43"/>
      <c r="D2" s="43"/>
      <c r="E2" s="43"/>
      <c r="H2" s="43"/>
      <c r="I2" s="43"/>
      <c r="J2" s="43"/>
      <c r="K2" s="43"/>
      <c r="L2" s="43"/>
      <c r="M2" s="43"/>
    </row>
    <row r="3" spans="1:13" ht="18">
      <c r="A3" s="44" t="s">
        <v>0</v>
      </c>
      <c r="B3" s="45" t="s">
        <v>350</v>
      </c>
      <c r="C3" s="46" t="s">
        <v>351</v>
      </c>
      <c r="D3" s="46" t="s">
        <v>352</v>
      </c>
      <c r="E3" s="46" t="s">
        <v>353</v>
      </c>
      <c r="G3" s="44" t="s">
        <v>0</v>
      </c>
      <c r="H3" s="46" t="s">
        <v>354</v>
      </c>
      <c r="I3" s="46" t="s">
        <v>257</v>
      </c>
      <c r="J3" s="46" t="s">
        <v>355</v>
      </c>
      <c r="K3" s="46" t="s">
        <v>356</v>
      </c>
      <c r="L3" s="46" t="s">
        <v>357</v>
      </c>
      <c r="M3" s="46" t="s">
        <v>358</v>
      </c>
    </row>
    <row r="4" spans="1:13">
      <c r="B4" s="47">
        <v>1</v>
      </c>
      <c r="C4" s="48" t="s">
        <v>359</v>
      </c>
      <c r="D4" s="48" t="s">
        <v>360</v>
      </c>
      <c r="E4" s="48" t="str">
        <f>$H$4</f>
        <v>Bloomin' Brands</v>
      </c>
      <c r="H4" s="48" t="s">
        <v>361</v>
      </c>
      <c r="I4" s="48" t="s">
        <v>362</v>
      </c>
      <c r="J4" s="48" t="s">
        <v>363</v>
      </c>
      <c r="K4" s="48" t="s">
        <v>364</v>
      </c>
      <c r="L4" s="48" t="s">
        <v>365</v>
      </c>
      <c r="M4" s="47">
        <f>COUNTIF($E$4:$E$90,H4)</f>
        <v>18</v>
      </c>
    </row>
    <row r="5" spans="1:13">
      <c r="B5" s="49">
        <f>B4+1</f>
        <v>2</v>
      </c>
      <c r="C5" s="50" t="s">
        <v>366</v>
      </c>
      <c r="D5" s="50" t="s">
        <v>367</v>
      </c>
      <c r="E5" s="50" t="str">
        <f>$H$5</f>
        <v>Target</v>
      </c>
      <c r="H5" s="50" t="s">
        <v>368</v>
      </c>
      <c r="I5" s="50" t="s">
        <v>280</v>
      </c>
      <c r="J5" s="50" t="s">
        <v>369</v>
      </c>
      <c r="K5" s="50" t="s">
        <v>370</v>
      </c>
      <c r="L5" s="50" t="s">
        <v>371</v>
      </c>
      <c r="M5" s="49">
        <f t="shared" ref="M5:M8" si="0">COUNTIF($E$4:$E$90,H5)</f>
        <v>18</v>
      </c>
    </row>
    <row r="6" spans="1:13">
      <c r="B6" s="47">
        <f t="shared" ref="B6:B69" si="1">B5+1</f>
        <v>3</v>
      </c>
      <c r="C6" s="48" t="s">
        <v>372</v>
      </c>
      <c r="D6" s="48" t="s">
        <v>373</v>
      </c>
      <c r="E6" s="48" t="str">
        <f>$H$6</f>
        <v>Qualcomm</v>
      </c>
      <c r="H6" s="48" t="s">
        <v>374</v>
      </c>
      <c r="I6" s="48" t="s">
        <v>375</v>
      </c>
      <c r="J6" s="48" t="s">
        <v>376</v>
      </c>
      <c r="K6" s="48" t="s">
        <v>377</v>
      </c>
      <c r="L6" s="48" t="s">
        <v>378</v>
      </c>
      <c r="M6" s="47">
        <f t="shared" si="0"/>
        <v>17</v>
      </c>
    </row>
    <row r="7" spans="1:13">
      <c r="B7" s="49">
        <f t="shared" si="1"/>
        <v>4</v>
      </c>
      <c r="C7" s="50" t="s">
        <v>379</v>
      </c>
      <c r="D7" s="50" t="s">
        <v>380</v>
      </c>
      <c r="E7" s="50" t="str">
        <f>$H$7</f>
        <v>Dunkin Donuts</v>
      </c>
      <c r="H7" s="50" t="s">
        <v>381</v>
      </c>
      <c r="I7" s="50" t="s">
        <v>382</v>
      </c>
      <c r="J7" s="50" t="s">
        <v>383</v>
      </c>
      <c r="K7" s="50" t="s">
        <v>384</v>
      </c>
      <c r="L7" s="50" t="s">
        <v>385</v>
      </c>
      <c r="M7" s="49">
        <f t="shared" si="0"/>
        <v>17</v>
      </c>
    </row>
    <row r="8" spans="1:13">
      <c r="B8" s="47">
        <f t="shared" si="1"/>
        <v>5</v>
      </c>
      <c r="C8" s="48" t="s">
        <v>386</v>
      </c>
      <c r="D8" s="48" t="s">
        <v>387</v>
      </c>
      <c r="E8" s="48" t="str">
        <f>$H$8</f>
        <v>Merck</v>
      </c>
      <c r="H8" s="48" t="s">
        <v>388</v>
      </c>
      <c r="I8" s="48" t="s">
        <v>389</v>
      </c>
      <c r="J8" s="48" t="s">
        <v>390</v>
      </c>
      <c r="K8" s="48" t="s">
        <v>391</v>
      </c>
      <c r="L8" s="48" t="s">
        <v>392</v>
      </c>
      <c r="M8" s="47">
        <f t="shared" si="0"/>
        <v>17</v>
      </c>
    </row>
    <row r="9" spans="1:13">
      <c r="B9" s="49">
        <f t="shared" si="1"/>
        <v>6</v>
      </c>
      <c r="C9" s="50" t="s">
        <v>393</v>
      </c>
      <c r="D9" s="50" t="s">
        <v>394</v>
      </c>
      <c r="E9" s="50" t="str">
        <f>$H$4</f>
        <v>Bloomin' Brands</v>
      </c>
    </row>
    <row r="10" spans="1:13">
      <c r="B10" s="47">
        <f t="shared" si="1"/>
        <v>7</v>
      </c>
      <c r="C10" s="48" t="s">
        <v>395</v>
      </c>
      <c r="D10" s="48" t="s">
        <v>396</v>
      </c>
      <c r="E10" s="48" t="str">
        <f>$H$5</f>
        <v>Target</v>
      </c>
    </row>
    <row r="11" spans="1:13">
      <c r="B11" s="49">
        <f t="shared" si="1"/>
        <v>8</v>
      </c>
      <c r="C11" s="50" t="s">
        <v>397</v>
      </c>
      <c r="D11" s="50" t="s">
        <v>398</v>
      </c>
      <c r="E11" s="50" t="str">
        <f>$H$6</f>
        <v>Qualcomm</v>
      </c>
    </row>
    <row r="12" spans="1:13">
      <c r="B12" s="47">
        <f t="shared" si="1"/>
        <v>9</v>
      </c>
      <c r="C12" s="48" t="s">
        <v>399</v>
      </c>
      <c r="D12" s="48" t="s">
        <v>400</v>
      </c>
      <c r="E12" s="48" t="str">
        <f>$H$7</f>
        <v>Dunkin Donuts</v>
      </c>
    </row>
    <row r="13" spans="1:13">
      <c r="B13" s="49">
        <f t="shared" si="1"/>
        <v>10</v>
      </c>
      <c r="C13" s="50" t="s">
        <v>401</v>
      </c>
      <c r="D13" s="50" t="s">
        <v>402</v>
      </c>
      <c r="E13" s="50" t="str">
        <f>$H$8</f>
        <v>Merck</v>
      </c>
    </row>
    <row r="14" spans="1:13">
      <c r="B14" s="47">
        <f t="shared" si="1"/>
        <v>11</v>
      </c>
      <c r="C14" s="48" t="s">
        <v>403</v>
      </c>
      <c r="D14" s="48" t="s">
        <v>404</v>
      </c>
      <c r="E14" s="48" t="str">
        <f>$H$4</f>
        <v>Bloomin' Brands</v>
      </c>
    </row>
    <row r="15" spans="1:13">
      <c r="B15" s="49">
        <f t="shared" si="1"/>
        <v>12</v>
      </c>
      <c r="C15" s="50" t="s">
        <v>405</v>
      </c>
      <c r="D15" s="50" t="s">
        <v>406</v>
      </c>
      <c r="E15" s="50" t="str">
        <f>$H$5</f>
        <v>Target</v>
      </c>
    </row>
    <row r="16" spans="1:13">
      <c r="B16" s="47">
        <f t="shared" si="1"/>
        <v>13</v>
      </c>
      <c r="C16" s="48" t="s">
        <v>407</v>
      </c>
      <c r="D16" s="48" t="s">
        <v>408</v>
      </c>
      <c r="E16" s="48" t="str">
        <f>$H$6</f>
        <v>Qualcomm</v>
      </c>
    </row>
    <row r="17" spans="2:5">
      <c r="B17" s="49">
        <f t="shared" si="1"/>
        <v>14</v>
      </c>
      <c r="C17" s="50" t="s">
        <v>409</v>
      </c>
      <c r="D17" s="50" t="s">
        <v>410</v>
      </c>
      <c r="E17" s="50" t="str">
        <f>$H$7</f>
        <v>Dunkin Donuts</v>
      </c>
    </row>
    <row r="18" spans="2:5">
      <c r="B18" s="47">
        <f t="shared" si="1"/>
        <v>15</v>
      </c>
      <c r="C18" s="48" t="s">
        <v>411</v>
      </c>
      <c r="D18" s="48" t="s">
        <v>412</v>
      </c>
      <c r="E18" s="48" t="str">
        <f>$H$8</f>
        <v>Merck</v>
      </c>
    </row>
    <row r="19" spans="2:5">
      <c r="B19" s="49">
        <f t="shared" si="1"/>
        <v>16</v>
      </c>
      <c r="C19" s="50" t="s">
        <v>413</v>
      </c>
      <c r="D19" s="50" t="s">
        <v>414</v>
      </c>
      <c r="E19" s="50" t="str">
        <f>$H$4</f>
        <v>Bloomin' Brands</v>
      </c>
    </row>
    <row r="20" spans="2:5">
      <c r="B20" s="47">
        <f t="shared" si="1"/>
        <v>17</v>
      </c>
      <c r="C20" s="48" t="s">
        <v>415</v>
      </c>
      <c r="D20" s="48" t="s">
        <v>416</v>
      </c>
      <c r="E20" s="48" t="str">
        <f>$H$5</f>
        <v>Target</v>
      </c>
    </row>
    <row r="21" spans="2:5">
      <c r="B21" s="49">
        <f t="shared" si="1"/>
        <v>18</v>
      </c>
      <c r="C21" s="50" t="s">
        <v>417</v>
      </c>
      <c r="D21" s="50" t="s">
        <v>418</v>
      </c>
      <c r="E21" s="50" t="str">
        <f>$H$6</f>
        <v>Qualcomm</v>
      </c>
    </row>
    <row r="22" spans="2:5">
      <c r="B22" s="47">
        <f t="shared" si="1"/>
        <v>19</v>
      </c>
      <c r="C22" s="48" t="s">
        <v>419</v>
      </c>
      <c r="D22" s="48" t="s">
        <v>420</v>
      </c>
      <c r="E22" s="48" t="str">
        <f>$H$7</f>
        <v>Dunkin Donuts</v>
      </c>
    </row>
    <row r="23" spans="2:5">
      <c r="B23" s="49">
        <f t="shared" si="1"/>
        <v>20</v>
      </c>
      <c r="C23" s="50" t="s">
        <v>421</v>
      </c>
      <c r="D23" s="50" t="s">
        <v>422</v>
      </c>
      <c r="E23" s="50" t="str">
        <f>$H$8</f>
        <v>Merck</v>
      </c>
    </row>
    <row r="24" spans="2:5">
      <c r="B24" s="47">
        <f t="shared" si="1"/>
        <v>21</v>
      </c>
      <c r="C24" s="48" t="s">
        <v>423</v>
      </c>
      <c r="D24" s="48" t="s">
        <v>424</v>
      </c>
      <c r="E24" s="48" t="str">
        <f>$H$4</f>
        <v>Bloomin' Brands</v>
      </c>
    </row>
    <row r="25" spans="2:5">
      <c r="B25" s="49">
        <f t="shared" si="1"/>
        <v>22</v>
      </c>
      <c r="C25" s="50" t="s">
        <v>425</v>
      </c>
      <c r="D25" s="50" t="s">
        <v>426</v>
      </c>
      <c r="E25" s="50" t="str">
        <f>$H$5</f>
        <v>Target</v>
      </c>
    </row>
    <row r="26" spans="2:5">
      <c r="B26" s="47">
        <f t="shared" si="1"/>
        <v>23</v>
      </c>
      <c r="C26" s="48" t="s">
        <v>427</v>
      </c>
      <c r="D26" s="48" t="s">
        <v>428</v>
      </c>
      <c r="E26" s="48" t="str">
        <f>$H$6</f>
        <v>Qualcomm</v>
      </c>
    </row>
    <row r="27" spans="2:5">
      <c r="B27" s="49">
        <f t="shared" si="1"/>
        <v>24</v>
      </c>
      <c r="C27" s="50" t="s">
        <v>429</v>
      </c>
      <c r="D27" s="50" t="s">
        <v>430</v>
      </c>
      <c r="E27" s="50" t="str">
        <f>$H$7</f>
        <v>Dunkin Donuts</v>
      </c>
    </row>
    <row r="28" spans="2:5">
      <c r="B28" s="47">
        <f t="shared" si="1"/>
        <v>25</v>
      </c>
      <c r="C28" s="48" t="s">
        <v>431</v>
      </c>
      <c r="D28" s="48" t="s">
        <v>432</v>
      </c>
      <c r="E28" s="48" t="str">
        <f>$H$8</f>
        <v>Merck</v>
      </c>
    </row>
    <row r="29" spans="2:5">
      <c r="B29" s="49">
        <f t="shared" si="1"/>
        <v>26</v>
      </c>
      <c r="C29" s="50" t="s">
        <v>433</v>
      </c>
      <c r="D29" s="50" t="s">
        <v>434</v>
      </c>
      <c r="E29" s="50" t="str">
        <f>$H$4</f>
        <v>Bloomin' Brands</v>
      </c>
    </row>
    <row r="30" spans="2:5">
      <c r="B30" s="47">
        <f t="shared" si="1"/>
        <v>27</v>
      </c>
      <c r="C30" s="48" t="s">
        <v>435</v>
      </c>
      <c r="D30" s="48" t="s">
        <v>436</v>
      </c>
      <c r="E30" s="48" t="str">
        <f>$H$5</f>
        <v>Target</v>
      </c>
    </row>
    <row r="31" spans="2:5">
      <c r="B31" s="49">
        <f t="shared" si="1"/>
        <v>28</v>
      </c>
      <c r="C31" s="50" t="s">
        <v>437</v>
      </c>
      <c r="D31" s="50" t="s">
        <v>438</v>
      </c>
      <c r="E31" s="50" t="str">
        <f>$H$6</f>
        <v>Qualcomm</v>
      </c>
    </row>
    <row r="32" spans="2:5">
      <c r="B32" s="47">
        <f t="shared" si="1"/>
        <v>29</v>
      </c>
      <c r="C32" s="48" t="s">
        <v>439</v>
      </c>
      <c r="D32" s="48" t="s">
        <v>440</v>
      </c>
      <c r="E32" s="48" t="str">
        <f>$H$7</f>
        <v>Dunkin Donuts</v>
      </c>
    </row>
    <row r="33" spans="2:5">
      <c r="B33" s="49">
        <f t="shared" si="1"/>
        <v>30</v>
      </c>
      <c r="C33" s="50" t="s">
        <v>441</v>
      </c>
      <c r="D33" s="50" t="s">
        <v>442</v>
      </c>
      <c r="E33" s="50" t="str">
        <f>$H$8</f>
        <v>Merck</v>
      </c>
    </row>
    <row r="34" spans="2:5">
      <c r="B34" s="47">
        <f t="shared" si="1"/>
        <v>31</v>
      </c>
      <c r="C34" s="48" t="s">
        <v>443</v>
      </c>
      <c r="D34" s="48" t="s">
        <v>444</v>
      </c>
      <c r="E34" s="48" t="str">
        <f>$H$4</f>
        <v>Bloomin' Brands</v>
      </c>
    </row>
    <row r="35" spans="2:5">
      <c r="B35" s="49">
        <f t="shared" si="1"/>
        <v>32</v>
      </c>
      <c r="C35" s="50" t="s">
        <v>445</v>
      </c>
      <c r="D35" s="50" t="s">
        <v>446</v>
      </c>
      <c r="E35" s="50" t="str">
        <f>$H$5</f>
        <v>Target</v>
      </c>
    </row>
    <row r="36" spans="2:5">
      <c r="B36" s="47">
        <f t="shared" si="1"/>
        <v>33</v>
      </c>
      <c r="C36" s="48" t="s">
        <v>447</v>
      </c>
      <c r="D36" s="48" t="s">
        <v>448</v>
      </c>
      <c r="E36" s="48" t="str">
        <f>$H$6</f>
        <v>Qualcomm</v>
      </c>
    </row>
    <row r="37" spans="2:5">
      <c r="B37" s="49">
        <f t="shared" si="1"/>
        <v>34</v>
      </c>
      <c r="C37" s="50" t="s">
        <v>449</v>
      </c>
      <c r="D37" s="50" t="s">
        <v>450</v>
      </c>
      <c r="E37" s="50" t="str">
        <f>$H$7</f>
        <v>Dunkin Donuts</v>
      </c>
    </row>
    <row r="38" spans="2:5">
      <c r="B38" s="47">
        <f t="shared" si="1"/>
        <v>35</v>
      </c>
      <c r="C38" s="48" t="s">
        <v>451</v>
      </c>
      <c r="D38" s="48" t="s">
        <v>452</v>
      </c>
      <c r="E38" s="48" t="str">
        <f>$H$8</f>
        <v>Merck</v>
      </c>
    </row>
    <row r="39" spans="2:5">
      <c r="B39" s="49">
        <f t="shared" si="1"/>
        <v>36</v>
      </c>
      <c r="C39" s="50" t="s">
        <v>453</v>
      </c>
      <c r="D39" s="50" t="s">
        <v>454</v>
      </c>
      <c r="E39" s="50" t="str">
        <f>$H$4</f>
        <v>Bloomin' Brands</v>
      </c>
    </row>
    <row r="40" spans="2:5">
      <c r="B40" s="47">
        <f t="shared" si="1"/>
        <v>37</v>
      </c>
      <c r="C40" s="48" t="s">
        <v>455</v>
      </c>
      <c r="D40" s="48" t="s">
        <v>456</v>
      </c>
      <c r="E40" s="48" t="str">
        <f>$H$5</f>
        <v>Target</v>
      </c>
    </row>
    <row r="41" spans="2:5">
      <c r="B41" s="49">
        <f t="shared" si="1"/>
        <v>38</v>
      </c>
      <c r="C41" s="50" t="s">
        <v>457</v>
      </c>
      <c r="D41" s="50" t="s">
        <v>458</v>
      </c>
      <c r="E41" s="50" t="str">
        <f>$H$6</f>
        <v>Qualcomm</v>
      </c>
    </row>
    <row r="42" spans="2:5">
      <c r="B42" s="47">
        <f t="shared" si="1"/>
        <v>39</v>
      </c>
      <c r="C42" s="48" t="s">
        <v>459</v>
      </c>
      <c r="D42" s="48" t="s">
        <v>460</v>
      </c>
      <c r="E42" s="48" t="str">
        <f>$H$7</f>
        <v>Dunkin Donuts</v>
      </c>
    </row>
    <row r="43" spans="2:5">
      <c r="B43" s="49">
        <f t="shared" si="1"/>
        <v>40</v>
      </c>
      <c r="C43" s="50" t="s">
        <v>461</v>
      </c>
      <c r="D43" s="50" t="s">
        <v>462</v>
      </c>
      <c r="E43" s="50" t="str">
        <f>$H$8</f>
        <v>Merck</v>
      </c>
    </row>
    <row r="44" spans="2:5">
      <c r="B44" s="47">
        <f t="shared" si="1"/>
        <v>41</v>
      </c>
      <c r="C44" s="48" t="s">
        <v>463</v>
      </c>
      <c r="D44" s="48" t="s">
        <v>464</v>
      </c>
      <c r="E44" s="48" t="str">
        <f>$H$4</f>
        <v>Bloomin' Brands</v>
      </c>
    </row>
    <row r="45" spans="2:5">
      <c r="B45" s="49">
        <f t="shared" si="1"/>
        <v>42</v>
      </c>
      <c r="C45" s="50" t="s">
        <v>465</v>
      </c>
      <c r="D45" s="50" t="s">
        <v>466</v>
      </c>
      <c r="E45" s="50" t="str">
        <f>$H$5</f>
        <v>Target</v>
      </c>
    </row>
    <row r="46" spans="2:5">
      <c r="B46" s="47">
        <f t="shared" si="1"/>
        <v>43</v>
      </c>
      <c r="C46" s="48" t="s">
        <v>467</v>
      </c>
      <c r="D46" s="48" t="s">
        <v>468</v>
      </c>
      <c r="E46" s="48" t="str">
        <f>$H$6</f>
        <v>Qualcomm</v>
      </c>
    </row>
    <row r="47" spans="2:5">
      <c r="B47" s="49">
        <f t="shared" si="1"/>
        <v>44</v>
      </c>
      <c r="C47" s="50" t="s">
        <v>469</v>
      </c>
      <c r="D47" s="50" t="s">
        <v>470</v>
      </c>
      <c r="E47" s="50" t="str">
        <f>$H$7</f>
        <v>Dunkin Donuts</v>
      </c>
    </row>
    <row r="48" spans="2:5">
      <c r="B48" s="47">
        <f t="shared" si="1"/>
        <v>45</v>
      </c>
      <c r="C48" s="48" t="s">
        <v>471</v>
      </c>
      <c r="D48" s="48" t="s">
        <v>472</v>
      </c>
      <c r="E48" s="48" t="str">
        <f>$H$8</f>
        <v>Merck</v>
      </c>
    </row>
    <row r="49" spans="2:5">
      <c r="B49" s="49">
        <f t="shared" si="1"/>
        <v>46</v>
      </c>
      <c r="C49" s="50" t="s">
        <v>473</v>
      </c>
      <c r="D49" s="50" t="s">
        <v>474</v>
      </c>
      <c r="E49" s="50" t="str">
        <f>$H$4</f>
        <v>Bloomin' Brands</v>
      </c>
    </row>
    <row r="50" spans="2:5">
      <c r="B50" s="47">
        <f t="shared" si="1"/>
        <v>47</v>
      </c>
      <c r="C50" s="48" t="s">
        <v>475</v>
      </c>
      <c r="D50" s="48" t="s">
        <v>476</v>
      </c>
      <c r="E50" s="48" t="str">
        <f>$H$5</f>
        <v>Target</v>
      </c>
    </row>
    <row r="51" spans="2:5">
      <c r="B51" s="49">
        <f t="shared" si="1"/>
        <v>48</v>
      </c>
      <c r="C51" s="50" t="s">
        <v>477</v>
      </c>
      <c r="D51" s="50" t="s">
        <v>478</v>
      </c>
      <c r="E51" s="50" t="str">
        <f>$H$6</f>
        <v>Qualcomm</v>
      </c>
    </row>
    <row r="52" spans="2:5">
      <c r="B52" s="47">
        <f t="shared" si="1"/>
        <v>49</v>
      </c>
      <c r="C52" s="48" t="s">
        <v>479</v>
      </c>
      <c r="D52" s="48" t="s">
        <v>480</v>
      </c>
      <c r="E52" s="48" t="str">
        <f>$H$7</f>
        <v>Dunkin Donuts</v>
      </c>
    </row>
    <row r="53" spans="2:5">
      <c r="B53" s="49">
        <f t="shared" si="1"/>
        <v>50</v>
      </c>
      <c r="C53" s="50" t="s">
        <v>481</v>
      </c>
      <c r="D53" s="50" t="s">
        <v>482</v>
      </c>
      <c r="E53" s="50" t="str">
        <f>$H$8</f>
        <v>Merck</v>
      </c>
    </row>
    <row r="54" spans="2:5">
      <c r="B54" s="47">
        <f t="shared" si="1"/>
        <v>51</v>
      </c>
      <c r="C54" s="48" t="s">
        <v>483</v>
      </c>
      <c r="D54" s="48" t="s">
        <v>484</v>
      </c>
      <c r="E54" s="48" t="str">
        <f>$H$4</f>
        <v>Bloomin' Brands</v>
      </c>
    </row>
    <row r="55" spans="2:5">
      <c r="B55" s="49">
        <f t="shared" si="1"/>
        <v>52</v>
      </c>
      <c r="C55" s="50" t="s">
        <v>485</v>
      </c>
      <c r="D55" s="50" t="s">
        <v>486</v>
      </c>
      <c r="E55" s="50" t="str">
        <f>$H$5</f>
        <v>Target</v>
      </c>
    </row>
    <row r="56" spans="2:5">
      <c r="B56" s="47">
        <f t="shared" si="1"/>
        <v>53</v>
      </c>
      <c r="C56" s="48" t="s">
        <v>487</v>
      </c>
      <c r="D56" s="48" t="s">
        <v>488</v>
      </c>
      <c r="E56" s="48" t="str">
        <f>$H$6</f>
        <v>Qualcomm</v>
      </c>
    </row>
    <row r="57" spans="2:5">
      <c r="B57" s="49">
        <f t="shared" si="1"/>
        <v>54</v>
      </c>
      <c r="C57" s="50" t="s">
        <v>489</v>
      </c>
      <c r="D57" s="50" t="s">
        <v>490</v>
      </c>
      <c r="E57" s="50" t="str">
        <f>$H$7</f>
        <v>Dunkin Donuts</v>
      </c>
    </row>
    <row r="58" spans="2:5">
      <c r="B58" s="47">
        <f t="shared" si="1"/>
        <v>55</v>
      </c>
      <c r="C58" s="48" t="s">
        <v>491</v>
      </c>
      <c r="D58" s="48" t="s">
        <v>492</v>
      </c>
      <c r="E58" s="48" t="str">
        <f>$H$8</f>
        <v>Merck</v>
      </c>
    </row>
    <row r="59" spans="2:5">
      <c r="B59" s="49">
        <f t="shared" si="1"/>
        <v>56</v>
      </c>
      <c r="C59" s="50" t="s">
        <v>493</v>
      </c>
      <c r="D59" s="50" t="s">
        <v>494</v>
      </c>
      <c r="E59" s="50" t="str">
        <f>$H$4</f>
        <v>Bloomin' Brands</v>
      </c>
    </row>
    <row r="60" spans="2:5">
      <c r="B60" s="47">
        <f t="shared" si="1"/>
        <v>57</v>
      </c>
      <c r="C60" s="48" t="s">
        <v>495</v>
      </c>
      <c r="D60" s="48" t="s">
        <v>496</v>
      </c>
      <c r="E60" s="48" t="str">
        <f>$H$5</f>
        <v>Target</v>
      </c>
    </row>
    <row r="61" spans="2:5">
      <c r="B61" s="49">
        <f t="shared" si="1"/>
        <v>58</v>
      </c>
      <c r="C61" s="50" t="s">
        <v>497</v>
      </c>
      <c r="D61" s="50" t="s">
        <v>498</v>
      </c>
      <c r="E61" s="50" t="str">
        <f>$H$6</f>
        <v>Qualcomm</v>
      </c>
    </row>
    <row r="62" spans="2:5">
      <c r="B62" s="47">
        <f t="shared" si="1"/>
        <v>59</v>
      </c>
      <c r="C62" s="48" t="s">
        <v>499</v>
      </c>
      <c r="D62" s="48" t="s">
        <v>500</v>
      </c>
      <c r="E62" s="48" t="str">
        <f>$H$7</f>
        <v>Dunkin Donuts</v>
      </c>
    </row>
    <row r="63" spans="2:5">
      <c r="B63" s="49">
        <f t="shared" si="1"/>
        <v>60</v>
      </c>
      <c r="C63" s="50" t="s">
        <v>501</v>
      </c>
      <c r="D63" s="50" t="s">
        <v>502</v>
      </c>
      <c r="E63" s="50" t="str">
        <f>$H$8</f>
        <v>Merck</v>
      </c>
    </row>
    <row r="64" spans="2:5">
      <c r="B64" s="47">
        <f t="shared" si="1"/>
        <v>61</v>
      </c>
      <c r="C64" s="48" t="s">
        <v>503</v>
      </c>
      <c r="D64" s="48" t="s">
        <v>504</v>
      </c>
      <c r="E64" s="48" t="str">
        <f>$H$4</f>
        <v>Bloomin' Brands</v>
      </c>
    </row>
    <row r="65" spans="2:5">
      <c r="B65" s="49">
        <f t="shared" si="1"/>
        <v>62</v>
      </c>
      <c r="C65" s="50" t="s">
        <v>505</v>
      </c>
      <c r="D65" s="50" t="s">
        <v>506</v>
      </c>
      <c r="E65" s="50" t="str">
        <f>$H$5</f>
        <v>Target</v>
      </c>
    </row>
    <row r="66" spans="2:5">
      <c r="B66" s="47">
        <f t="shared" si="1"/>
        <v>63</v>
      </c>
      <c r="C66" s="48" t="s">
        <v>507</v>
      </c>
      <c r="D66" s="48" t="s">
        <v>508</v>
      </c>
      <c r="E66" s="48" t="str">
        <f>$H$6</f>
        <v>Qualcomm</v>
      </c>
    </row>
    <row r="67" spans="2:5">
      <c r="B67" s="49">
        <f t="shared" si="1"/>
        <v>64</v>
      </c>
      <c r="C67" s="50" t="s">
        <v>509</v>
      </c>
      <c r="D67" s="50" t="s">
        <v>510</v>
      </c>
      <c r="E67" s="50" t="str">
        <f>$H$7</f>
        <v>Dunkin Donuts</v>
      </c>
    </row>
    <row r="68" spans="2:5">
      <c r="B68" s="47">
        <f t="shared" si="1"/>
        <v>65</v>
      </c>
      <c r="C68" s="48" t="s">
        <v>511</v>
      </c>
      <c r="D68" s="48" t="s">
        <v>512</v>
      </c>
      <c r="E68" s="48" t="str">
        <f>$H$8</f>
        <v>Merck</v>
      </c>
    </row>
    <row r="69" spans="2:5">
      <c r="B69" s="49">
        <f t="shared" si="1"/>
        <v>66</v>
      </c>
      <c r="C69" s="50" t="s">
        <v>513</v>
      </c>
      <c r="D69" s="50" t="s">
        <v>514</v>
      </c>
      <c r="E69" s="50" t="str">
        <f>$H$4</f>
        <v>Bloomin' Brands</v>
      </c>
    </row>
    <row r="70" spans="2:5">
      <c r="B70" s="47">
        <f t="shared" ref="B70:B90" si="2">B69+1</f>
        <v>67</v>
      </c>
      <c r="C70" s="48" t="s">
        <v>515</v>
      </c>
      <c r="D70" s="48" t="s">
        <v>516</v>
      </c>
      <c r="E70" s="48" t="str">
        <f>$H$5</f>
        <v>Target</v>
      </c>
    </row>
    <row r="71" spans="2:5">
      <c r="B71" s="49">
        <f t="shared" si="2"/>
        <v>68</v>
      </c>
      <c r="C71" s="50" t="s">
        <v>517</v>
      </c>
      <c r="D71" s="50" t="s">
        <v>518</v>
      </c>
      <c r="E71" s="50" t="str">
        <f>$H$6</f>
        <v>Qualcomm</v>
      </c>
    </row>
    <row r="72" spans="2:5">
      <c r="B72" s="47">
        <f t="shared" si="2"/>
        <v>69</v>
      </c>
      <c r="C72" s="48" t="s">
        <v>519</v>
      </c>
      <c r="D72" s="48" t="s">
        <v>520</v>
      </c>
      <c r="E72" s="48" t="str">
        <f>$H$7</f>
        <v>Dunkin Donuts</v>
      </c>
    </row>
    <row r="73" spans="2:5">
      <c r="B73" s="49">
        <f t="shared" si="2"/>
        <v>70</v>
      </c>
      <c r="C73" s="50" t="s">
        <v>521</v>
      </c>
      <c r="D73" s="50" t="s">
        <v>522</v>
      </c>
      <c r="E73" s="50" t="str">
        <f>$H$8</f>
        <v>Merck</v>
      </c>
    </row>
    <row r="74" spans="2:5">
      <c r="B74" s="47">
        <f t="shared" si="2"/>
        <v>71</v>
      </c>
      <c r="C74" s="48" t="s">
        <v>523</v>
      </c>
      <c r="D74" s="48" t="s">
        <v>524</v>
      </c>
      <c r="E74" s="48" t="str">
        <f>$H$4</f>
        <v>Bloomin' Brands</v>
      </c>
    </row>
    <row r="75" spans="2:5">
      <c r="B75" s="49">
        <f t="shared" si="2"/>
        <v>72</v>
      </c>
      <c r="C75" s="50" t="s">
        <v>525</v>
      </c>
      <c r="D75" s="50" t="s">
        <v>526</v>
      </c>
      <c r="E75" s="50" t="str">
        <f>$H$5</f>
        <v>Target</v>
      </c>
    </row>
    <row r="76" spans="2:5">
      <c r="B76" s="47">
        <f t="shared" si="2"/>
        <v>73</v>
      </c>
      <c r="C76" s="48" t="s">
        <v>527</v>
      </c>
      <c r="D76" s="48" t="s">
        <v>528</v>
      </c>
      <c r="E76" s="48" t="str">
        <f>$H$6</f>
        <v>Qualcomm</v>
      </c>
    </row>
    <row r="77" spans="2:5">
      <c r="B77" s="49">
        <f t="shared" si="2"/>
        <v>74</v>
      </c>
      <c r="C77" s="50" t="s">
        <v>529</v>
      </c>
      <c r="D77" s="50" t="s">
        <v>530</v>
      </c>
      <c r="E77" s="50" t="str">
        <f>$H$7</f>
        <v>Dunkin Donuts</v>
      </c>
    </row>
    <row r="78" spans="2:5">
      <c r="B78" s="47">
        <f t="shared" si="2"/>
        <v>75</v>
      </c>
      <c r="C78" s="48" t="s">
        <v>531</v>
      </c>
      <c r="D78" s="48" t="s">
        <v>532</v>
      </c>
      <c r="E78" s="48" t="str">
        <f>$H$8</f>
        <v>Merck</v>
      </c>
    </row>
    <row r="79" spans="2:5">
      <c r="B79" s="49">
        <f t="shared" si="2"/>
        <v>76</v>
      </c>
      <c r="C79" s="50" t="s">
        <v>533</v>
      </c>
      <c r="D79" s="50" t="s">
        <v>534</v>
      </c>
      <c r="E79" s="50" t="str">
        <f>$H$4</f>
        <v>Bloomin' Brands</v>
      </c>
    </row>
    <row r="80" spans="2:5">
      <c r="B80" s="47">
        <f t="shared" si="2"/>
        <v>77</v>
      </c>
      <c r="C80" s="48" t="s">
        <v>535</v>
      </c>
      <c r="D80" s="48" t="s">
        <v>536</v>
      </c>
      <c r="E80" s="48" t="str">
        <f>$H$5</f>
        <v>Target</v>
      </c>
    </row>
    <row r="81" spans="2:5">
      <c r="B81" s="49">
        <f t="shared" si="2"/>
        <v>78</v>
      </c>
      <c r="C81" s="50" t="s">
        <v>537</v>
      </c>
      <c r="D81" s="50" t="s">
        <v>538</v>
      </c>
      <c r="E81" s="50" t="str">
        <f>$H$6</f>
        <v>Qualcomm</v>
      </c>
    </row>
    <row r="82" spans="2:5">
      <c r="B82" s="47">
        <f t="shared" si="2"/>
        <v>79</v>
      </c>
      <c r="C82" s="48" t="s">
        <v>539</v>
      </c>
      <c r="D82" s="48" t="s">
        <v>540</v>
      </c>
      <c r="E82" s="48" t="str">
        <f>$H$7</f>
        <v>Dunkin Donuts</v>
      </c>
    </row>
    <row r="83" spans="2:5">
      <c r="B83" s="49">
        <f t="shared" si="2"/>
        <v>80</v>
      </c>
      <c r="C83" s="50" t="s">
        <v>541</v>
      </c>
      <c r="D83" s="50" t="s">
        <v>542</v>
      </c>
      <c r="E83" s="50" t="str">
        <f>$H$8</f>
        <v>Merck</v>
      </c>
    </row>
    <row r="84" spans="2:5">
      <c r="B84" s="47">
        <f t="shared" si="2"/>
        <v>81</v>
      </c>
      <c r="C84" s="48" t="s">
        <v>543</v>
      </c>
      <c r="D84" s="48" t="s">
        <v>544</v>
      </c>
      <c r="E84" s="48" t="str">
        <f>$H$4</f>
        <v>Bloomin' Brands</v>
      </c>
    </row>
    <row r="85" spans="2:5">
      <c r="B85" s="49">
        <f t="shared" si="2"/>
        <v>82</v>
      </c>
      <c r="C85" s="50" t="s">
        <v>545</v>
      </c>
      <c r="D85" s="50" t="s">
        <v>546</v>
      </c>
      <c r="E85" s="50" t="str">
        <f>$H$5</f>
        <v>Target</v>
      </c>
    </row>
    <row r="86" spans="2:5">
      <c r="B86" s="47">
        <f t="shared" si="2"/>
        <v>83</v>
      </c>
      <c r="C86" s="48" t="s">
        <v>547</v>
      </c>
      <c r="D86" s="48" t="s">
        <v>548</v>
      </c>
      <c r="E86" s="48" t="str">
        <f>$H$6</f>
        <v>Qualcomm</v>
      </c>
    </row>
    <row r="87" spans="2:5">
      <c r="B87" s="49">
        <f t="shared" si="2"/>
        <v>84</v>
      </c>
      <c r="C87" s="50" t="s">
        <v>549</v>
      </c>
      <c r="D87" s="50" t="s">
        <v>550</v>
      </c>
      <c r="E87" s="50" t="str">
        <f>$H$7</f>
        <v>Dunkin Donuts</v>
      </c>
    </row>
    <row r="88" spans="2:5">
      <c r="B88" s="47">
        <f t="shared" si="2"/>
        <v>85</v>
      </c>
      <c r="C88" s="48" t="s">
        <v>551</v>
      </c>
      <c r="D88" s="48" t="s">
        <v>552</v>
      </c>
      <c r="E88" s="48" t="str">
        <f>$H$8</f>
        <v>Merck</v>
      </c>
    </row>
    <row r="89" spans="2:5">
      <c r="B89" s="49">
        <f t="shared" si="2"/>
        <v>86</v>
      </c>
      <c r="C89" s="50" t="s">
        <v>553</v>
      </c>
      <c r="D89" s="50" t="s">
        <v>554</v>
      </c>
      <c r="E89" s="50" t="str">
        <f>$H$4</f>
        <v>Bloomin' Brands</v>
      </c>
    </row>
    <row r="90" spans="2:5">
      <c r="B90" s="47">
        <f t="shared" si="2"/>
        <v>87</v>
      </c>
      <c r="C90" s="48" t="s">
        <v>555</v>
      </c>
      <c r="D90" s="48" t="s">
        <v>556</v>
      </c>
      <c r="E90" s="48" t="str">
        <f>$H$5</f>
        <v>Target</v>
      </c>
    </row>
  </sheetData>
  <hyperlinks>
    <hyperlink ref="L4" r:id="rId1" xr:uid="{00000000-0004-0000-0800-000000000000}"/>
    <hyperlink ref="K4" r:id="rId2" xr:uid="{00000000-0004-0000-0800-000001000000}"/>
    <hyperlink ref="L5" r:id="rId3" xr:uid="{00000000-0004-0000-0800-000002000000}"/>
    <hyperlink ref="L6" r:id="rId4" xr:uid="{00000000-0004-0000-0800-000003000000}"/>
    <hyperlink ref="L7" r:id="rId5" xr:uid="{00000000-0004-0000-0800-000004000000}"/>
    <hyperlink ref="L8" r:id="rId6" xr:uid="{00000000-0004-0000-0800-000005000000}"/>
  </hyperlinks>
  <pageMargins left="0.69930555555555596" right="0.69930555555555596" top="0.75" bottom="0.75" header="0.3" footer="0.3"/>
  <pageSetup scale="50" orientation="portrait" horizontalDpi="1200" verticalDpi="120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98"/>
  <sheetViews>
    <sheetView zoomScale="105" zoomScaleNormal="105" workbookViewId="0">
      <selection activeCell="A103" sqref="A103:C103"/>
    </sheetView>
  </sheetViews>
  <sheetFormatPr defaultColWidth="8.84375" defaultRowHeight="14.6"/>
  <cols>
    <col min="3" max="3" width="25.3828125" customWidth="1"/>
  </cols>
  <sheetData>
    <row r="1" spans="1:12">
      <c r="A1" s="140" t="s">
        <v>309</v>
      </c>
      <c r="B1" s="140"/>
      <c r="C1" s="140"/>
      <c r="D1" s="2">
        <v>2017</v>
      </c>
      <c r="E1" s="2">
        <v>2018</v>
      </c>
      <c r="F1" s="2">
        <v>2019</v>
      </c>
      <c r="G1" s="2">
        <v>2020</v>
      </c>
      <c r="H1" s="2">
        <v>2021</v>
      </c>
      <c r="I1" s="2">
        <v>2022</v>
      </c>
      <c r="J1" s="2">
        <v>2023</v>
      </c>
      <c r="K1" s="2">
        <v>2024</v>
      </c>
      <c r="L1" s="2">
        <v>2025</v>
      </c>
    </row>
    <row r="2" spans="1:12">
      <c r="A2" s="141" t="s">
        <v>26</v>
      </c>
      <c r="B2" s="141"/>
      <c r="C2" s="141"/>
    </row>
    <row r="3" spans="1:12" ht="19.3">
      <c r="A3" s="142" t="s">
        <v>27</v>
      </c>
      <c r="B3" s="142"/>
      <c r="C3" s="142"/>
    </row>
    <row r="4" spans="1:12">
      <c r="A4" s="141" t="s">
        <v>28</v>
      </c>
      <c r="B4" s="141"/>
      <c r="C4" s="141"/>
      <c r="D4" s="20">
        <v>2643</v>
      </c>
      <c r="E4" s="20">
        <v>1556</v>
      </c>
      <c r="F4" s="20">
        <v>2577</v>
      </c>
      <c r="K4" s="10"/>
    </row>
    <row r="5" spans="1:12">
      <c r="A5" s="141" t="s">
        <v>29</v>
      </c>
      <c r="B5" s="141"/>
      <c r="C5" s="141"/>
      <c r="D5" s="21">
        <v>8657</v>
      </c>
      <c r="E5" s="22">
        <v>9497</v>
      </c>
      <c r="F5" s="20">
        <v>8992</v>
      </c>
      <c r="K5" s="6"/>
    </row>
    <row r="6" spans="1:12">
      <c r="A6" s="141" t="s">
        <v>30</v>
      </c>
      <c r="B6" s="141"/>
      <c r="C6" s="141"/>
      <c r="D6" s="21">
        <v>1264</v>
      </c>
      <c r="E6" s="22">
        <v>1466</v>
      </c>
      <c r="F6" s="20">
        <v>1333</v>
      </c>
      <c r="K6" s="6"/>
    </row>
    <row r="7" spans="1:12">
      <c r="A7" s="143" t="s">
        <v>31</v>
      </c>
      <c r="B7" s="143"/>
      <c r="C7" s="143"/>
      <c r="D7" s="23">
        <f>SUM(D4:D6)</f>
        <v>12564</v>
      </c>
      <c r="E7" s="23">
        <f>SUM(E4:E6)</f>
        <v>12519</v>
      </c>
      <c r="F7" s="23">
        <f>SUM(F4:F6)</f>
        <v>12902</v>
      </c>
      <c r="K7" s="6"/>
    </row>
    <row r="8" spans="1:12">
      <c r="A8" s="144"/>
      <c r="B8" s="144"/>
      <c r="C8" s="144"/>
      <c r="D8" s="4"/>
      <c r="F8" s="4"/>
      <c r="I8" s="13" t="s">
        <v>32</v>
      </c>
    </row>
    <row r="9" spans="1:12" ht="19.3">
      <c r="A9" s="142" t="s">
        <v>33</v>
      </c>
      <c r="B9" s="142"/>
      <c r="C9" s="142"/>
      <c r="F9" s="4"/>
      <c r="K9" s="6"/>
    </row>
    <row r="10" spans="1:12">
      <c r="A10" s="141" t="s">
        <v>34</v>
      </c>
      <c r="B10" s="141"/>
      <c r="C10" s="141"/>
      <c r="D10" s="21">
        <v>6095</v>
      </c>
      <c r="E10" s="22">
        <v>6064</v>
      </c>
      <c r="F10" s="20">
        <v>6036</v>
      </c>
      <c r="K10" s="6"/>
    </row>
    <row r="11" spans="1:12">
      <c r="A11" s="141" t="s">
        <v>35</v>
      </c>
      <c r="B11" s="141"/>
      <c r="C11" s="141"/>
      <c r="D11" s="21">
        <v>28396</v>
      </c>
      <c r="E11" s="22">
        <v>29240</v>
      </c>
      <c r="F11" s="20">
        <v>30603</v>
      </c>
      <c r="K11" s="6"/>
    </row>
    <row r="12" spans="1:12">
      <c r="A12" s="141" t="s">
        <v>36</v>
      </c>
      <c r="B12" s="141"/>
      <c r="C12" s="141"/>
      <c r="D12" s="21">
        <v>5623</v>
      </c>
      <c r="E12" s="22">
        <v>5912</v>
      </c>
      <c r="F12" s="20">
        <v>6083</v>
      </c>
      <c r="K12" s="6"/>
    </row>
    <row r="13" spans="1:12">
      <c r="A13" s="141" t="s">
        <v>37</v>
      </c>
      <c r="B13" s="141"/>
      <c r="C13" s="141"/>
      <c r="D13" s="21">
        <v>2645</v>
      </c>
      <c r="E13" s="22">
        <v>2544</v>
      </c>
      <c r="F13" s="20">
        <v>2692</v>
      </c>
      <c r="K13" s="6"/>
    </row>
    <row r="14" spans="1:12">
      <c r="A14" s="141" t="s">
        <v>38</v>
      </c>
      <c r="B14" s="141"/>
      <c r="C14" s="141"/>
      <c r="D14" s="21">
        <v>440</v>
      </c>
      <c r="E14" s="22">
        <v>460</v>
      </c>
      <c r="F14" s="20">
        <v>533</v>
      </c>
      <c r="H14" t="s">
        <v>557</v>
      </c>
      <c r="K14" s="7"/>
    </row>
    <row r="15" spans="1:12">
      <c r="A15" s="141" t="s">
        <v>39</v>
      </c>
      <c r="B15" s="141"/>
      <c r="C15" s="141"/>
      <c r="D15" s="24">
        <v>-18181</v>
      </c>
      <c r="E15" s="24">
        <v>-18687</v>
      </c>
      <c r="F15" s="24">
        <v>-19664</v>
      </c>
      <c r="H15" t="s">
        <v>558</v>
      </c>
      <c r="K15" s="6"/>
    </row>
    <row r="16" spans="1:12">
      <c r="A16" s="141" t="s">
        <v>40</v>
      </c>
      <c r="B16" s="141"/>
      <c r="C16" s="141"/>
      <c r="D16" s="25">
        <f>SUM(D10:D15)</f>
        <v>25018</v>
      </c>
      <c r="E16" s="25">
        <f>SUM(E10:E15)</f>
        <v>25533</v>
      </c>
      <c r="F16" s="25">
        <f>SUM(F10:F15)</f>
        <v>26283</v>
      </c>
      <c r="H16" t="s">
        <v>559</v>
      </c>
      <c r="I16" s="9"/>
      <c r="K16" s="6"/>
    </row>
    <row r="17" spans="1:11">
      <c r="A17" s="149" t="s">
        <v>41</v>
      </c>
      <c r="B17" s="149"/>
      <c r="C17" s="149"/>
      <c r="D17" s="26">
        <v>0</v>
      </c>
      <c r="E17" s="27">
        <v>1965</v>
      </c>
      <c r="F17" s="27">
        <v>2236</v>
      </c>
      <c r="I17" s="9"/>
      <c r="K17" s="6"/>
    </row>
    <row r="18" spans="1:11">
      <c r="A18" s="141" t="s">
        <v>42</v>
      </c>
      <c r="B18" s="141"/>
      <c r="C18" s="141"/>
      <c r="D18" s="21">
        <v>1417</v>
      </c>
      <c r="E18" s="22">
        <v>1273</v>
      </c>
      <c r="F18" s="22">
        <v>1358</v>
      </c>
      <c r="I18" s="14" t="s">
        <v>32</v>
      </c>
      <c r="K18" s="10"/>
    </row>
    <row r="19" spans="1:11">
      <c r="A19" s="143" t="s">
        <v>43</v>
      </c>
      <c r="B19" s="143"/>
      <c r="C19" s="143"/>
      <c r="D19" s="23">
        <f>SUM(D16:D18,D7)</f>
        <v>38999</v>
      </c>
      <c r="E19" s="23">
        <f>SUM(E16:E18,E7)</f>
        <v>41290</v>
      </c>
      <c r="F19" s="23">
        <f>SUM(F16:F18,F7)</f>
        <v>42779</v>
      </c>
      <c r="H19" s="9"/>
    </row>
    <row r="20" spans="1:11">
      <c r="A20" s="144"/>
      <c r="B20" s="144"/>
      <c r="C20" s="144"/>
      <c r="F20" s="10"/>
      <c r="K20" s="10"/>
    </row>
    <row r="21" spans="1:11">
      <c r="A21" s="141" t="s">
        <v>44</v>
      </c>
      <c r="B21" s="141"/>
      <c r="C21" s="141"/>
      <c r="K21" s="6"/>
    </row>
    <row r="22" spans="1:11">
      <c r="A22" s="141" t="s">
        <v>45</v>
      </c>
      <c r="B22" s="141"/>
      <c r="C22" s="141"/>
      <c r="D22" s="20">
        <v>8677</v>
      </c>
      <c r="E22" s="20">
        <v>9761</v>
      </c>
      <c r="F22" s="20">
        <v>9920</v>
      </c>
      <c r="K22" s="6"/>
    </row>
    <row r="23" spans="1:11">
      <c r="A23" s="141" t="s">
        <v>46</v>
      </c>
      <c r="B23" s="141"/>
      <c r="C23" s="141"/>
      <c r="D23" s="21">
        <v>4254</v>
      </c>
      <c r="E23" s="22">
        <v>4201</v>
      </c>
      <c r="F23" s="22">
        <v>4406</v>
      </c>
      <c r="K23" s="6"/>
    </row>
    <row r="24" spans="1:11">
      <c r="A24" s="141" t="s">
        <v>47</v>
      </c>
      <c r="B24" s="141"/>
      <c r="C24" s="141"/>
      <c r="D24" s="21">
        <v>270</v>
      </c>
      <c r="E24" s="22">
        <v>1052</v>
      </c>
      <c r="F24" s="22">
        <v>161</v>
      </c>
      <c r="K24" s="6"/>
    </row>
    <row r="25" spans="1:11">
      <c r="A25" s="143" t="s">
        <v>48</v>
      </c>
      <c r="B25" s="143"/>
      <c r="C25" s="143"/>
      <c r="D25" s="23">
        <f>SUM(D22:D24)</f>
        <v>13201</v>
      </c>
      <c r="E25" s="23">
        <f>SUM(E22:E24)</f>
        <v>15014</v>
      </c>
      <c r="F25" s="23">
        <f>SUM(F22:F24)</f>
        <v>14487</v>
      </c>
      <c r="H25" s="4"/>
      <c r="K25" s="6"/>
    </row>
    <row r="26" spans="1:11">
      <c r="A26" s="144"/>
      <c r="B26" s="144"/>
      <c r="C26" s="144"/>
      <c r="D26" s="28"/>
      <c r="E26" s="28"/>
      <c r="F26" s="22"/>
      <c r="K26" s="6"/>
    </row>
    <row r="27" spans="1:11">
      <c r="A27" s="141" t="s">
        <v>49</v>
      </c>
      <c r="B27" s="141"/>
      <c r="C27" s="141"/>
      <c r="D27" s="21">
        <v>11317</v>
      </c>
      <c r="E27" s="22">
        <v>10223</v>
      </c>
      <c r="F27" s="22">
        <v>11338</v>
      </c>
      <c r="K27" s="6"/>
    </row>
    <row r="28" spans="1:11">
      <c r="A28" s="141" t="s">
        <v>51</v>
      </c>
      <c r="B28" s="141"/>
      <c r="C28" s="141"/>
      <c r="D28" s="21">
        <v>713</v>
      </c>
      <c r="E28" s="22">
        <v>972</v>
      </c>
      <c r="F28" s="22">
        <v>1122</v>
      </c>
    </row>
    <row r="29" spans="1:11">
      <c r="A29" s="141" t="s">
        <v>52</v>
      </c>
      <c r="B29" s="141"/>
      <c r="C29" s="141"/>
      <c r="D29" s="21">
        <v>2059</v>
      </c>
      <c r="E29" s="22">
        <v>1780</v>
      </c>
      <c r="F29" s="22">
        <v>1724</v>
      </c>
      <c r="K29" s="6"/>
    </row>
    <row r="30" spans="1:11">
      <c r="A30" s="143" t="s">
        <v>53</v>
      </c>
      <c r="B30" s="143"/>
      <c r="C30" s="143"/>
      <c r="D30" s="21">
        <f>SUM(D27:D29)</f>
        <v>14089</v>
      </c>
      <c r="E30" s="22">
        <v>14979</v>
      </c>
      <c r="F30" s="22">
        <v>16459</v>
      </c>
      <c r="K30" s="6"/>
    </row>
    <row r="31" spans="1:11">
      <c r="A31" s="144"/>
      <c r="B31" s="144"/>
      <c r="C31" s="144"/>
      <c r="D31" s="28"/>
      <c r="E31" s="28"/>
      <c r="F31" s="22"/>
      <c r="K31" s="6"/>
    </row>
    <row r="32" spans="1:11">
      <c r="A32" s="141" t="s">
        <v>54</v>
      </c>
      <c r="B32" s="141"/>
      <c r="C32" s="141"/>
      <c r="D32" s="28"/>
      <c r="E32" s="28"/>
      <c r="F32" s="28"/>
      <c r="K32" s="7"/>
    </row>
    <row r="33" spans="1:12">
      <c r="A33" s="141" t="s">
        <v>55</v>
      </c>
      <c r="B33" s="141"/>
      <c r="C33" s="141"/>
      <c r="D33" s="21">
        <v>45</v>
      </c>
      <c r="E33" s="22">
        <v>43</v>
      </c>
      <c r="F33" s="22">
        <v>42</v>
      </c>
      <c r="K33" s="6"/>
    </row>
    <row r="34" spans="1:12">
      <c r="A34" s="141" t="s">
        <v>56</v>
      </c>
      <c r="B34" s="141"/>
      <c r="C34" s="141"/>
      <c r="D34" s="21">
        <v>5858</v>
      </c>
      <c r="E34" s="22">
        <v>6042</v>
      </c>
      <c r="F34" s="22">
        <v>6226</v>
      </c>
      <c r="K34" s="10"/>
    </row>
    <row r="35" spans="1:12">
      <c r="A35" s="141" t="s">
        <v>57</v>
      </c>
      <c r="B35" s="141"/>
      <c r="C35" s="141"/>
      <c r="D35" s="21">
        <v>6553</v>
      </c>
      <c r="E35" s="22">
        <v>6017</v>
      </c>
      <c r="F35" s="22">
        <v>6433</v>
      </c>
    </row>
    <row r="36" spans="1:12">
      <c r="A36" s="141" t="s">
        <v>58</v>
      </c>
      <c r="B36" s="141"/>
      <c r="C36" s="141"/>
      <c r="D36" s="24">
        <v>-747</v>
      </c>
      <c r="E36" s="24">
        <v>-805</v>
      </c>
      <c r="F36" s="24">
        <v>-868</v>
      </c>
    </row>
    <row r="37" spans="1:12">
      <c r="A37" s="143" t="s">
        <v>59</v>
      </c>
      <c r="B37" s="143"/>
      <c r="C37" s="143"/>
      <c r="D37" s="25">
        <f>SUM(D33:D36)</f>
        <v>11709</v>
      </c>
      <c r="E37" s="25">
        <f>SUM(E33:E36)</f>
        <v>11297</v>
      </c>
      <c r="F37" s="25">
        <f>SUM(F33:F36)</f>
        <v>11833</v>
      </c>
    </row>
    <row r="38" spans="1:12">
      <c r="A38" s="143" t="s">
        <v>60</v>
      </c>
      <c r="B38" s="143"/>
      <c r="C38" s="143"/>
      <c r="D38" s="23">
        <f>SUM(D37,D30,D25)</f>
        <v>38999</v>
      </c>
      <c r="E38" s="23">
        <f>SUM(E37,E30,E25)</f>
        <v>41290</v>
      </c>
      <c r="F38" s="23">
        <f>SUM(F37,F30,F25)</f>
        <v>42779</v>
      </c>
    </row>
    <row r="39" spans="1:12" ht="13.85" customHeight="1"/>
    <row r="40" spans="1:12">
      <c r="A40" s="140" t="s">
        <v>310</v>
      </c>
      <c r="B40" s="140"/>
      <c r="C40" s="140"/>
      <c r="D40" s="2">
        <v>2017</v>
      </c>
      <c r="E40" s="2">
        <v>2018</v>
      </c>
      <c r="F40" s="2">
        <v>2019</v>
      </c>
      <c r="G40" s="2">
        <v>2020</v>
      </c>
      <c r="H40" s="2">
        <v>2021</v>
      </c>
      <c r="I40" s="2">
        <v>2022</v>
      </c>
      <c r="J40" s="2">
        <v>2023</v>
      </c>
      <c r="K40" s="2">
        <v>2024</v>
      </c>
      <c r="L40" s="2">
        <v>2025</v>
      </c>
    </row>
    <row r="41" spans="1:12">
      <c r="A41" s="141" t="s">
        <v>61</v>
      </c>
      <c r="B41" s="141"/>
      <c r="C41" s="141"/>
    </row>
    <row r="42" spans="1:12">
      <c r="A42" s="145" t="s">
        <v>62</v>
      </c>
      <c r="B42" s="145"/>
      <c r="C42" s="145"/>
      <c r="D42" s="28">
        <v>71786</v>
      </c>
      <c r="E42" s="28">
        <v>74433</v>
      </c>
      <c r="F42" s="28">
        <v>77130</v>
      </c>
    </row>
    <row r="43" spans="1:12">
      <c r="A43" s="145" t="s">
        <v>63</v>
      </c>
      <c r="B43" s="145"/>
      <c r="C43" s="145"/>
      <c r="D43" s="28">
        <v>928</v>
      </c>
      <c r="E43" s="28">
        <v>923</v>
      </c>
      <c r="F43" s="28">
        <v>982</v>
      </c>
    </row>
    <row r="44" spans="1:12">
      <c r="A44" s="145" t="s">
        <v>64</v>
      </c>
      <c r="B44" s="145"/>
      <c r="C44" s="145"/>
      <c r="D44" s="28">
        <v>72714</v>
      </c>
      <c r="E44" s="28">
        <v>75356</v>
      </c>
      <c r="F44" s="28">
        <f>SUM(F42:F43)</f>
        <v>78112</v>
      </c>
    </row>
    <row r="45" spans="1:12">
      <c r="A45" s="145" t="s">
        <v>65</v>
      </c>
      <c r="B45" s="145"/>
      <c r="C45" s="145"/>
      <c r="D45" s="28">
        <v>51125</v>
      </c>
      <c r="E45" s="28">
        <v>53299</v>
      </c>
      <c r="F45" s="28">
        <v>54864</v>
      </c>
    </row>
    <row r="46" spans="1:12">
      <c r="A46" s="145" t="s">
        <v>66</v>
      </c>
      <c r="B46" s="145"/>
      <c r="C46" s="145"/>
      <c r="D46" s="28">
        <v>15140</v>
      </c>
      <c r="E46" s="28">
        <v>15723</v>
      </c>
      <c r="F46" s="28">
        <v>16233</v>
      </c>
    </row>
    <row r="47" spans="1:12">
      <c r="A47" s="145" t="s">
        <v>67</v>
      </c>
      <c r="B47" s="145"/>
      <c r="C47" s="145"/>
      <c r="D47" s="28">
        <v>2225</v>
      </c>
      <c r="E47" s="28">
        <v>2224</v>
      </c>
      <c r="F47" s="28">
        <v>2357</v>
      </c>
    </row>
    <row r="48" spans="1:12">
      <c r="A48" s="145" t="s">
        <v>68</v>
      </c>
      <c r="B48" s="145"/>
      <c r="C48" s="145"/>
      <c r="D48" s="29">
        <f>D44-SUM(D45:D47)</f>
        <v>4224</v>
      </c>
      <c r="E48" s="29">
        <f>E44-SUM(E45:E47)</f>
        <v>4110</v>
      </c>
      <c r="F48" s="29">
        <f>F44-SUM(F45:F47)</f>
        <v>4658</v>
      </c>
    </row>
    <row r="49" spans="1:6">
      <c r="A49" s="145" t="s">
        <v>69</v>
      </c>
      <c r="B49" s="145"/>
      <c r="C49" s="145"/>
      <c r="D49" s="28">
        <v>653</v>
      </c>
      <c r="E49" s="28">
        <v>461</v>
      </c>
      <c r="F49" s="24">
        <v>477</v>
      </c>
    </row>
    <row r="50" spans="1:6">
      <c r="A50" s="145" t="s">
        <v>70</v>
      </c>
      <c r="B50" s="145"/>
      <c r="C50" s="145"/>
      <c r="D50" s="24">
        <v>-59</v>
      </c>
      <c r="E50" s="24">
        <v>-27</v>
      </c>
      <c r="F50" s="24">
        <v>-9</v>
      </c>
    </row>
    <row r="51" spans="1:6">
      <c r="A51" s="145" t="s">
        <v>71</v>
      </c>
      <c r="B51" s="145"/>
      <c r="C51" s="145"/>
      <c r="D51" s="11">
        <f>D48-D49-D50</f>
        <v>3630</v>
      </c>
      <c r="E51" s="11">
        <f>E48-E49-E50</f>
        <v>3676</v>
      </c>
      <c r="F51" s="11">
        <f>F48-F49-F50</f>
        <v>4190</v>
      </c>
    </row>
    <row r="52" spans="1:6">
      <c r="A52" s="145" t="s">
        <v>72</v>
      </c>
      <c r="B52" s="145"/>
      <c r="C52" s="145"/>
      <c r="D52" s="28">
        <v>722</v>
      </c>
      <c r="E52" s="28">
        <v>746</v>
      </c>
      <c r="F52" s="28">
        <v>921</v>
      </c>
    </row>
    <row r="53" spans="1:6">
      <c r="A53" s="145" t="s">
        <v>73</v>
      </c>
      <c r="B53" s="145"/>
      <c r="C53" s="145"/>
      <c r="D53" s="28">
        <v>2908</v>
      </c>
      <c r="E53" s="28">
        <v>2930</v>
      </c>
      <c r="F53" s="28">
        <v>3269</v>
      </c>
    </row>
    <row r="54" spans="1:6">
      <c r="A54" s="145" t="s">
        <v>74</v>
      </c>
      <c r="B54" s="145"/>
      <c r="C54" s="145"/>
      <c r="D54" s="28">
        <v>6</v>
      </c>
      <c r="E54" s="28">
        <v>7</v>
      </c>
      <c r="F54" s="28">
        <v>12</v>
      </c>
    </row>
    <row r="55" spans="1:6">
      <c r="A55" s="147" t="s">
        <v>75</v>
      </c>
      <c r="B55" s="147"/>
      <c r="C55" s="147"/>
      <c r="D55" s="29">
        <f>SUM(D53:D54)</f>
        <v>2914</v>
      </c>
      <c r="E55" s="29">
        <f>SUM(E53:E54)</f>
        <v>2937</v>
      </c>
      <c r="F55" s="29">
        <f>SUM(F53:F54)</f>
        <v>3281</v>
      </c>
    </row>
    <row r="56" spans="1:6" ht="19.3">
      <c r="A56" s="148" t="s">
        <v>76</v>
      </c>
      <c r="B56" s="148"/>
      <c r="C56" s="148"/>
      <c r="D56" s="28"/>
      <c r="E56" s="28"/>
      <c r="F56" s="28"/>
    </row>
    <row r="57" spans="1:6">
      <c r="A57" s="145" t="s">
        <v>77</v>
      </c>
      <c r="B57" s="145"/>
      <c r="C57" s="145"/>
      <c r="D57" s="28">
        <v>5.32</v>
      </c>
      <c r="E57" s="28">
        <v>5.54</v>
      </c>
      <c r="F57" s="28">
        <v>6.39</v>
      </c>
    </row>
    <row r="58" spans="1:6">
      <c r="A58" s="145" t="s">
        <v>78</v>
      </c>
      <c r="B58" s="145"/>
      <c r="C58" s="145"/>
      <c r="D58" s="28">
        <v>0.01</v>
      </c>
      <c r="E58" s="28">
        <v>0.01</v>
      </c>
      <c r="F58" s="28">
        <v>0.02</v>
      </c>
    </row>
    <row r="59" spans="1:6">
      <c r="A59" s="145" t="s">
        <v>79</v>
      </c>
      <c r="B59" s="145"/>
      <c r="C59" s="145"/>
      <c r="D59" s="28">
        <v>5.32</v>
      </c>
      <c r="E59" s="28">
        <v>5.55</v>
      </c>
      <c r="F59" s="28">
        <v>6.42</v>
      </c>
    </row>
    <row r="60" spans="1:6" ht="19.3">
      <c r="A60" s="148" t="s">
        <v>80</v>
      </c>
      <c r="B60" s="148"/>
      <c r="C60" s="148"/>
      <c r="D60" s="28"/>
      <c r="E60" s="28"/>
      <c r="F60" s="28"/>
    </row>
    <row r="61" spans="1:6">
      <c r="A61" s="145" t="s">
        <v>77</v>
      </c>
      <c r="B61" s="145"/>
      <c r="C61" s="145"/>
      <c r="D61" s="28">
        <v>5.29</v>
      </c>
      <c r="E61" s="28">
        <v>5.5</v>
      </c>
      <c r="F61" s="28">
        <v>6.34</v>
      </c>
    </row>
    <row r="62" spans="1:6">
      <c r="A62" s="145" t="s">
        <v>78</v>
      </c>
      <c r="B62" s="145"/>
      <c r="C62" s="145"/>
      <c r="D62" s="28">
        <v>1E-3</v>
      </c>
      <c r="E62" s="28">
        <v>1E-3</v>
      </c>
      <c r="F62" s="28">
        <v>2E-3</v>
      </c>
    </row>
    <row r="63" spans="1:6">
      <c r="A63" s="145" t="s">
        <v>79</v>
      </c>
      <c r="B63" s="145"/>
      <c r="C63" s="145"/>
      <c r="D63" s="28">
        <v>5.29</v>
      </c>
      <c r="E63" s="28">
        <v>5.51</v>
      </c>
      <c r="F63" s="28">
        <f>6.36</f>
        <v>6.36</v>
      </c>
    </row>
    <row r="64" spans="1:6">
      <c r="A64" s="145" t="s">
        <v>81</v>
      </c>
      <c r="B64" s="145"/>
      <c r="C64" s="145"/>
      <c r="D64" s="28"/>
      <c r="E64" s="28"/>
      <c r="F64" s="28"/>
    </row>
    <row r="65" spans="1:12">
      <c r="A65" s="145" t="s">
        <v>82</v>
      </c>
      <c r="B65" s="145"/>
      <c r="C65" s="145"/>
      <c r="D65" s="28">
        <v>510.9</v>
      </c>
      <c r="E65" s="28">
        <v>528.6</v>
      </c>
      <c r="F65" s="28">
        <v>546.79999999999995</v>
      </c>
    </row>
    <row r="66" spans="1:12">
      <c r="A66" s="145" t="s">
        <v>83</v>
      </c>
      <c r="B66" s="145"/>
      <c r="C66" s="145"/>
      <c r="D66" s="28">
        <v>515.6</v>
      </c>
      <c r="E66" s="28">
        <v>533.20000000000005</v>
      </c>
      <c r="F66" s="28">
        <v>550.29999999999995</v>
      </c>
    </row>
    <row r="67" spans="1:12">
      <c r="A67" s="149" t="s">
        <v>84</v>
      </c>
      <c r="B67" s="149"/>
      <c r="C67" s="149"/>
      <c r="D67" s="30">
        <v>0</v>
      </c>
      <c r="E67" s="30">
        <v>0</v>
      </c>
      <c r="F67" s="31">
        <v>4.0999999999999996</v>
      </c>
    </row>
    <row r="68" spans="1:12">
      <c r="A68" s="146"/>
      <c r="B68" s="146"/>
      <c r="C68" s="146"/>
    </row>
    <row r="69" spans="1:12">
      <c r="A69" s="140" t="s">
        <v>85</v>
      </c>
      <c r="B69" s="140"/>
      <c r="C69" s="140"/>
      <c r="D69" s="2">
        <v>2017</v>
      </c>
      <c r="E69" s="2">
        <v>2018</v>
      </c>
      <c r="F69" s="2">
        <v>2019</v>
      </c>
      <c r="G69" s="2">
        <v>2020</v>
      </c>
      <c r="H69" s="2">
        <v>2021</v>
      </c>
      <c r="I69" s="2">
        <v>2022</v>
      </c>
      <c r="J69" s="2">
        <v>2023</v>
      </c>
      <c r="K69" s="2">
        <v>2024</v>
      </c>
      <c r="L69" s="2">
        <v>2025</v>
      </c>
    </row>
    <row r="70" spans="1:12">
      <c r="A70" s="147" t="s">
        <v>86</v>
      </c>
      <c r="B70" s="147"/>
      <c r="C70" s="147"/>
    </row>
    <row r="71" spans="1:12">
      <c r="A71" s="145" t="s">
        <v>87</v>
      </c>
      <c r="B71" s="145"/>
      <c r="C71" s="145"/>
      <c r="D71" s="28">
        <v>2914</v>
      </c>
      <c r="E71" s="28">
        <v>2937</v>
      </c>
      <c r="F71" s="28">
        <v>3281</v>
      </c>
    </row>
    <row r="72" spans="1:12">
      <c r="A72" s="145" t="s">
        <v>88</v>
      </c>
      <c r="B72" s="145"/>
      <c r="C72" s="145"/>
      <c r="D72" s="28">
        <v>6</v>
      </c>
      <c r="E72" s="28">
        <v>7</v>
      </c>
      <c r="F72" s="28">
        <v>12</v>
      </c>
    </row>
    <row r="73" spans="1:12">
      <c r="A73" s="145" t="s">
        <v>73</v>
      </c>
      <c r="B73" s="145"/>
      <c r="C73" s="145"/>
      <c r="D73" s="29">
        <f>D71-D72</f>
        <v>2908</v>
      </c>
      <c r="E73" s="29">
        <f t="shared" ref="E73:F73" si="0">E71-E72</f>
        <v>2930</v>
      </c>
      <c r="F73" s="29">
        <f t="shared" si="0"/>
        <v>3269</v>
      </c>
    </row>
    <row r="74" spans="1:12">
      <c r="A74" s="145" t="s">
        <v>89</v>
      </c>
      <c r="B74" s="145"/>
      <c r="C74" s="145"/>
      <c r="D74" s="28"/>
      <c r="E74" s="28"/>
      <c r="F74" s="28"/>
    </row>
    <row r="75" spans="1:12">
      <c r="A75" s="145" t="s">
        <v>90</v>
      </c>
      <c r="B75" s="145"/>
      <c r="C75" s="145"/>
      <c r="D75" s="24">
        <v>2476</v>
      </c>
      <c r="E75" s="24">
        <v>2474</v>
      </c>
      <c r="F75" s="24">
        <v>2604</v>
      </c>
    </row>
    <row r="76" spans="1:12">
      <c r="A76" s="145" t="s">
        <v>91</v>
      </c>
      <c r="B76" s="145"/>
      <c r="C76" s="145"/>
      <c r="D76" s="32">
        <v>112</v>
      </c>
      <c r="E76" s="32">
        <v>132</v>
      </c>
      <c r="F76" s="32">
        <v>147</v>
      </c>
    </row>
    <row r="77" spans="1:12">
      <c r="A77" s="145" t="s">
        <v>92</v>
      </c>
      <c r="B77" s="145"/>
      <c r="C77" s="145"/>
      <c r="D77" s="33">
        <v>-188</v>
      </c>
      <c r="E77" s="32">
        <v>322</v>
      </c>
      <c r="F77" s="32">
        <v>178</v>
      </c>
    </row>
    <row r="78" spans="1:12">
      <c r="A78" s="149" t="s">
        <v>93</v>
      </c>
      <c r="B78" s="149"/>
      <c r="C78" s="149"/>
      <c r="D78" s="34">
        <v>123</v>
      </c>
      <c r="E78" s="35">
        <v>0</v>
      </c>
      <c r="F78" s="34">
        <v>10</v>
      </c>
    </row>
    <row r="79" spans="1:12">
      <c r="A79" s="145" t="s">
        <v>94</v>
      </c>
      <c r="B79" s="145"/>
      <c r="C79" s="145"/>
      <c r="D79" s="32">
        <v>208</v>
      </c>
      <c r="E79" s="32">
        <v>95</v>
      </c>
      <c r="F79" s="32">
        <v>29</v>
      </c>
    </row>
    <row r="80" spans="1:12">
      <c r="A80" s="145" t="s">
        <v>95</v>
      </c>
      <c r="B80" s="145"/>
      <c r="C80" s="145"/>
      <c r="D80" s="32"/>
      <c r="E80" s="32"/>
      <c r="F80" s="32"/>
    </row>
    <row r="81" spans="1:6">
      <c r="A81" s="145" t="s">
        <v>96</v>
      </c>
      <c r="B81" s="145"/>
      <c r="C81" s="145"/>
      <c r="D81" s="33">
        <v>-348</v>
      </c>
      <c r="E81" s="33">
        <v>-900</v>
      </c>
      <c r="F81" s="32">
        <v>505</v>
      </c>
    </row>
    <row r="82" spans="1:6">
      <c r="A82" s="145" t="s">
        <v>97</v>
      </c>
      <c r="B82" s="145"/>
      <c r="C82" s="145"/>
      <c r="D82" s="33">
        <v>-156</v>
      </c>
      <c r="E82" s="33">
        <v>-299</v>
      </c>
      <c r="F82" s="32">
        <v>18</v>
      </c>
    </row>
    <row r="83" spans="1:6">
      <c r="A83" s="145" t="s">
        <v>45</v>
      </c>
      <c r="B83" s="145"/>
      <c r="C83" s="145"/>
      <c r="D83" s="32">
        <v>1307</v>
      </c>
      <c r="E83" s="32">
        <v>1127</v>
      </c>
      <c r="F83" s="32">
        <v>140</v>
      </c>
    </row>
    <row r="84" spans="1:6">
      <c r="A84" s="145" t="s">
        <v>98</v>
      </c>
      <c r="B84" s="145"/>
      <c r="C84" s="145"/>
      <c r="D84" s="32">
        <v>419</v>
      </c>
      <c r="E84" s="32">
        <v>89</v>
      </c>
      <c r="F84" s="32">
        <v>199</v>
      </c>
    </row>
    <row r="85" spans="1:6">
      <c r="A85" s="145" t="s">
        <v>99</v>
      </c>
      <c r="B85" s="145"/>
      <c r="C85" s="145"/>
      <c r="D85" s="32">
        <v>6861</v>
      </c>
      <c r="E85" s="32">
        <v>5970</v>
      </c>
      <c r="F85" s="32">
        <v>7099</v>
      </c>
    </row>
    <row r="86" spans="1:6">
      <c r="A86" s="145" t="s">
        <v>100</v>
      </c>
      <c r="B86" s="145"/>
      <c r="C86" s="145"/>
      <c r="D86" s="32">
        <v>74</v>
      </c>
      <c r="E86" s="28">
        <v>3</v>
      </c>
      <c r="F86" s="32">
        <v>18</v>
      </c>
    </row>
    <row r="87" spans="1:6">
      <c r="A87" s="145" t="s">
        <v>101</v>
      </c>
      <c r="B87" s="145"/>
      <c r="C87" s="145"/>
      <c r="D87" s="36">
        <f>SUM(D85:D86)</f>
        <v>6935</v>
      </c>
      <c r="E87" s="29">
        <f>SUM(E85:E86)</f>
        <v>5973</v>
      </c>
      <c r="F87" s="29">
        <f>SUM(F85:F86)</f>
        <v>7117</v>
      </c>
    </row>
    <row r="88" spans="1:6">
      <c r="A88" s="147" t="s">
        <v>102</v>
      </c>
      <c r="B88" s="147"/>
      <c r="C88" s="147"/>
      <c r="D88" s="28"/>
      <c r="E88" s="28"/>
      <c r="F88" s="28"/>
    </row>
    <row r="89" spans="1:6">
      <c r="A89" s="145" t="s">
        <v>103</v>
      </c>
      <c r="B89" s="145"/>
      <c r="C89" s="145"/>
      <c r="D89" s="24">
        <v>-2533</v>
      </c>
      <c r="E89" s="24">
        <v>-3516</v>
      </c>
      <c r="F89" s="24">
        <v>-3027</v>
      </c>
    </row>
    <row r="90" spans="1:6">
      <c r="A90" s="145" t="s">
        <v>104</v>
      </c>
      <c r="B90" s="145"/>
      <c r="C90" s="145"/>
      <c r="D90" s="28">
        <v>31</v>
      </c>
      <c r="E90" s="28">
        <v>85</v>
      </c>
      <c r="F90" s="24">
        <v>63</v>
      </c>
    </row>
    <row r="91" spans="1:6">
      <c r="A91" s="149" t="s">
        <v>105</v>
      </c>
      <c r="B91" s="149"/>
      <c r="C91" s="149"/>
      <c r="D91" s="37">
        <v>-518</v>
      </c>
      <c r="E91" s="35">
        <v>0</v>
      </c>
      <c r="F91" s="35">
        <v>0</v>
      </c>
    </row>
    <row r="92" spans="1:6">
      <c r="A92" s="145" t="s">
        <v>106</v>
      </c>
      <c r="B92" s="145"/>
      <c r="C92" s="145"/>
      <c r="D92" s="24">
        <v>-55</v>
      </c>
      <c r="E92" s="28">
        <v>15</v>
      </c>
      <c r="F92" s="24">
        <v>20</v>
      </c>
    </row>
    <row r="93" spans="1:6">
      <c r="A93" s="145" t="s">
        <v>107</v>
      </c>
      <c r="B93" s="145"/>
      <c r="C93" s="145"/>
      <c r="D93" s="11">
        <f>SUM(D89:D92)</f>
        <v>-3075</v>
      </c>
      <c r="E93" s="11">
        <f>SUM(E89:E92)</f>
        <v>-3416</v>
      </c>
      <c r="F93" s="11">
        <f>SUM(F89:F92)</f>
        <v>-2944</v>
      </c>
    </row>
    <row r="94" spans="1:6">
      <c r="A94" s="147" t="s">
        <v>108</v>
      </c>
      <c r="B94" s="147"/>
      <c r="C94" s="147"/>
      <c r="D94" s="28"/>
      <c r="E94" s="28"/>
      <c r="F94" s="28"/>
    </row>
    <row r="95" spans="1:6">
      <c r="A95" s="149" t="s">
        <v>109</v>
      </c>
      <c r="B95" s="149"/>
      <c r="C95" s="149"/>
      <c r="D95" s="31">
        <v>739</v>
      </c>
      <c r="E95" s="35">
        <v>0</v>
      </c>
      <c r="F95" s="37">
        <v>1739</v>
      </c>
    </row>
    <row r="96" spans="1:6">
      <c r="A96" s="145" t="s">
        <v>110</v>
      </c>
      <c r="B96" s="145"/>
      <c r="C96" s="145"/>
      <c r="D96" s="24">
        <v>-2192</v>
      </c>
      <c r="E96" s="24">
        <v>-281</v>
      </c>
      <c r="F96" s="24">
        <v>-2069</v>
      </c>
    </row>
    <row r="97" spans="1:12">
      <c r="A97" s="145" t="s">
        <v>111</v>
      </c>
      <c r="B97" s="145"/>
      <c r="C97" s="145"/>
      <c r="D97" s="24">
        <v>-1338</v>
      </c>
      <c r="E97" s="24">
        <v>-1335</v>
      </c>
      <c r="F97" s="24">
        <v>-1330</v>
      </c>
    </row>
    <row r="98" spans="1:12">
      <c r="A98" s="145" t="s">
        <v>112</v>
      </c>
      <c r="B98" s="145"/>
      <c r="C98" s="145"/>
      <c r="D98" s="24">
        <v>-1046</v>
      </c>
      <c r="E98" s="24">
        <v>-2124</v>
      </c>
      <c r="F98" s="24">
        <v>-1565</v>
      </c>
    </row>
    <row r="99" spans="1:12">
      <c r="A99" s="145" t="s">
        <v>113</v>
      </c>
      <c r="B99" s="145"/>
      <c r="C99" s="145"/>
      <c r="D99" s="28">
        <v>108</v>
      </c>
      <c r="E99" s="28">
        <v>96</v>
      </c>
      <c r="F99" s="28">
        <v>73</v>
      </c>
    </row>
    <row r="100" spans="1:12">
      <c r="A100" s="145" t="s">
        <v>114</v>
      </c>
      <c r="B100" s="145"/>
      <c r="C100" s="145"/>
      <c r="D100" s="24">
        <v>-3729</v>
      </c>
      <c r="E100" s="24">
        <f>SUM(E95:E99)</f>
        <v>-3644</v>
      </c>
      <c r="F100" s="24">
        <v>-3152</v>
      </c>
    </row>
    <row r="101" spans="1:12">
      <c r="A101" s="145" t="s">
        <v>115</v>
      </c>
      <c r="B101" s="145"/>
      <c r="C101" s="145"/>
      <c r="D101" s="28">
        <v>131</v>
      </c>
      <c r="E101" s="24">
        <v>-1087</v>
      </c>
      <c r="F101" s="28">
        <v>1021</v>
      </c>
    </row>
    <row r="102" spans="1:12">
      <c r="A102" s="145" t="s">
        <v>116</v>
      </c>
      <c r="B102" s="145"/>
      <c r="C102" s="145"/>
      <c r="D102" s="28">
        <v>2512</v>
      </c>
      <c r="E102" s="28">
        <v>2643</v>
      </c>
      <c r="F102" s="28">
        <v>1556</v>
      </c>
    </row>
    <row r="103" spans="1:12">
      <c r="A103" s="145" t="s">
        <v>117</v>
      </c>
      <c r="B103" s="145"/>
      <c r="C103" s="145"/>
      <c r="D103" s="29">
        <f>SUM(D101:D102)</f>
        <v>2643</v>
      </c>
      <c r="E103" s="11">
        <f>SUM(E101:E102)</f>
        <v>1556</v>
      </c>
      <c r="F103" s="29">
        <f>SUM(F101:F102)</f>
        <v>2577</v>
      </c>
    </row>
    <row r="104" spans="1:12">
      <c r="A104" s="145" t="s">
        <v>118</v>
      </c>
      <c r="B104" s="145"/>
      <c r="C104" s="145"/>
      <c r="D104" s="28"/>
      <c r="E104" s="28"/>
      <c r="F104" s="28"/>
    </row>
    <row r="105" spans="1:12">
      <c r="A105" s="145" t="s">
        <v>119</v>
      </c>
      <c r="B105" s="145"/>
      <c r="C105" s="145"/>
      <c r="D105" s="28">
        <v>678</v>
      </c>
      <c r="E105" s="28">
        <v>476</v>
      </c>
      <c r="F105" s="28">
        <v>492</v>
      </c>
    </row>
    <row r="106" spans="1:12">
      <c r="A106" s="145" t="s">
        <v>120</v>
      </c>
      <c r="B106" s="145"/>
      <c r="C106" s="145"/>
      <c r="D106" s="28">
        <v>934</v>
      </c>
      <c r="E106" s="28">
        <v>373</v>
      </c>
      <c r="F106" s="28">
        <v>696</v>
      </c>
    </row>
    <row r="107" spans="1:12">
      <c r="A107" s="145" t="s">
        <v>121</v>
      </c>
      <c r="B107" s="145"/>
      <c r="C107" s="145"/>
      <c r="D107" s="28">
        <v>139</v>
      </c>
      <c r="E107" s="28">
        <v>130</v>
      </c>
      <c r="F107" s="28">
        <v>379</v>
      </c>
    </row>
    <row r="108" spans="1:12">
      <c r="A108" s="145" t="s">
        <v>122</v>
      </c>
      <c r="B108" s="145"/>
      <c r="C108" s="145"/>
      <c r="D108" s="28">
        <v>212</v>
      </c>
      <c r="E108" s="28">
        <v>246</v>
      </c>
      <c r="F108" s="28">
        <v>464</v>
      </c>
    </row>
    <row r="109" spans="1:12">
      <c r="A109" s="145"/>
      <c r="B109" s="145"/>
      <c r="C109" s="145"/>
    </row>
    <row r="110" spans="1:12">
      <c r="A110" s="140" t="s">
        <v>123</v>
      </c>
      <c r="B110" s="140"/>
      <c r="C110" s="140"/>
      <c r="D110" s="2">
        <v>2017</v>
      </c>
      <c r="E110" s="2">
        <v>2018</v>
      </c>
      <c r="F110" s="2">
        <v>2019</v>
      </c>
      <c r="G110" s="2">
        <v>2020</v>
      </c>
      <c r="H110" s="2">
        <v>2021</v>
      </c>
      <c r="I110" s="2">
        <v>2022</v>
      </c>
      <c r="J110" s="2">
        <v>2023</v>
      </c>
      <c r="K110" s="2">
        <v>2024</v>
      </c>
      <c r="L110" s="2">
        <v>2025</v>
      </c>
    </row>
    <row r="111" spans="1:12">
      <c r="A111" s="146" t="s">
        <v>124</v>
      </c>
      <c r="B111" s="146"/>
      <c r="C111" s="146"/>
    </row>
    <row r="112" spans="1:12">
      <c r="A112" s="145" t="s">
        <v>126</v>
      </c>
      <c r="B112" s="145"/>
      <c r="C112" s="145"/>
      <c r="D112">
        <f>$D$42</f>
        <v>71786</v>
      </c>
      <c r="E112">
        <f>$E$42</f>
        <v>74433</v>
      </c>
      <c r="F112">
        <f>$F$42</f>
        <v>77130</v>
      </c>
    </row>
    <row r="113" spans="1:10">
      <c r="A113" s="145" t="s">
        <v>127</v>
      </c>
      <c r="B113" s="145"/>
      <c r="C113" s="145"/>
      <c r="E113" s="38">
        <f>((E112-D112))/D112</f>
        <v>3.6873485080656396E-2</v>
      </c>
      <c r="F113" s="38">
        <f>((F112-E112))/E112</f>
        <v>3.6233928499455885E-2</v>
      </c>
    </row>
    <row r="114" spans="1:10">
      <c r="A114" s="146"/>
      <c r="B114" s="146"/>
      <c r="C114" s="146"/>
      <c r="E114" s="38"/>
      <c r="F114" s="38"/>
    </row>
    <row r="115" spans="1:10">
      <c r="A115" s="146" t="s">
        <v>128</v>
      </c>
      <c r="B115" s="146"/>
      <c r="C115" s="146"/>
    </row>
    <row r="116" spans="1:10">
      <c r="A116" s="145" t="s">
        <v>129</v>
      </c>
      <c r="B116" s="145"/>
      <c r="C116" s="145"/>
      <c r="D116">
        <f>$D$44</f>
        <v>72714</v>
      </c>
      <c r="E116">
        <f>$E$44</f>
        <v>75356</v>
      </c>
      <c r="F116">
        <f>$F$44</f>
        <v>78112</v>
      </c>
    </row>
    <row r="117" spans="1:10">
      <c r="A117" s="150" t="s">
        <v>131</v>
      </c>
      <c r="B117" s="150"/>
      <c r="C117" s="150"/>
      <c r="E117" s="38">
        <f>E116/D116-1</f>
        <v>3.6334130978903589E-2</v>
      </c>
      <c r="F117" s="38">
        <f>F116/E116-1</f>
        <v>3.6573066510961372E-2</v>
      </c>
    </row>
    <row r="118" spans="1:10">
      <c r="A118" s="145" t="s">
        <v>132</v>
      </c>
      <c r="B118" s="145"/>
      <c r="C118" s="145"/>
      <c r="E118" s="38">
        <f>((E116/D116)^(1/1))-1</f>
        <v>3.6334130978903589E-2</v>
      </c>
      <c r="F118" s="38">
        <f>((F116/D116)^(1/2))-1</f>
        <v>3.6453591859652246E-2</v>
      </c>
    </row>
    <row r="119" spans="1:10">
      <c r="A119" s="146"/>
      <c r="B119" s="146"/>
      <c r="C119" s="146"/>
    </row>
    <row r="120" spans="1:10">
      <c r="A120" s="145" t="s">
        <v>133</v>
      </c>
      <c r="B120" s="145"/>
      <c r="C120" s="145"/>
      <c r="D120" s="12">
        <f>-$D$45</f>
        <v>-51125</v>
      </c>
      <c r="E120" s="12">
        <f>-$E$45</f>
        <v>-53299</v>
      </c>
      <c r="F120" s="12">
        <f>-$F$45</f>
        <v>-54864</v>
      </c>
      <c r="G120" s="157" t="s">
        <v>311</v>
      </c>
      <c r="H120" s="146"/>
      <c r="I120" s="146"/>
      <c r="J120" s="146"/>
    </row>
    <row r="121" spans="1:10">
      <c r="A121" s="150" t="s">
        <v>134</v>
      </c>
      <c r="B121" s="150"/>
      <c r="C121" s="150"/>
      <c r="D121" s="39">
        <f>-D120/D116</f>
        <v>0.70309706521440163</v>
      </c>
      <c r="E121" s="39">
        <f t="shared" ref="E121:F121" si="1">-E120/E116</f>
        <v>0.70729603482138115</v>
      </c>
      <c r="F121" s="39">
        <f t="shared" si="1"/>
        <v>0.70237607537894309</v>
      </c>
      <c r="G121" s="146"/>
      <c r="H121" s="146"/>
      <c r="I121" s="146"/>
      <c r="J121" s="146"/>
    </row>
    <row r="122" spans="1:10">
      <c r="A122" s="150" t="s">
        <v>135</v>
      </c>
      <c r="B122" s="150"/>
      <c r="C122" s="150"/>
      <c r="D122" s="40">
        <f>1-D121</f>
        <v>0.29690293478559837</v>
      </c>
      <c r="E122" s="40">
        <f t="shared" ref="E122:F122" si="2">1-E121</f>
        <v>0.29270396517861885</v>
      </c>
      <c r="F122" s="40">
        <f t="shared" si="2"/>
        <v>0.29762392462105691</v>
      </c>
      <c r="G122" s="146"/>
      <c r="H122" s="146"/>
      <c r="I122" s="146"/>
      <c r="J122" s="146"/>
    </row>
    <row r="123" spans="1:10">
      <c r="A123" s="146"/>
      <c r="B123" s="146"/>
      <c r="C123" s="146"/>
    </row>
    <row r="124" spans="1:10">
      <c r="A124" s="145" t="s">
        <v>136</v>
      </c>
      <c r="B124" s="145"/>
      <c r="C124" s="145"/>
      <c r="D124" s="12">
        <f>-$D$46</f>
        <v>-15140</v>
      </c>
      <c r="E124" s="12">
        <f>-$E$46</f>
        <v>-15723</v>
      </c>
      <c r="F124" s="12">
        <f>-$F$46</f>
        <v>-16233</v>
      </c>
    </row>
    <row r="125" spans="1:10">
      <c r="A125" s="150" t="s">
        <v>137</v>
      </c>
      <c r="B125" s="150"/>
      <c r="C125" s="150"/>
      <c r="D125" s="39">
        <f>-D124/D116</f>
        <v>0.20821299887229419</v>
      </c>
      <c r="E125" s="39">
        <f t="shared" ref="E125:F125" si="3">-E124/E116</f>
        <v>0.20864960985190298</v>
      </c>
      <c r="F125" s="39">
        <f t="shared" si="3"/>
        <v>0.20781698074559607</v>
      </c>
    </row>
    <row r="126" spans="1:10">
      <c r="A126" s="146"/>
      <c r="B126" s="146"/>
      <c r="C126" s="146"/>
    </row>
    <row r="127" spans="1:10">
      <c r="A127" s="145" t="s">
        <v>139</v>
      </c>
      <c r="B127" s="145"/>
      <c r="C127" s="145"/>
      <c r="D127" s="12">
        <f>D116+D124+D120</f>
        <v>6449</v>
      </c>
      <c r="E127" s="12">
        <f t="shared" ref="E127:F127" si="4">E116+E124+E120</f>
        <v>6334</v>
      </c>
      <c r="F127" s="12">
        <f t="shared" si="4"/>
        <v>7015</v>
      </c>
    </row>
    <row r="128" spans="1:10">
      <c r="A128" s="145" t="s">
        <v>141</v>
      </c>
      <c r="B128" s="145"/>
      <c r="C128" s="145"/>
      <c r="D128" s="39">
        <f>D127/D116</f>
        <v>8.868993591330418E-2</v>
      </c>
      <c r="E128" s="39">
        <f t="shared" ref="E128:F128" si="5">E127/E116</f>
        <v>8.405435532671586E-2</v>
      </c>
      <c r="F128" s="39">
        <f t="shared" si="5"/>
        <v>8.9806943875460871E-2</v>
      </c>
    </row>
    <row r="129" spans="1:7">
      <c r="A129" s="146"/>
      <c r="B129" s="146"/>
      <c r="C129" s="146"/>
    </row>
    <row r="130" spans="1:7">
      <c r="G130" s="4"/>
    </row>
    <row r="131" spans="1:7">
      <c r="G131" s="4"/>
    </row>
    <row r="133" spans="1:7">
      <c r="A133" s="145"/>
      <c r="B133" s="145"/>
      <c r="C133" s="145"/>
    </row>
    <row r="136" spans="1:7">
      <c r="A136" s="146"/>
      <c r="B136" s="146"/>
      <c r="C136" s="146"/>
    </row>
    <row r="137" spans="1:7">
      <c r="A137" s="146" t="s">
        <v>156</v>
      </c>
      <c r="B137" s="146"/>
      <c r="C137" s="146"/>
    </row>
    <row r="138" spans="1:7">
      <c r="A138" s="162" t="s">
        <v>157</v>
      </c>
      <c r="B138" s="162"/>
      <c r="C138" s="162"/>
    </row>
    <row r="139" spans="1:7">
      <c r="A139" s="162" t="s">
        <v>159</v>
      </c>
      <c r="B139" s="162"/>
      <c r="C139" s="162"/>
      <c r="D139">
        <f>$D$44</f>
        <v>72714</v>
      </c>
      <c r="E139">
        <f>$E$44</f>
        <v>75356</v>
      </c>
      <c r="F139">
        <f>$F$44</f>
        <v>78112</v>
      </c>
    </row>
    <row r="140" spans="1:7">
      <c r="A140" s="162" t="s">
        <v>133</v>
      </c>
      <c r="B140" s="162"/>
      <c r="C140" s="162"/>
      <c r="D140">
        <f>$D$45</f>
        <v>51125</v>
      </c>
      <c r="E140">
        <f>$E$45</f>
        <v>53299</v>
      </c>
      <c r="F140">
        <f>$F$45</f>
        <v>54864</v>
      </c>
    </row>
    <row r="141" spans="1:7">
      <c r="A141" s="162"/>
      <c r="B141" s="162"/>
      <c r="C141" s="162"/>
    </row>
    <row r="142" spans="1:7">
      <c r="A142" s="162" t="s">
        <v>160</v>
      </c>
      <c r="B142" s="162"/>
      <c r="C142" s="162"/>
    </row>
    <row r="143" spans="1:7">
      <c r="A143" s="162" t="s">
        <v>161</v>
      </c>
      <c r="B143" s="162"/>
      <c r="C143" s="162"/>
    </row>
    <row r="144" spans="1:7">
      <c r="A144" s="162" t="s">
        <v>96</v>
      </c>
      <c r="B144" s="162"/>
      <c r="C144" s="162"/>
      <c r="D144" s="4">
        <f>$D$5</f>
        <v>8657</v>
      </c>
      <c r="E144" s="4">
        <f>$E$5</f>
        <v>9497</v>
      </c>
      <c r="F144" s="4">
        <f>$F$5</f>
        <v>8992</v>
      </c>
    </row>
    <row r="145" spans="1:6">
      <c r="A145" s="162" t="s">
        <v>163</v>
      </c>
      <c r="B145" s="162"/>
      <c r="C145" s="162"/>
      <c r="D145" s="4">
        <f>D144/D140*365</f>
        <v>61.805476772616139</v>
      </c>
      <c r="E145" s="4">
        <f>E144/E140*365</f>
        <v>65.036961293832903</v>
      </c>
      <c r="F145" s="4">
        <f>F144/F140*365</f>
        <v>59.822105570137062</v>
      </c>
    </row>
    <row r="146" spans="1:6">
      <c r="A146" s="162" t="s">
        <v>162</v>
      </c>
      <c r="B146" s="162"/>
      <c r="C146" s="162"/>
    </row>
    <row r="147" spans="1:6">
      <c r="A147" s="162"/>
      <c r="B147" s="162"/>
      <c r="C147" s="162"/>
    </row>
    <row r="148" spans="1:6">
      <c r="A148" s="162"/>
      <c r="B148" s="162"/>
      <c r="C148" s="162"/>
    </row>
    <row r="149" spans="1:6">
      <c r="A149" s="162" t="s">
        <v>164</v>
      </c>
      <c r="B149" s="162"/>
      <c r="C149" s="162"/>
    </row>
    <row r="150" spans="1:6">
      <c r="A150" s="162" t="s">
        <v>165</v>
      </c>
      <c r="B150" s="162"/>
      <c r="C150" s="162"/>
      <c r="D150" s="4">
        <f>$D$23</f>
        <v>4254</v>
      </c>
      <c r="E150" s="4">
        <f>$E$23</f>
        <v>4201</v>
      </c>
      <c r="F150" s="4">
        <f>$F$23</f>
        <v>4406</v>
      </c>
    </row>
    <row r="151" spans="1:6">
      <c r="A151" s="162" t="s">
        <v>166</v>
      </c>
      <c r="B151" s="162"/>
      <c r="C151" s="162"/>
      <c r="D151" s="4">
        <f>D150/D140*365</f>
        <v>30.370855745721272</v>
      </c>
      <c r="E151" s="4">
        <f>E150/E140*365</f>
        <v>28.769113867051917</v>
      </c>
      <c r="F151" s="4">
        <f>F150/F140*365</f>
        <v>29.312299504228637</v>
      </c>
    </row>
    <row r="152" spans="1:6">
      <c r="A152" s="146" t="s">
        <v>312</v>
      </c>
      <c r="B152" s="146"/>
      <c r="C152" s="146"/>
    </row>
    <row r="153" spans="1:6">
      <c r="A153" s="146" t="s">
        <v>313</v>
      </c>
      <c r="B153" s="146"/>
      <c r="C153" s="146"/>
    </row>
    <row r="154" spans="1:6">
      <c r="A154" s="146" t="s">
        <v>314</v>
      </c>
      <c r="B154" s="146"/>
      <c r="C154" s="146"/>
    </row>
    <row r="155" spans="1:6">
      <c r="A155" s="146" t="s">
        <v>315</v>
      </c>
      <c r="B155" s="146"/>
      <c r="C155" s="146"/>
    </row>
    <row r="156" spans="1:6">
      <c r="A156" s="146"/>
      <c r="B156" s="146"/>
      <c r="C156" s="146"/>
    </row>
    <row r="157" spans="1:6">
      <c r="A157" s="146"/>
      <c r="B157" s="146"/>
      <c r="C157" s="146"/>
    </row>
    <row r="158" spans="1:6">
      <c r="A158" s="146"/>
      <c r="B158" s="146"/>
      <c r="C158" s="146"/>
    </row>
    <row r="159" spans="1:6">
      <c r="A159" s="146"/>
      <c r="B159" s="146"/>
      <c r="C159" s="146"/>
    </row>
    <row r="160" spans="1:6">
      <c r="A160" s="146"/>
      <c r="B160" s="146"/>
      <c r="C160" s="146"/>
    </row>
    <row r="161" spans="1:6">
      <c r="A161" s="146"/>
      <c r="B161" s="146"/>
      <c r="C161" s="146"/>
    </row>
    <row r="162" spans="1:6">
      <c r="A162" s="146" t="s">
        <v>169</v>
      </c>
      <c r="B162" s="146"/>
      <c r="C162" s="146"/>
    </row>
    <row r="163" spans="1:6">
      <c r="A163" s="145" t="s">
        <v>170</v>
      </c>
      <c r="B163" s="145"/>
      <c r="C163" s="145"/>
      <c r="D163" s="4">
        <f>$D$55</f>
        <v>2914</v>
      </c>
      <c r="E163" s="4">
        <f>$E$55</f>
        <v>2937</v>
      </c>
      <c r="F163" s="4">
        <f>$F$55</f>
        <v>3281</v>
      </c>
    </row>
    <row r="164" spans="1:6">
      <c r="A164" s="145" t="s">
        <v>171</v>
      </c>
      <c r="B164" s="145"/>
      <c r="C164" s="145"/>
      <c r="D164" s="9">
        <f>$D$37</f>
        <v>11709</v>
      </c>
      <c r="E164" s="9">
        <f>$E$37</f>
        <v>11297</v>
      </c>
      <c r="F164" s="9">
        <f>$F$37</f>
        <v>11833</v>
      </c>
    </row>
    <row r="165" spans="1:6">
      <c r="A165" s="150" t="s">
        <v>172</v>
      </c>
      <c r="B165" s="150"/>
      <c r="C165" s="150"/>
      <c r="D165" s="41">
        <f>D163/D164</f>
        <v>0.24886839183534035</v>
      </c>
      <c r="E165" s="41">
        <f>E163/E164</f>
        <v>0.2599805258033106</v>
      </c>
      <c r="F165" s="41">
        <f>F163/F164</f>
        <v>0.27727541620890728</v>
      </c>
    </row>
    <row r="166" spans="1:6">
      <c r="A166" s="146"/>
      <c r="B166" s="146"/>
      <c r="C166" s="146"/>
    </row>
    <row r="167" spans="1:6">
      <c r="A167" s="145" t="s">
        <v>173</v>
      </c>
      <c r="B167" s="145"/>
      <c r="C167" s="145"/>
      <c r="D167" s="4">
        <f>D19</f>
        <v>38999</v>
      </c>
      <c r="E167" s="4">
        <f>$E$19</f>
        <v>41290</v>
      </c>
      <c r="F167" s="4">
        <f>$F$19</f>
        <v>42779</v>
      </c>
    </row>
    <row r="168" spans="1:6">
      <c r="A168" s="150" t="s">
        <v>174</v>
      </c>
      <c r="B168" s="145"/>
      <c r="C168" s="145"/>
      <c r="D168" s="42">
        <f>D163/D167</f>
        <v>7.4719864611913128E-2</v>
      </c>
      <c r="E168" s="42">
        <f>E163/E167</f>
        <v>7.1131024461128609E-2</v>
      </c>
      <c r="F168" s="42">
        <f>F163/F167</f>
        <v>7.669650996984502E-2</v>
      </c>
    </row>
    <row r="169" spans="1:6">
      <c r="A169" s="146"/>
      <c r="B169" s="146"/>
      <c r="C169" s="146"/>
    </row>
    <row r="170" spans="1:6">
      <c r="A170" s="146" t="s">
        <v>175</v>
      </c>
      <c r="B170" s="146"/>
      <c r="C170" s="146"/>
    </row>
    <row r="171" spans="1:6">
      <c r="A171" s="146" t="s">
        <v>176</v>
      </c>
      <c r="B171" s="146"/>
      <c r="C171" s="146"/>
    </row>
    <row r="172" spans="1:6">
      <c r="A172" s="145" t="s">
        <v>177</v>
      </c>
      <c r="B172" s="145"/>
      <c r="C172" s="145"/>
      <c r="D172" s="4">
        <f>$D$7</f>
        <v>12564</v>
      </c>
      <c r="E172" s="4">
        <f>$E$7</f>
        <v>12519</v>
      </c>
      <c r="F172" s="4">
        <f>$F$7</f>
        <v>12902</v>
      </c>
    </row>
    <row r="173" spans="1:6">
      <c r="A173" s="145" t="s">
        <v>178</v>
      </c>
      <c r="B173" s="145"/>
      <c r="C173" s="145"/>
      <c r="D173" s="4">
        <f>$D$25</f>
        <v>13201</v>
      </c>
      <c r="E173" s="4">
        <f>$E$25</f>
        <v>15014</v>
      </c>
      <c r="F173" s="4">
        <f>$F$25</f>
        <v>14487</v>
      </c>
    </row>
    <row r="174" spans="1:6">
      <c r="A174" s="145" t="s">
        <v>179</v>
      </c>
      <c r="B174" s="145"/>
      <c r="C174" s="145"/>
      <c r="D174" s="4">
        <f>$D$4</f>
        <v>2643</v>
      </c>
      <c r="E174" s="4">
        <f>$E$4</f>
        <v>1556</v>
      </c>
      <c r="F174" s="4">
        <f>$F$4</f>
        <v>2577</v>
      </c>
    </row>
    <row r="175" spans="1:6">
      <c r="A175" s="145" t="s">
        <v>180</v>
      </c>
      <c r="B175" s="145"/>
      <c r="C175" s="145"/>
      <c r="D175" s="4">
        <f>$D$87</f>
        <v>6935</v>
      </c>
      <c r="E175" s="4">
        <f>$E$87</f>
        <v>5973</v>
      </c>
      <c r="F175" s="4">
        <f>$F$87</f>
        <v>7117</v>
      </c>
    </row>
    <row r="176" spans="1:6">
      <c r="A176" s="145" t="s">
        <v>96</v>
      </c>
      <c r="B176" s="145"/>
      <c r="C176" s="145"/>
      <c r="D176" s="4">
        <f>$D$5</f>
        <v>8657</v>
      </c>
      <c r="E176" s="4">
        <f>$E$5</f>
        <v>9497</v>
      </c>
      <c r="F176" s="4">
        <f>$F$5</f>
        <v>8992</v>
      </c>
    </row>
    <row r="177" spans="1:7">
      <c r="A177" s="146"/>
      <c r="B177" s="146"/>
      <c r="C177" s="146"/>
      <c r="D177" s="4"/>
      <c r="E177" s="4"/>
      <c r="F177" s="4"/>
    </row>
    <row r="178" spans="1:7">
      <c r="A178" s="147" t="s">
        <v>181</v>
      </c>
      <c r="B178" s="147"/>
      <c r="C178" s="147"/>
      <c r="D178" s="41">
        <f>D172/D173</f>
        <v>0.9517460798424362</v>
      </c>
      <c r="E178" s="41">
        <f>E172/E173</f>
        <v>0.83382176635140537</v>
      </c>
      <c r="F178" s="41">
        <f>F172/F173</f>
        <v>0.89059156485124591</v>
      </c>
    </row>
    <row r="179" spans="1:7">
      <c r="A179" s="145"/>
      <c r="B179" s="145"/>
      <c r="C179" s="145"/>
    </row>
    <row r="180" spans="1:7">
      <c r="A180" s="147" t="s">
        <v>182</v>
      </c>
      <c r="B180" s="147"/>
      <c r="C180" s="147"/>
      <c r="D180" s="41">
        <f>D174/D173</f>
        <v>0.20021210514354973</v>
      </c>
      <c r="E180" s="41">
        <f>E174/E173</f>
        <v>0.10363660583455442</v>
      </c>
      <c r="F180" s="41">
        <f>F174/F173</f>
        <v>0.17788361979705944</v>
      </c>
    </row>
    <row r="181" spans="1:7">
      <c r="A181" s="146"/>
      <c r="B181" s="146"/>
      <c r="C181" s="146"/>
      <c r="D181" s="4"/>
      <c r="E181" s="4"/>
      <c r="F181" s="4"/>
    </row>
    <row r="182" spans="1:7">
      <c r="A182" s="147" t="s">
        <v>183</v>
      </c>
      <c r="B182" s="147"/>
      <c r="C182" s="147"/>
      <c r="D182" s="41">
        <f>E175/D173</f>
        <v>0.45246572229376564</v>
      </c>
      <c r="E182" s="41">
        <f>F175/E173</f>
        <v>0.47402424403889704</v>
      </c>
      <c r="F182" s="41">
        <f>F175/F173</f>
        <v>0.4912680334092635</v>
      </c>
    </row>
    <row r="183" spans="1:7">
      <c r="A183" s="146"/>
      <c r="B183" s="146"/>
      <c r="C183" s="146"/>
    </row>
    <row r="184" spans="1:7">
      <c r="A184" s="147" t="s">
        <v>184</v>
      </c>
      <c r="B184" s="147"/>
      <c r="C184" s="147"/>
      <c r="D184" s="41">
        <f>(D172-D176)/D173</f>
        <v>0.29596242708885689</v>
      </c>
      <c r="E184" s="41">
        <f>(E172-E176)/E173</f>
        <v>0.20127880644731583</v>
      </c>
      <c r="F184" s="41">
        <f>(F172-F176)/F173</f>
        <v>0.26989714916821977</v>
      </c>
    </row>
    <row r="185" spans="1:7">
      <c r="A185" s="145"/>
      <c r="B185" s="145"/>
      <c r="C185" s="145"/>
    </row>
    <row r="186" spans="1:7">
      <c r="A186" s="146" t="s">
        <v>186</v>
      </c>
      <c r="B186" s="146"/>
      <c r="C186" s="146"/>
      <c r="G186" s="41"/>
    </row>
    <row r="187" spans="1:7">
      <c r="A187" s="146" t="s">
        <v>176</v>
      </c>
      <c r="B187" s="146"/>
      <c r="C187" s="146"/>
    </row>
    <row r="188" spans="1:7">
      <c r="A188" s="146" t="s">
        <v>187</v>
      </c>
      <c r="B188" s="146"/>
      <c r="C188" s="146"/>
      <c r="D188" s="4">
        <f>$D$25+$D$30</f>
        <v>27290</v>
      </c>
      <c r="E188" s="4">
        <f>$E$25+$E$30</f>
        <v>29993</v>
      </c>
      <c r="F188" s="4">
        <f>$F$25+$F$30</f>
        <v>30946</v>
      </c>
    </row>
    <row r="189" spans="1:7">
      <c r="A189" s="146" t="s">
        <v>188</v>
      </c>
      <c r="B189" s="146"/>
      <c r="C189" s="146"/>
      <c r="D189" s="4">
        <f>$D$19</f>
        <v>38999</v>
      </c>
      <c r="E189" s="4">
        <f>$E$19</f>
        <v>41290</v>
      </c>
      <c r="F189" s="4">
        <f>$F$19</f>
        <v>42779</v>
      </c>
    </row>
    <row r="190" spans="1:7">
      <c r="A190" s="146" t="s">
        <v>171</v>
      </c>
      <c r="B190" s="146"/>
      <c r="C190" s="146"/>
      <c r="D190" s="9">
        <f>$D$37</f>
        <v>11709</v>
      </c>
      <c r="E190" s="9">
        <f>$E$37</f>
        <v>11297</v>
      </c>
      <c r="F190" s="9">
        <f>$F$37</f>
        <v>11833</v>
      </c>
    </row>
    <row r="191" spans="1:7">
      <c r="A191" s="146" t="s">
        <v>139</v>
      </c>
      <c r="B191" s="146"/>
      <c r="C191" s="146"/>
      <c r="D191">
        <f>$D$48</f>
        <v>4224</v>
      </c>
      <c r="E191">
        <f>$E$48</f>
        <v>4110</v>
      </c>
      <c r="F191">
        <f>$F$48</f>
        <v>4658</v>
      </c>
    </row>
    <row r="192" spans="1:7">
      <c r="A192" s="146" t="s">
        <v>189</v>
      </c>
      <c r="B192" s="146"/>
      <c r="C192" s="146"/>
    </row>
    <row r="193" spans="1:6">
      <c r="A193" s="146"/>
      <c r="B193" s="146"/>
      <c r="C193" s="146"/>
    </row>
    <row r="194" spans="1:6">
      <c r="A194" s="146" t="s">
        <v>316</v>
      </c>
      <c r="B194" s="146"/>
      <c r="C194" s="146"/>
      <c r="D194" s="41">
        <f>D188/D189</f>
        <v>0.69976153234698324</v>
      </c>
      <c r="E194" s="41">
        <f>E188/E189</f>
        <v>0.72639864373940422</v>
      </c>
      <c r="F194" s="41">
        <f>F188/F189</f>
        <v>0.72339231866102527</v>
      </c>
    </row>
    <row r="195" spans="1:6">
      <c r="A195" s="146"/>
      <c r="B195" s="146"/>
      <c r="C195" s="146"/>
      <c r="D195" s="41"/>
      <c r="E195" s="41"/>
      <c r="F195" s="41"/>
    </row>
    <row r="196" spans="1:6">
      <c r="A196" s="146" t="s">
        <v>193</v>
      </c>
      <c r="B196" s="146"/>
      <c r="C196" s="146"/>
      <c r="D196" s="41">
        <f>D188/D190</f>
        <v>2.3306857972499788</v>
      </c>
      <c r="E196" s="41">
        <f>E188/E190</f>
        <v>2.6549526422944143</v>
      </c>
      <c r="F196" s="41">
        <f>F188/F190</f>
        <v>2.6152285979886756</v>
      </c>
    </row>
    <row r="197" spans="1:6">
      <c r="A197" s="146"/>
      <c r="B197" s="146"/>
      <c r="C197" s="146"/>
    </row>
    <row r="198" spans="1:6">
      <c r="A198" s="146" t="s">
        <v>194</v>
      </c>
      <c r="B198" s="146"/>
      <c r="C198" s="146"/>
      <c r="D198">
        <f>$D$55+$D$52+$D$49+$D$47</f>
        <v>6514</v>
      </c>
      <c r="E198">
        <f>$E$55+$E$52+$E$49+$E$47</f>
        <v>6368</v>
      </c>
      <c r="F198" s="12">
        <f>$F$55+$F$52+$F$49+$F$47</f>
        <v>7036</v>
      </c>
    </row>
  </sheetData>
  <mergeCells count="193">
    <mergeCell ref="A196:C196"/>
    <mergeCell ref="A197:C197"/>
    <mergeCell ref="A198:C198"/>
    <mergeCell ref="G120:J122"/>
    <mergeCell ref="A187:C187"/>
    <mergeCell ref="A188:C188"/>
    <mergeCell ref="A189:C189"/>
    <mergeCell ref="A190:C190"/>
    <mergeCell ref="A191:C191"/>
    <mergeCell ref="A192:C192"/>
    <mergeCell ref="A193:C193"/>
    <mergeCell ref="A194:C194"/>
    <mergeCell ref="A195:C195"/>
    <mergeCell ref="A178:C178"/>
    <mergeCell ref="A179:C179"/>
    <mergeCell ref="A180:C180"/>
    <mergeCell ref="A181:C181"/>
    <mergeCell ref="A182:C182"/>
    <mergeCell ref="A183:C183"/>
    <mergeCell ref="A184:C184"/>
    <mergeCell ref="A185:C185"/>
    <mergeCell ref="A186:C186"/>
    <mergeCell ref="A169:C169"/>
    <mergeCell ref="A170:C170"/>
    <mergeCell ref="A171:C171"/>
    <mergeCell ref="A172:C172"/>
    <mergeCell ref="A173:C173"/>
    <mergeCell ref="A174:C174"/>
    <mergeCell ref="A175:C175"/>
    <mergeCell ref="A176:C176"/>
    <mergeCell ref="A177:C177"/>
    <mergeCell ref="A160:C160"/>
    <mergeCell ref="A161:C161"/>
    <mergeCell ref="A162:C162"/>
    <mergeCell ref="A163:C163"/>
    <mergeCell ref="A164:C164"/>
    <mergeCell ref="A165:C165"/>
    <mergeCell ref="A166:C166"/>
    <mergeCell ref="A167:C167"/>
    <mergeCell ref="A168:C168"/>
    <mergeCell ref="A151:C151"/>
    <mergeCell ref="A152:C152"/>
    <mergeCell ref="A153:C153"/>
    <mergeCell ref="A154:C154"/>
    <mergeCell ref="A155:C155"/>
    <mergeCell ref="A156:C156"/>
    <mergeCell ref="A157:C157"/>
    <mergeCell ref="A158:C158"/>
    <mergeCell ref="A159:C159"/>
    <mergeCell ref="A142:C142"/>
    <mergeCell ref="A143:C143"/>
    <mergeCell ref="A144:C144"/>
    <mergeCell ref="A145:C145"/>
    <mergeCell ref="A146:C146"/>
    <mergeCell ref="A147:C147"/>
    <mergeCell ref="A148:C148"/>
    <mergeCell ref="A149:C149"/>
    <mergeCell ref="A150:C150"/>
    <mergeCell ref="A128:C128"/>
    <mergeCell ref="A129:C129"/>
    <mergeCell ref="A133:C133"/>
    <mergeCell ref="A136:C136"/>
    <mergeCell ref="A137:C137"/>
    <mergeCell ref="A138:C138"/>
    <mergeCell ref="A139:C139"/>
    <mergeCell ref="A140:C140"/>
    <mergeCell ref="A141:C141"/>
    <mergeCell ref="A119:C119"/>
    <mergeCell ref="A120:C120"/>
    <mergeCell ref="A121:C121"/>
    <mergeCell ref="A122:C122"/>
    <mergeCell ref="A123:C123"/>
    <mergeCell ref="A124:C124"/>
    <mergeCell ref="A125:C125"/>
    <mergeCell ref="A126:C126"/>
    <mergeCell ref="A127:C127"/>
    <mergeCell ref="A110:C110"/>
    <mergeCell ref="A111:C111"/>
    <mergeCell ref="A112:C112"/>
    <mergeCell ref="A113:C113"/>
    <mergeCell ref="A114:C114"/>
    <mergeCell ref="A115:C115"/>
    <mergeCell ref="A116:C116"/>
    <mergeCell ref="A117:C117"/>
    <mergeCell ref="A118:C118"/>
    <mergeCell ref="A101:C101"/>
    <mergeCell ref="A102:C102"/>
    <mergeCell ref="A103:C103"/>
    <mergeCell ref="A104:C104"/>
    <mergeCell ref="A105:C105"/>
    <mergeCell ref="A106:C106"/>
    <mergeCell ref="A107:C107"/>
    <mergeCell ref="A108:C108"/>
    <mergeCell ref="A109:C109"/>
    <mergeCell ref="A92:C92"/>
    <mergeCell ref="A93:C93"/>
    <mergeCell ref="A94:C94"/>
    <mergeCell ref="A95:C95"/>
    <mergeCell ref="A96:C96"/>
    <mergeCell ref="A97:C97"/>
    <mergeCell ref="A98:C98"/>
    <mergeCell ref="A99:C99"/>
    <mergeCell ref="A100:C100"/>
    <mergeCell ref="A83:C83"/>
    <mergeCell ref="A84:C84"/>
    <mergeCell ref="A85:C85"/>
    <mergeCell ref="A86:C86"/>
    <mergeCell ref="A87:C87"/>
    <mergeCell ref="A88:C88"/>
    <mergeCell ref="A89:C89"/>
    <mergeCell ref="A90:C90"/>
    <mergeCell ref="A91:C91"/>
    <mergeCell ref="A74:C74"/>
    <mergeCell ref="A75:C75"/>
    <mergeCell ref="A76:C76"/>
    <mergeCell ref="A77:C77"/>
    <mergeCell ref="A78:C78"/>
    <mergeCell ref="A79:C79"/>
    <mergeCell ref="A80:C80"/>
    <mergeCell ref="A81:C81"/>
    <mergeCell ref="A82:C82"/>
    <mergeCell ref="A65:C65"/>
    <mergeCell ref="A66:C66"/>
    <mergeCell ref="A67:C67"/>
    <mergeCell ref="A68:C68"/>
    <mergeCell ref="A69:C69"/>
    <mergeCell ref="A70:C70"/>
    <mergeCell ref="A71:C71"/>
    <mergeCell ref="A72:C72"/>
    <mergeCell ref="A73:C73"/>
    <mergeCell ref="A56:C56"/>
    <mergeCell ref="A57:C57"/>
    <mergeCell ref="A58:C58"/>
    <mergeCell ref="A59:C59"/>
    <mergeCell ref="A60:C60"/>
    <mergeCell ref="A61:C61"/>
    <mergeCell ref="A62:C62"/>
    <mergeCell ref="A63:C63"/>
    <mergeCell ref="A64:C64"/>
    <mergeCell ref="A47:C47"/>
    <mergeCell ref="A48:C48"/>
    <mergeCell ref="A49:C49"/>
    <mergeCell ref="A50:C50"/>
    <mergeCell ref="A51:C51"/>
    <mergeCell ref="A52:C52"/>
    <mergeCell ref="A53:C53"/>
    <mergeCell ref="A54:C54"/>
    <mergeCell ref="A55:C55"/>
    <mergeCell ref="A37:C37"/>
    <mergeCell ref="A38:C38"/>
    <mergeCell ref="A40:C40"/>
    <mergeCell ref="A41:C41"/>
    <mergeCell ref="A42:C42"/>
    <mergeCell ref="A43:C43"/>
    <mergeCell ref="A44:C44"/>
    <mergeCell ref="A45:C45"/>
    <mergeCell ref="A46:C46"/>
    <mergeCell ref="A28:C28"/>
    <mergeCell ref="A29:C29"/>
    <mergeCell ref="A30:C30"/>
    <mergeCell ref="A31:C31"/>
    <mergeCell ref="A32:C32"/>
    <mergeCell ref="A33:C33"/>
    <mergeCell ref="A34:C34"/>
    <mergeCell ref="A35:C35"/>
    <mergeCell ref="A36:C36"/>
    <mergeCell ref="A19:C19"/>
    <mergeCell ref="A20:C20"/>
    <mergeCell ref="A21:C21"/>
    <mergeCell ref="A22:C22"/>
    <mergeCell ref="A23:C23"/>
    <mergeCell ref="A24:C24"/>
    <mergeCell ref="A25:C25"/>
    <mergeCell ref="A26:C26"/>
    <mergeCell ref="A27:C27"/>
    <mergeCell ref="A10:C10"/>
    <mergeCell ref="A11:C11"/>
    <mergeCell ref="A12:C12"/>
    <mergeCell ref="A13:C13"/>
    <mergeCell ref="A14:C14"/>
    <mergeCell ref="A15:C15"/>
    <mergeCell ref="A16:C16"/>
    <mergeCell ref="A17:C17"/>
    <mergeCell ref="A18:C18"/>
    <mergeCell ref="A1:C1"/>
    <mergeCell ref="A2:C2"/>
    <mergeCell ref="A3:C3"/>
    <mergeCell ref="A4:C4"/>
    <mergeCell ref="A5:C5"/>
    <mergeCell ref="A6:C6"/>
    <mergeCell ref="A7:C7"/>
    <mergeCell ref="A8:C8"/>
    <mergeCell ref="A9:C9"/>
  </mergeCell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Final Exam_Fall 2020</vt:lpstr>
      <vt:lpstr>Part 1,3</vt:lpstr>
      <vt:lpstr>Part 2,4,5,6</vt:lpstr>
      <vt:lpstr>Part III </vt:lpstr>
      <vt:lpstr>Fin Stat. and Calc. Part 1  (3)</vt:lpstr>
      <vt:lpstr>Fin Stat. and Calc. Part 1</vt:lpstr>
      <vt:lpstr>Sheet3</vt:lpstr>
      <vt:lpstr>Assignments</vt:lpstr>
      <vt:lpstr>Fin Stat. and Calc. Part 1 (2)</vt:lpstr>
      <vt:lpstr>Financial Statements </vt:lpstr>
      <vt:lpstr>Instructions</vt:lpstr>
      <vt:lpstr>'Final Exam_Fall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Zaets</dc:creator>
  <cp:lastModifiedBy>Lily Cai</cp:lastModifiedBy>
  <dcterms:created xsi:type="dcterms:W3CDTF">2020-12-08T00:39:00Z</dcterms:created>
  <dcterms:modified xsi:type="dcterms:W3CDTF">2023-05-01T02:45:19Z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{E8FB2D37-8D6B-4F82-8C4A-ECAE1D619F35}</vt:lpwstr>
  </property>
  <property fmtid="{D5CDD505-2E9C-101B-9397-08002B2CF9AE}" pid="3" name="KSOProductBuildVer">
    <vt:lpwstr>2052-10.1.0.7520</vt:lpwstr>
  </property>
</Properties>
</file>