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4761bce209af5ea/Documents/SNAP-REACTORS/snapReactors/reference_calc/"/>
    </mc:Choice>
  </mc:AlternateContent>
  <xr:revisionPtr revIDLastSave="62" documentId="13_ncr:1_{80E9FA29-FA41-4F85-BA61-2620D083E0E3}" xr6:coauthVersionLast="47" xr6:coauthVersionMax="47" xr10:uidLastSave="{62346ADC-3FCE-4E8D-9A4E-DB306C050EB9}"/>
  <bookViews>
    <workbookView minimized="1" xWindow="5400" yWindow="2033" windowWidth="16200" windowHeight="9307" firstSheet="1" activeTab="11" xr2:uid="{81BEF129-3FF4-8B4D-B629-A8811C0FB0A3}"/>
  </bookViews>
  <sheets>
    <sheet name="Master Calculator" sheetId="1" r:id="rId1"/>
    <sheet name="316 SS" sheetId="3" r:id="rId2"/>
    <sheet name="HasteC" sheetId="11" r:id="rId3"/>
    <sheet name="HasteN" sheetId="12" r:id="rId4"/>
    <sheet name="AI-8763D" sheetId="13" r:id="rId5"/>
    <sheet name="BeO" sheetId="5" r:id="rId6"/>
    <sheet name="Be" sheetId="7" r:id="rId7"/>
    <sheet name="NaK" sheetId="8" r:id="rId8"/>
    <sheet name="Sm2O3" sheetId="10" r:id="rId9"/>
    <sheet name="Hg Coolant" sheetId="14" r:id="rId10"/>
    <sheet name="UZrH" sheetId="16" r:id="rId11"/>
    <sheet name="UZrH Critical" sheetId="17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4" i="17" l="1"/>
  <c r="B96" i="17"/>
  <c r="B105" i="17"/>
  <c r="C30" i="17" s="1"/>
  <c r="C1" i="17"/>
  <c r="C3" i="17" s="1"/>
  <c r="B98" i="17"/>
  <c r="B97" i="17"/>
  <c r="B95" i="17"/>
  <c r="B82" i="17"/>
  <c r="B88" i="17"/>
  <c r="B87" i="17"/>
  <c r="B85" i="17"/>
  <c r="B91" i="17"/>
  <c r="B90" i="17"/>
  <c r="B92" i="17" s="1"/>
  <c r="G79" i="17"/>
  <c r="C79" i="17"/>
  <c r="S78" i="17"/>
  <c r="G78" i="17"/>
  <c r="C78" i="17"/>
  <c r="S77" i="17"/>
  <c r="O77" i="17"/>
  <c r="G77" i="17"/>
  <c r="S76" i="17"/>
  <c r="O76" i="17"/>
  <c r="K76" i="17"/>
  <c r="S75" i="17"/>
  <c r="O75" i="17"/>
  <c r="K75" i="17"/>
  <c r="C75" i="17"/>
  <c r="O74" i="17"/>
  <c r="K74" i="17"/>
  <c r="G74" i="17"/>
  <c r="C74" i="17"/>
  <c r="O73" i="17"/>
  <c r="K73" i="17"/>
  <c r="G73" i="17"/>
  <c r="C73" i="17"/>
  <c r="R72" i="17"/>
  <c r="S72" i="17" s="1"/>
  <c r="O72" i="17"/>
  <c r="K72" i="17"/>
  <c r="G72" i="17"/>
  <c r="C72" i="17"/>
  <c r="S71" i="17"/>
  <c r="R71" i="17"/>
  <c r="O71" i="17"/>
  <c r="K71" i="17"/>
  <c r="G71" i="17"/>
  <c r="C71" i="17"/>
  <c r="G70" i="17"/>
  <c r="C70" i="17"/>
  <c r="C69" i="17"/>
  <c r="S68" i="17"/>
  <c r="O68" i="17"/>
  <c r="K68" i="17"/>
  <c r="S67" i="17"/>
  <c r="O67" i="17"/>
  <c r="K67" i="17"/>
  <c r="G67" i="17"/>
  <c r="G66" i="17"/>
  <c r="C66" i="17"/>
  <c r="G65" i="17"/>
  <c r="C65" i="17"/>
  <c r="S64" i="17"/>
  <c r="O64" i="17"/>
  <c r="K64" i="17"/>
  <c r="G64" i="17"/>
  <c r="S63" i="17"/>
  <c r="O63" i="17"/>
  <c r="K63" i="17"/>
  <c r="G63" i="17"/>
  <c r="S62" i="17"/>
  <c r="O62" i="17"/>
  <c r="K62" i="17"/>
  <c r="G62" i="17"/>
  <c r="C62" i="17"/>
  <c r="S61" i="17"/>
  <c r="O61" i="17"/>
  <c r="K61" i="17"/>
  <c r="C61" i="17"/>
  <c r="S60" i="17"/>
  <c r="O60" i="17"/>
  <c r="K60" i="17"/>
  <c r="S59" i="17"/>
  <c r="O59" i="17"/>
  <c r="K59" i="17"/>
  <c r="G59" i="17"/>
  <c r="S58" i="17"/>
  <c r="K58" i="17"/>
  <c r="G58" i="17"/>
  <c r="C58" i="17"/>
  <c r="G57" i="17"/>
  <c r="C57" i="17"/>
  <c r="O56" i="17"/>
  <c r="G56" i="17"/>
  <c r="C56" i="17"/>
  <c r="S55" i="17"/>
  <c r="O55" i="17"/>
  <c r="K55" i="17"/>
  <c r="G55" i="17"/>
  <c r="C55" i="17"/>
  <c r="S54" i="17"/>
  <c r="O54" i="17"/>
  <c r="K54" i="17"/>
  <c r="G54" i="17"/>
  <c r="C54" i="17"/>
  <c r="S53" i="17"/>
  <c r="O53" i="17"/>
  <c r="K53" i="17"/>
  <c r="G53" i="17"/>
  <c r="C53" i="17"/>
  <c r="S52" i="17"/>
  <c r="O52" i="17"/>
  <c r="K52" i="17"/>
  <c r="C52" i="17"/>
  <c r="O51" i="17"/>
  <c r="K51" i="17"/>
  <c r="O50" i="17"/>
  <c r="K50" i="17"/>
  <c r="G50" i="17"/>
  <c r="S49" i="17"/>
  <c r="K49" i="17"/>
  <c r="G49" i="17"/>
  <c r="C49" i="17"/>
  <c r="S48" i="17"/>
  <c r="G48" i="17"/>
  <c r="C48" i="17"/>
  <c r="O47" i="17"/>
  <c r="G47" i="17"/>
  <c r="C47" i="17"/>
  <c r="O46" i="17"/>
  <c r="K46" i="17"/>
  <c r="G46" i="17"/>
  <c r="C46" i="17"/>
  <c r="S45" i="17"/>
  <c r="O45" i="17"/>
  <c r="K45" i="17"/>
  <c r="G45" i="17"/>
  <c r="C45" i="17"/>
  <c r="S44" i="17"/>
  <c r="O44" i="17"/>
  <c r="K44" i="17"/>
  <c r="G44" i="17"/>
  <c r="C44" i="17"/>
  <c r="O43" i="17"/>
  <c r="K43" i="17"/>
  <c r="G43" i="17"/>
  <c r="C43" i="17"/>
  <c r="O42" i="17"/>
  <c r="K42" i="17"/>
  <c r="G42" i="17"/>
  <c r="C42" i="17"/>
  <c r="S41" i="17"/>
  <c r="O41" i="17"/>
  <c r="K41" i="17"/>
  <c r="S40" i="17"/>
  <c r="O40" i="17"/>
  <c r="K40" i="17"/>
  <c r="O39" i="17"/>
  <c r="K39" i="17"/>
  <c r="G39" i="17"/>
  <c r="C39" i="17"/>
  <c r="O38" i="17"/>
  <c r="G38" i="17"/>
  <c r="C38" i="17"/>
  <c r="S37" i="17"/>
  <c r="G37" i="17"/>
  <c r="S36" i="17"/>
  <c r="K36" i="17"/>
  <c r="G36" i="17"/>
  <c r="S35" i="17"/>
  <c r="O35" i="17"/>
  <c r="K35" i="17"/>
  <c r="G35" i="17"/>
  <c r="S34" i="17"/>
  <c r="O34" i="17"/>
  <c r="K34" i="17"/>
  <c r="G34" i="17"/>
  <c r="O33" i="17"/>
  <c r="K33" i="17"/>
  <c r="O32" i="17"/>
  <c r="K32" i="17"/>
  <c r="S31" i="17"/>
  <c r="O31" i="17"/>
  <c r="K31" i="17"/>
  <c r="G31" i="17"/>
  <c r="S30" i="17"/>
  <c r="O30" i="17"/>
  <c r="K30" i="17"/>
  <c r="G30" i="17"/>
  <c r="S29" i="17"/>
  <c r="O29" i="17"/>
  <c r="G29" i="17"/>
  <c r="S28" i="17"/>
  <c r="G28" i="17"/>
  <c r="C28" i="17"/>
  <c r="B28" i="17"/>
  <c r="S27" i="17"/>
  <c r="K27" i="17"/>
  <c r="G27" i="17"/>
  <c r="C27" i="17"/>
  <c r="B27" i="17"/>
  <c r="S26" i="17"/>
  <c r="O26" i="17"/>
  <c r="K26" i="17"/>
  <c r="G26" i="17"/>
  <c r="O25" i="17"/>
  <c r="O24" i="17"/>
  <c r="C24" i="17"/>
  <c r="S23" i="17"/>
  <c r="O23" i="17"/>
  <c r="K23" i="17"/>
  <c r="G23" i="17"/>
  <c r="C23" i="17"/>
  <c r="S22" i="17"/>
  <c r="O22" i="17"/>
  <c r="K22" i="17"/>
  <c r="G22" i="17"/>
  <c r="S21" i="17"/>
  <c r="G21" i="17"/>
  <c r="S20" i="17"/>
  <c r="G20" i="17"/>
  <c r="C20" i="17"/>
  <c r="S19" i="17"/>
  <c r="O19" i="17"/>
  <c r="K19" i="17"/>
  <c r="G19" i="17"/>
  <c r="C19" i="17"/>
  <c r="O18" i="17"/>
  <c r="K18" i="17"/>
  <c r="C18" i="17"/>
  <c r="O17" i="17"/>
  <c r="K17" i="17"/>
  <c r="C17" i="17"/>
  <c r="S16" i="17"/>
  <c r="O16" i="17"/>
  <c r="K16" i="17"/>
  <c r="G16" i="17"/>
  <c r="C16" i="17"/>
  <c r="S15" i="17"/>
  <c r="G15" i="17"/>
  <c r="S14" i="17"/>
  <c r="S13" i="17"/>
  <c r="O13" i="17"/>
  <c r="K13" i="17"/>
  <c r="C13" i="17"/>
  <c r="S12" i="17"/>
  <c r="O12" i="17"/>
  <c r="K12" i="17"/>
  <c r="F12" i="17"/>
  <c r="G12" i="17" s="1"/>
  <c r="C12" i="17"/>
  <c r="S11" i="17"/>
  <c r="O11" i="17"/>
  <c r="K11" i="17"/>
  <c r="F11" i="17"/>
  <c r="G11" i="17" s="1"/>
  <c r="C11" i="17"/>
  <c r="C10" i="17"/>
  <c r="S8" i="17"/>
  <c r="O8" i="17"/>
  <c r="K8" i="17"/>
  <c r="G8" i="17"/>
  <c r="S7" i="17"/>
  <c r="O7" i="17"/>
  <c r="K7" i="17"/>
  <c r="G7" i="17"/>
  <c r="C7" i="17"/>
  <c r="B7" i="17"/>
  <c r="S6" i="17"/>
  <c r="O6" i="17"/>
  <c r="K6" i="17"/>
  <c r="G6" i="17"/>
  <c r="B6" i="17"/>
  <c r="C6" i="17" s="1"/>
  <c r="S3" i="17"/>
  <c r="R3" i="17"/>
  <c r="O3" i="17"/>
  <c r="N3" i="17"/>
  <c r="J3" i="17"/>
  <c r="K3" i="17" s="1"/>
  <c r="G3" i="17"/>
  <c r="B3" i="17"/>
  <c r="R2" i="17"/>
  <c r="S2" i="17" s="1"/>
  <c r="N2" i="17"/>
  <c r="O2" i="17" s="1"/>
  <c r="K2" i="17"/>
  <c r="J2" i="17"/>
  <c r="G2" i="17"/>
  <c r="B2" i="17"/>
  <c r="B92" i="16"/>
  <c r="B91" i="16"/>
  <c r="B90" i="16"/>
  <c r="B88" i="16"/>
  <c r="B96" i="16"/>
  <c r="C1" i="16"/>
  <c r="B98" i="16"/>
  <c r="C30" i="16"/>
  <c r="G79" i="16"/>
  <c r="C79" i="16"/>
  <c r="S78" i="16"/>
  <c r="G78" i="16"/>
  <c r="C78" i="16"/>
  <c r="S77" i="16"/>
  <c r="O77" i="16"/>
  <c r="G77" i="16"/>
  <c r="S76" i="16"/>
  <c r="O76" i="16"/>
  <c r="K76" i="16"/>
  <c r="S75" i="16"/>
  <c r="O75" i="16"/>
  <c r="K75" i="16"/>
  <c r="C75" i="16"/>
  <c r="O74" i="16"/>
  <c r="K74" i="16"/>
  <c r="G74" i="16"/>
  <c r="C74" i="16"/>
  <c r="O73" i="16"/>
  <c r="K73" i="16"/>
  <c r="G73" i="16"/>
  <c r="C73" i="16"/>
  <c r="R72" i="16"/>
  <c r="S72" i="16" s="1"/>
  <c r="O72" i="16"/>
  <c r="K72" i="16"/>
  <c r="G72" i="16"/>
  <c r="C72" i="16"/>
  <c r="R71" i="16"/>
  <c r="S71" i="16" s="1"/>
  <c r="O71" i="16"/>
  <c r="K71" i="16"/>
  <c r="G71" i="16"/>
  <c r="C71" i="16"/>
  <c r="G70" i="16"/>
  <c r="C70" i="16"/>
  <c r="C69" i="16"/>
  <c r="S68" i="16"/>
  <c r="O68" i="16"/>
  <c r="K68" i="16"/>
  <c r="S67" i="16"/>
  <c r="O67" i="16"/>
  <c r="K67" i="16"/>
  <c r="G67" i="16"/>
  <c r="G66" i="16"/>
  <c r="C66" i="16"/>
  <c r="G65" i="16"/>
  <c r="C65" i="16"/>
  <c r="S64" i="16"/>
  <c r="O64" i="16"/>
  <c r="K64" i="16"/>
  <c r="G64" i="16"/>
  <c r="S63" i="16"/>
  <c r="O63" i="16"/>
  <c r="K63" i="16"/>
  <c r="G63" i="16"/>
  <c r="S62" i="16"/>
  <c r="O62" i="16"/>
  <c r="K62" i="16"/>
  <c r="G62" i="16"/>
  <c r="C62" i="16"/>
  <c r="S61" i="16"/>
  <c r="O61" i="16"/>
  <c r="K61" i="16"/>
  <c r="C61" i="16"/>
  <c r="S60" i="16"/>
  <c r="O60" i="16"/>
  <c r="K60" i="16"/>
  <c r="S59" i="16"/>
  <c r="O59" i="16"/>
  <c r="K59" i="16"/>
  <c r="G59" i="16"/>
  <c r="S58" i="16"/>
  <c r="K58" i="16"/>
  <c r="G58" i="16"/>
  <c r="C58" i="16"/>
  <c r="G57" i="16"/>
  <c r="C57" i="16"/>
  <c r="O56" i="16"/>
  <c r="G56" i="16"/>
  <c r="C56" i="16"/>
  <c r="S55" i="16"/>
  <c r="O55" i="16"/>
  <c r="K55" i="16"/>
  <c r="G55" i="16"/>
  <c r="C55" i="16"/>
  <c r="S54" i="16"/>
  <c r="O54" i="16"/>
  <c r="K54" i="16"/>
  <c r="G54" i="16"/>
  <c r="C54" i="16"/>
  <c r="S53" i="16"/>
  <c r="O53" i="16"/>
  <c r="K53" i="16"/>
  <c r="G53" i="16"/>
  <c r="C53" i="16"/>
  <c r="S52" i="16"/>
  <c r="O52" i="16"/>
  <c r="K52" i="16"/>
  <c r="C52" i="16"/>
  <c r="O51" i="16"/>
  <c r="K51" i="16"/>
  <c r="O50" i="16"/>
  <c r="K50" i="16"/>
  <c r="G50" i="16"/>
  <c r="S49" i="16"/>
  <c r="K49" i="16"/>
  <c r="G49" i="16"/>
  <c r="C49" i="16"/>
  <c r="S48" i="16"/>
  <c r="G48" i="16"/>
  <c r="C48" i="16"/>
  <c r="O47" i="16"/>
  <c r="G47" i="16"/>
  <c r="C47" i="16"/>
  <c r="O46" i="16"/>
  <c r="K46" i="16"/>
  <c r="G46" i="16"/>
  <c r="C46" i="16"/>
  <c r="S45" i="16"/>
  <c r="O45" i="16"/>
  <c r="K45" i="16"/>
  <c r="G45" i="16"/>
  <c r="C45" i="16"/>
  <c r="S44" i="16"/>
  <c r="O44" i="16"/>
  <c r="K44" i="16"/>
  <c r="G44" i="16"/>
  <c r="C44" i="16"/>
  <c r="O43" i="16"/>
  <c r="K43" i="16"/>
  <c r="G43" i="16"/>
  <c r="C43" i="16"/>
  <c r="O42" i="16"/>
  <c r="K42" i="16"/>
  <c r="G42" i="16"/>
  <c r="C42" i="16"/>
  <c r="S41" i="16"/>
  <c r="O41" i="16"/>
  <c r="K41" i="16"/>
  <c r="S40" i="16"/>
  <c r="O40" i="16"/>
  <c r="K40" i="16"/>
  <c r="O39" i="16"/>
  <c r="K39" i="16"/>
  <c r="G39" i="16"/>
  <c r="C39" i="16"/>
  <c r="O38" i="16"/>
  <c r="G38" i="16"/>
  <c r="C38" i="16"/>
  <c r="S37" i="16"/>
  <c r="G37" i="16"/>
  <c r="S36" i="16"/>
  <c r="K36" i="16"/>
  <c r="G36" i="16"/>
  <c r="S35" i="16"/>
  <c r="O35" i="16"/>
  <c r="K35" i="16"/>
  <c r="G35" i="16"/>
  <c r="C35" i="16"/>
  <c r="B111" i="16" s="1"/>
  <c r="S34" i="16"/>
  <c r="O34" i="16"/>
  <c r="K34" i="16"/>
  <c r="G34" i="16"/>
  <c r="C34" i="16"/>
  <c r="B110" i="16" s="1"/>
  <c r="O33" i="16"/>
  <c r="K33" i="16"/>
  <c r="C33" i="16"/>
  <c r="B109" i="16" s="1"/>
  <c r="O32" i="16"/>
  <c r="K32" i="16"/>
  <c r="C32" i="16"/>
  <c r="B108" i="16" s="1"/>
  <c r="S31" i="16"/>
  <c r="O31" i="16"/>
  <c r="K31" i="16"/>
  <c r="G31" i="16"/>
  <c r="C31" i="16"/>
  <c r="B107" i="16" s="1"/>
  <c r="S30" i="16"/>
  <c r="O30" i="16"/>
  <c r="K30" i="16"/>
  <c r="G30" i="16"/>
  <c r="S29" i="16"/>
  <c r="O29" i="16"/>
  <c r="G29" i="16"/>
  <c r="S28" i="16"/>
  <c r="G28" i="16"/>
  <c r="B28" i="16"/>
  <c r="C28" i="16" s="1"/>
  <c r="S27" i="16"/>
  <c r="K27" i="16"/>
  <c r="G27" i="16"/>
  <c r="B27" i="16"/>
  <c r="C27" i="16" s="1"/>
  <c r="S26" i="16"/>
  <c r="O26" i="16"/>
  <c r="K26" i="16"/>
  <c r="G26" i="16"/>
  <c r="O25" i="16"/>
  <c r="O24" i="16"/>
  <c r="C24" i="16"/>
  <c r="S23" i="16"/>
  <c r="O23" i="16"/>
  <c r="K23" i="16"/>
  <c r="G23" i="16"/>
  <c r="C23" i="16"/>
  <c r="S22" i="16"/>
  <c r="O22" i="16"/>
  <c r="K22" i="16"/>
  <c r="G22" i="16"/>
  <c r="S21" i="16"/>
  <c r="G21" i="16"/>
  <c r="S20" i="16"/>
  <c r="G20" i="16"/>
  <c r="C20" i="16"/>
  <c r="S19" i="16"/>
  <c r="O19" i="16"/>
  <c r="K19" i="16"/>
  <c r="G19" i="16"/>
  <c r="C19" i="16"/>
  <c r="O18" i="16"/>
  <c r="K18" i="16"/>
  <c r="C18" i="16"/>
  <c r="O17" i="16"/>
  <c r="K17" i="16"/>
  <c r="C17" i="16"/>
  <c r="S16" i="16"/>
  <c r="O16" i="16"/>
  <c r="K16" i="16"/>
  <c r="G16" i="16"/>
  <c r="C16" i="16"/>
  <c r="S15" i="16"/>
  <c r="G15" i="16"/>
  <c r="S14" i="16"/>
  <c r="S13" i="16"/>
  <c r="O13" i="16"/>
  <c r="K13" i="16"/>
  <c r="C13" i="16"/>
  <c r="S12" i="16"/>
  <c r="O12" i="16"/>
  <c r="K12" i="16"/>
  <c r="G12" i="16"/>
  <c r="F12" i="16"/>
  <c r="C12" i="16"/>
  <c r="S11" i="16"/>
  <c r="O11" i="16"/>
  <c r="K11" i="16"/>
  <c r="F11" i="16"/>
  <c r="G11" i="16" s="1"/>
  <c r="C11" i="16"/>
  <c r="C10" i="16"/>
  <c r="S8" i="16"/>
  <c r="O8" i="16"/>
  <c r="K8" i="16"/>
  <c r="G8" i="16"/>
  <c r="S7" i="16"/>
  <c r="O7" i="16"/>
  <c r="K7" i="16"/>
  <c r="G7" i="16"/>
  <c r="B7" i="16"/>
  <c r="C7" i="16" s="1"/>
  <c r="S6" i="16"/>
  <c r="O6" i="16"/>
  <c r="K6" i="16"/>
  <c r="G6" i="16"/>
  <c r="C6" i="16"/>
  <c r="B6" i="16"/>
  <c r="S3" i="16"/>
  <c r="R3" i="16"/>
  <c r="N3" i="16"/>
  <c r="O3" i="16" s="1"/>
  <c r="J3" i="16"/>
  <c r="K3" i="16" s="1"/>
  <c r="G3" i="16"/>
  <c r="C3" i="16"/>
  <c r="B3" i="16"/>
  <c r="R2" i="16"/>
  <c r="S2" i="16" s="1"/>
  <c r="N2" i="16"/>
  <c r="O2" i="16" s="1"/>
  <c r="J2" i="16"/>
  <c r="K2" i="16" s="1"/>
  <c r="G2" i="16"/>
  <c r="B2" i="16"/>
  <c r="C2" i="16" s="1"/>
  <c r="G79" i="14"/>
  <c r="C79" i="14"/>
  <c r="S78" i="14"/>
  <c r="G78" i="14"/>
  <c r="C78" i="14"/>
  <c r="S77" i="14"/>
  <c r="O77" i="14"/>
  <c r="G77" i="14"/>
  <c r="S76" i="14"/>
  <c r="O76" i="14"/>
  <c r="K76" i="14"/>
  <c r="S75" i="14"/>
  <c r="O75" i="14"/>
  <c r="K75" i="14"/>
  <c r="C75" i="14"/>
  <c r="O74" i="14"/>
  <c r="K74" i="14"/>
  <c r="G74" i="14"/>
  <c r="C74" i="14"/>
  <c r="O73" i="14"/>
  <c r="K73" i="14"/>
  <c r="G73" i="14"/>
  <c r="C73" i="14"/>
  <c r="R72" i="14"/>
  <c r="S72" i="14" s="1"/>
  <c r="O72" i="14"/>
  <c r="K72" i="14"/>
  <c r="G72" i="14"/>
  <c r="C72" i="14"/>
  <c r="R71" i="14"/>
  <c r="S71" i="14" s="1"/>
  <c r="O71" i="14"/>
  <c r="K71" i="14"/>
  <c r="G71" i="14"/>
  <c r="C71" i="14"/>
  <c r="G70" i="14"/>
  <c r="C70" i="14"/>
  <c r="C69" i="14"/>
  <c r="S68" i="14"/>
  <c r="O68" i="14"/>
  <c r="K68" i="14"/>
  <c r="S67" i="14"/>
  <c r="O67" i="14"/>
  <c r="K67" i="14"/>
  <c r="G67" i="14"/>
  <c r="G66" i="14"/>
  <c r="C66" i="14"/>
  <c r="G65" i="14"/>
  <c r="C65" i="14"/>
  <c r="S64" i="14"/>
  <c r="O64" i="14"/>
  <c r="K64" i="14"/>
  <c r="G64" i="14"/>
  <c r="S63" i="14"/>
  <c r="O63" i="14"/>
  <c r="K63" i="14"/>
  <c r="G63" i="14"/>
  <c r="S62" i="14"/>
  <c r="O62" i="14"/>
  <c r="K62" i="14"/>
  <c r="G62" i="14"/>
  <c r="C62" i="14"/>
  <c r="S61" i="14"/>
  <c r="O61" i="14"/>
  <c r="K61" i="14"/>
  <c r="C61" i="14"/>
  <c r="S60" i="14"/>
  <c r="O60" i="14"/>
  <c r="K60" i="14"/>
  <c r="S59" i="14"/>
  <c r="O59" i="14"/>
  <c r="K59" i="14"/>
  <c r="G59" i="14"/>
  <c r="S58" i="14"/>
  <c r="K58" i="14"/>
  <c r="G58" i="14"/>
  <c r="C58" i="14"/>
  <c r="G57" i="14"/>
  <c r="C57" i="14"/>
  <c r="O56" i="14"/>
  <c r="G56" i="14"/>
  <c r="C56" i="14"/>
  <c r="S55" i="14"/>
  <c r="O55" i="14"/>
  <c r="K55" i="14"/>
  <c r="G55" i="14"/>
  <c r="C55" i="14"/>
  <c r="S54" i="14"/>
  <c r="O54" i="14"/>
  <c r="K54" i="14"/>
  <c r="G54" i="14"/>
  <c r="C54" i="14"/>
  <c r="S53" i="14"/>
  <c r="O53" i="14"/>
  <c r="K53" i="14"/>
  <c r="G53" i="14"/>
  <c r="C53" i="14"/>
  <c r="S52" i="14"/>
  <c r="O52" i="14"/>
  <c r="K52" i="14"/>
  <c r="C52" i="14"/>
  <c r="O51" i="14"/>
  <c r="K51" i="14"/>
  <c r="O50" i="14"/>
  <c r="K50" i="14"/>
  <c r="G50" i="14"/>
  <c r="S49" i="14"/>
  <c r="K49" i="14"/>
  <c r="G49" i="14"/>
  <c r="C49" i="14"/>
  <c r="S48" i="14"/>
  <c r="G48" i="14"/>
  <c r="C48" i="14"/>
  <c r="O47" i="14"/>
  <c r="G47" i="14"/>
  <c r="C47" i="14"/>
  <c r="O46" i="14"/>
  <c r="K46" i="14"/>
  <c r="G46" i="14"/>
  <c r="C46" i="14"/>
  <c r="S45" i="14"/>
  <c r="O45" i="14"/>
  <c r="K45" i="14"/>
  <c r="G45" i="14"/>
  <c r="C45" i="14"/>
  <c r="S44" i="14"/>
  <c r="O44" i="14"/>
  <c r="K44" i="14"/>
  <c r="G44" i="14"/>
  <c r="C44" i="14"/>
  <c r="O43" i="14"/>
  <c r="K43" i="14"/>
  <c r="G43" i="14"/>
  <c r="C43" i="14"/>
  <c r="O42" i="14"/>
  <c r="K42" i="14"/>
  <c r="G42" i="14"/>
  <c r="C42" i="14"/>
  <c r="S41" i="14"/>
  <c r="O41" i="14"/>
  <c r="K41" i="14"/>
  <c r="S40" i="14"/>
  <c r="O40" i="14"/>
  <c r="K40" i="14"/>
  <c r="O39" i="14"/>
  <c r="K39" i="14"/>
  <c r="G39" i="14"/>
  <c r="C39" i="14"/>
  <c r="O38" i="14"/>
  <c r="G38" i="14"/>
  <c r="C38" i="14"/>
  <c r="S37" i="14"/>
  <c r="G37" i="14"/>
  <c r="S36" i="14"/>
  <c r="K36" i="14"/>
  <c r="G36" i="14"/>
  <c r="S35" i="14"/>
  <c r="O35" i="14"/>
  <c r="K35" i="14"/>
  <c r="G35" i="14"/>
  <c r="C35" i="14"/>
  <c r="S34" i="14"/>
  <c r="O34" i="14"/>
  <c r="K34" i="14"/>
  <c r="G34" i="14"/>
  <c r="C34" i="14"/>
  <c r="O33" i="14"/>
  <c r="K33" i="14"/>
  <c r="C33" i="14"/>
  <c r="O32" i="14"/>
  <c r="K32" i="14"/>
  <c r="C32" i="14"/>
  <c r="S31" i="14"/>
  <c r="O31" i="14"/>
  <c r="K31" i="14"/>
  <c r="G31" i="14"/>
  <c r="C31" i="14"/>
  <c r="S30" i="14"/>
  <c r="O30" i="14"/>
  <c r="K30" i="14"/>
  <c r="G30" i="14"/>
  <c r="S29" i="14"/>
  <c r="O29" i="14"/>
  <c r="G29" i="14"/>
  <c r="S28" i="14"/>
  <c r="G28" i="14"/>
  <c r="B28" i="14"/>
  <c r="C28" i="14" s="1"/>
  <c r="S27" i="14"/>
  <c r="K27" i="14"/>
  <c r="G27" i="14"/>
  <c r="B27" i="14"/>
  <c r="C27" i="14" s="1"/>
  <c r="S26" i="14"/>
  <c r="O26" i="14"/>
  <c r="K26" i="14"/>
  <c r="G26" i="14"/>
  <c r="O25" i="14"/>
  <c r="O24" i="14"/>
  <c r="C24" i="14"/>
  <c r="S23" i="14"/>
  <c r="O23" i="14"/>
  <c r="K23" i="14"/>
  <c r="G23" i="14"/>
  <c r="C23" i="14"/>
  <c r="S22" i="14"/>
  <c r="O22" i="14"/>
  <c r="K22" i="14"/>
  <c r="G22" i="14"/>
  <c r="S21" i="14"/>
  <c r="G21" i="14"/>
  <c r="S20" i="14"/>
  <c r="G20" i="14"/>
  <c r="C20" i="14"/>
  <c r="S19" i="14"/>
  <c r="O19" i="14"/>
  <c r="K19" i="14"/>
  <c r="G19" i="14"/>
  <c r="C19" i="14"/>
  <c r="O18" i="14"/>
  <c r="K18" i="14"/>
  <c r="C18" i="14"/>
  <c r="O17" i="14"/>
  <c r="K17" i="14"/>
  <c r="C17" i="14"/>
  <c r="S16" i="14"/>
  <c r="O16" i="14"/>
  <c r="K16" i="14"/>
  <c r="G16" i="14"/>
  <c r="C16" i="14"/>
  <c r="S15" i="14"/>
  <c r="G15" i="14"/>
  <c r="S14" i="14"/>
  <c r="S13" i="14"/>
  <c r="O13" i="14"/>
  <c r="K13" i="14"/>
  <c r="C13" i="14"/>
  <c r="S12" i="14"/>
  <c r="O12" i="14"/>
  <c r="K12" i="14"/>
  <c r="F12" i="14"/>
  <c r="G12" i="14" s="1"/>
  <c r="C12" i="14"/>
  <c r="S11" i="14"/>
  <c r="O11" i="14"/>
  <c r="K11" i="14"/>
  <c r="F11" i="14"/>
  <c r="G11" i="14" s="1"/>
  <c r="C11" i="14"/>
  <c r="C10" i="14"/>
  <c r="S8" i="14"/>
  <c r="O8" i="14"/>
  <c r="K8" i="14"/>
  <c r="G8" i="14"/>
  <c r="S7" i="14"/>
  <c r="O7" i="14"/>
  <c r="K7" i="14"/>
  <c r="G7" i="14"/>
  <c r="B7" i="14"/>
  <c r="C7" i="14" s="1"/>
  <c r="S6" i="14"/>
  <c r="O6" i="14"/>
  <c r="K6" i="14"/>
  <c r="G6" i="14"/>
  <c r="B6" i="14"/>
  <c r="C6" i="14" s="1"/>
  <c r="R3" i="14"/>
  <c r="S3" i="14" s="1"/>
  <c r="N3" i="14"/>
  <c r="O3" i="14" s="1"/>
  <c r="J3" i="14"/>
  <c r="K3" i="14" s="1"/>
  <c r="G3" i="14"/>
  <c r="B3" i="14"/>
  <c r="C3" i="14" s="1"/>
  <c r="R2" i="14"/>
  <c r="S2" i="14" s="1"/>
  <c r="N2" i="14"/>
  <c r="O2" i="14" s="1"/>
  <c r="J2" i="14"/>
  <c r="K2" i="14" s="1"/>
  <c r="G2" i="14"/>
  <c r="B2" i="14"/>
  <c r="C2" i="14" s="1"/>
  <c r="V17" i="8"/>
  <c r="S33" i="13"/>
  <c r="C30" i="13"/>
  <c r="K48" i="13"/>
  <c r="O5" i="13"/>
  <c r="C15" i="13"/>
  <c r="S10" i="13"/>
  <c r="K1" i="13"/>
  <c r="S5" i="13"/>
  <c r="G5" i="13"/>
  <c r="V24" i="13"/>
  <c r="V23" i="13"/>
  <c r="V22" i="13"/>
  <c r="V21" i="13"/>
  <c r="V20" i="13"/>
  <c r="V19" i="13"/>
  <c r="V18" i="13"/>
  <c r="V17" i="13"/>
  <c r="V16" i="13"/>
  <c r="V15" i="13"/>
  <c r="AH8" i="13"/>
  <c r="AH11" i="13"/>
  <c r="AH12" i="13"/>
  <c r="Z11" i="13"/>
  <c r="AA11" i="13"/>
  <c r="AB11" i="13"/>
  <c r="AC11" i="13"/>
  <c r="AD11" i="13"/>
  <c r="AE11" i="13"/>
  <c r="AF11" i="13"/>
  <c r="AG11" i="13"/>
  <c r="Z12" i="13"/>
  <c r="AA12" i="13"/>
  <c r="AB12" i="13"/>
  <c r="AC12" i="13"/>
  <c r="AD12" i="13"/>
  <c r="AE12" i="13"/>
  <c r="AF12" i="13"/>
  <c r="AG12" i="13"/>
  <c r="Y12" i="13"/>
  <c r="Y11" i="13"/>
  <c r="AG9" i="13"/>
  <c r="AF9" i="13"/>
  <c r="AB9" i="13"/>
  <c r="Y9" i="13"/>
  <c r="Z9" i="13"/>
  <c r="AA9" i="13"/>
  <c r="AA10" i="13" s="1"/>
  <c r="AC9" i="13"/>
  <c r="AD9" i="13"/>
  <c r="AE9" i="13"/>
  <c r="AG10" i="13"/>
  <c r="Y10" i="13"/>
  <c r="Z10" i="13"/>
  <c r="AB10" i="13"/>
  <c r="AC10" i="13"/>
  <c r="AD10" i="13"/>
  <c r="AE10" i="13"/>
  <c r="AF10" i="13"/>
  <c r="Z8" i="13"/>
  <c r="AA8" i="13"/>
  <c r="AB8" i="13"/>
  <c r="AC8" i="13"/>
  <c r="AD8" i="13"/>
  <c r="AE8" i="13"/>
  <c r="AF8" i="13"/>
  <c r="AG8" i="13"/>
  <c r="Y8" i="13"/>
  <c r="AH7" i="13"/>
  <c r="Z7" i="13"/>
  <c r="AA7" i="13"/>
  <c r="AB7" i="13"/>
  <c r="AC7" i="13"/>
  <c r="AD7" i="13"/>
  <c r="AE7" i="13"/>
  <c r="AF7" i="13"/>
  <c r="AG7" i="13"/>
  <c r="Y7" i="13"/>
  <c r="AG6" i="13"/>
  <c r="AF6" i="13"/>
  <c r="AE6" i="13"/>
  <c r="AD6" i="13"/>
  <c r="AC6" i="13"/>
  <c r="AB6" i="13"/>
  <c r="Z6" i="13"/>
  <c r="AA6" i="13"/>
  <c r="Y6" i="13"/>
  <c r="C34" i="17" l="1"/>
  <c r="B110" i="17" s="1"/>
  <c r="C31" i="17"/>
  <c r="B107" i="17" s="1"/>
  <c r="C33" i="17"/>
  <c r="B109" i="17" s="1"/>
  <c r="C35" i="17"/>
  <c r="B111" i="17" s="1"/>
  <c r="C2" i="17"/>
  <c r="C32" i="17"/>
  <c r="B108" i="17" s="1"/>
  <c r="C22" i="11"/>
  <c r="S1" i="11"/>
  <c r="S5" i="11"/>
  <c r="G14" i="11"/>
  <c r="G69" i="11"/>
  <c r="O15" i="11"/>
  <c r="K29" i="11"/>
  <c r="K15" i="11"/>
  <c r="S18" i="11"/>
  <c r="V17" i="11"/>
  <c r="S1" i="12"/>
  <c r="G14" i="12"/>
  <c r="S5" i="12"/>
  <c r="O15" i="12"/>
  <c r="K15" i="12"/>
  <c r="G69" i="12"/>
  <c r="C15" i="12"/>
  <c r="C22" i="12"/>
  <c r="K29" i="12"/>
  <c r="S18" i="12"/>
  <c r="V17" i="12"/>
  <c r="G79" i="13" l="1"/>
  <c r="C79" i="13"/>
  <c r="S78" i="13"/>
  <c r="G78" i="13"/>
  <c r="C78" i="13"/>
  <c r="S77" i="13"/>
  <c r="O77" i="13"/>
  <c r="G77" i="13"/>
  <c r="S76" i="13"/>
  <c r="O76" i="13"/>
  <c r="K76" i="13"/>
  <c r="S75" i="13"/>
  <c r="O75" i="13"/>
  <c r="K75" i="13"/>
  <c r="C75" i="13"/>
  <c r="O74" i="13"/>
  <c r="K74" i="13"/>
  <c r="G74" i="13"/>
  <c r="C74" i="13"/>
  <c r="O73" i="13"/>
  <c r="K73" i="13"/>
  <c r="G73" i="13"/>
  <c r="C73" i="13"/>
  <c r="S72" i="13"/>
  <c r="R72" i="13"/>
  <c r="O72" i="13"/>
  <c r="K72" i="13"/>
  <c r="G72" i="13"/>
  <c r="C72" i="13"/>
  <c r="R71" i="13"/>
  <c r="S71" i="13" s="1"/>
  <c r="O71" i="13"/>
  <c r="K71" i="13"/>
  <c r="G71" i="13"/>
  <c r="C71" i="13"/>
  <c r="G70" i="13"/>
  <c r="C70" i="13"/>
  <c r="C69" i="13"/>
  <c r="S68" i="13"/>
  <c r="O68" i="13"/>
  <c r="K68" i="13"/>
  <c r="S67" i="13"/>
  <c r="O67" i="13"/>
  <c r="K67" i="13"/>
  <c r="G67" i="13"/>
  <c r="G66" i="13"/>
  <c r="C66" i="13"/>
  <c r="G65" i="13"/>
  <c r="C65" i="13"/>
  <c r="S64" i="13"/>
  <c r="O64" i="13"/>
  <c r="K64" i="13"/>
  <c r="G64" i="13"/>
  <c r="S63" i="13"/>
  <c r="O63" i="13"/>
  <c r="K63" i="13"/>
  <c r="G63" i="13"/>
  <c r="S62" i="13"/>
  <c r="O62" i="13"/>
  <c r="K62" i="13"/>
  <c r="G62" i="13"/>
  <c r="C62" i="13"/>
  <c r="S61" i="13"/>
  <c r="O61" i="13"/>
  <c r="K61" i="13"/>
  <c r="C61" i="13"/>
  <c r="S60" i="13"/>
  <c r="O60" i="13"/>
  <c r="K60" i="13"/>
  <c r="S59" i="13"/>
  <c r="O59" i="13"/>
  <c r="K59" i="13"/>
  <c r="G59" i="13"/>
  <c r="S58" i="13"/>
  <c r="K58" i="13"/>
  <c r="G58" i="13"/>
  <c r="C58" i="13"/>
  <c r="G57" i="13"/>
  <c r="C57" i="13"/>
  <c r="O56" i="13"/>
  <c r="G56" i="13"/>
  <c r="C56" i="13"/>
  <c r="S55" i="13"/>
  <c r="O55" i="13"/>
  <c r="K55" i="13"/>
  <c r="G55" i="13"/>
  <c r="C55" i="13"/>
  <c r="S54" i="13"/>
  <c r="O54" i="13"/>
  <c r="K54" i="13"/>
  <c r="G54" i="13"/>
  <c r="C54" i="13"/>
  <c r="S53" i="13"/>
  <c r="O53" i="13"/>
  <c r="K53" i="13"/>
  <c r="G53" i="13"/>
  <c r="C53" i="13"/>
  <c r="S52" i="13"/>
  <c r="O52" i="13"/>
  <c r="K52" i="13"/>
  <c r="C52" i="13"/>
  <c r="O51" i="13"/>
  <c r="K51" i="13"/>
  <c r="O50" i="13"/>
  <c r="K50" i="13"/>
  <c r="G50" i="13"/>
  <c r="S49" i="13"/>
  <c r="K49" i="13"/>
  <c r="G49" i="13"/>
  <c r="C49" i="13"/>
  <c r="S48" i="13"/>
  <c r="G48" i="13"/>
  <c r="C48" i="13"/>
  <c r="O47" i="13"/>
  <c r="G47" i="13"/>
  <c r="C47" i="13"/>
  <c r="O46" i="13"/>
  <c r="K46" i="13"/>
  <c r="G46" i="13"/>
  <c r="C46" i="13"/>
  <c r="S45" i="13"/>
  <c r="O45" i="13"/>
  <c r="K45" i="13"/>
  <c r="G45" i="13"/>
  <c r="C45" i="13"/>
  <c r="S44" i="13"/>
  <c r="O44" i="13"/>
  <c r="K44" i="13"/>
  <c r="G44" i="13"/>
  <c r="C44" i="13"/>
  <c r="O43" i="13"/>
  <c r="K43" i="13"/>
  <c r="G43" i="13"/>
  <c r="C43" i="13"/>
  <c r="O42" i="13"/>
  <c r="K42" i="13"/>
  <c r="G42" i="13"/>
  <c r="C42" i="13"/>
  <c r="S41" i="13"/>
  <c r="O41" i="13"/>
  <c r="K41" i="13"/>
  <c r="S40" i="13"/>
  <c r="O40" i="13"/>
  <c r="K40" i="13"/>
  <c r="O39" i="13"/>
  <c r="K39" i="13"/>
  <c r="G39" i="13"/>
  <c r="C39" i="13"/>
  <c r="O38" i="13"/>
  <c r="G38" i="13"/>
  <c r="C38" i="13"/>
  <c r="S37" i="13"/>
  <c r="G37" i="13"/>
  <c r="S36" i="13"/>
  <c r="K36" i="13"/>
  <c r="G36" i="13"/>
  <c r="S35" i="13"/>
  <c r="O35" i="13"/>
  <c r="K35" i="13"/>
  <c r="G35" i="13"/>
  <c r="C35" i="13"/>
  <c r="S34" i="13"/>
  <c r="O34" i="13"/>
  <c r="K34" i="13"/>
  <c r="G34" i="13"/>
  <c r="C34" i="13"/>
  <c r="O33" i="13"/>
  <c r="K33" i="13"/>
  <c r="C33" i="13"/>
  <c r="O32" i="13"/>
  <c r="K32" i="13"/>
  <c r="C32" i="13"/>
  <c r="S31" i="13"/>
  <c r="O31" i="13"/>
  <c r="K31" i="13"/>
  <c r="G31" i="13"/>
  <c r="C31" i="13"/>
  <c r="S30" i="13"/>
  <c r="O30" i="13"/>
  <c r="K30" i="13"/>
  <c r="G30" i="13"/>
  <c r="S29" i="13"/>
  <c r="O29" i="13"/>
  <c r="G29" i="13"/>
  <c r="S28" i="13"/>
  <c r="G28" i="13"/>
  <c r="B28" i="13"/>
  <c r="C28" i="13" s="1"/>
  <c r="S27" i="13"/>
  <c r="K27" i="13"/>
  <c r="G27" i="13"/>
  <c r="B27" i="13"/>
  <c r="C27" i="13" s="1"/>
  <c r="S26" i="13"/>
  <c r="O26" i="13"/>
  <c r="K26" i="13"/>
  <c r="G26" i="13"/>
  <c r="O25" i="13"/>
  <c r="O24" i="13"/>
  <c r="C24" i="13"/>
  <c r="S23" i="13"/>
  <c r="O23" i="13"/>
  <c r="K23" i="13"/>
  <c r="G23" i="13"/>
  <c r="C23" i="13"/>
  <c r="S22" i="13"/>
  <c r="O22" i="13"/>
  <c r="K22" i="13"/>
  <c r="G22" i="13"/>
  <c r="S21" i="13"/>
  <c r="G21" i="13"/>
  <c r="S20" i="13"/>
  <c r="G20" i="13"/>
  <c r="C20" i="13"/>
  <c r="S19" i="13"/>
  <c r="O19" i="13"/>
  <c r="K19" i="13"/>
  <c r="G19" i="13"/>
  <c r="C19" i="13"/>
  <c r="O18" i="13"/>
  <c r="K18" i="13"/>
  <c r="C18" i="13"/>
  <c r="O17" i="13"/>
  <c r="K17" i="13"/>
  <c r="C17" i="13"/>
  <c r="S16" i="13"/>
  <c r="O16" i="13"/>
  <c r="K16" i="13"/>
  <c r="G16" i="13"/>
  <c r="C16" i="13"/>
  <c r="S15" i="13"/>
  <c r="G15" i="13"/>
  <c r="S14" i="13"/>
  <c r="S13" i="13"/>
  <c r="O13" i="13"/>
  <c r="K13" i="13"/>
  <c r="C13" i="13"/>
  <c r="S12" i="13"/>
  <c r="O12" i="13"/>
  <c r="K12" i="13"/>
  <c r="G12" i="13"/>
  <c r="F12" i="13"/>
  <c r="C12" i="13"/>
  <c r="S11" i="13"/>
  <c r="O11" i="13"/>
  <c r="K11" i="13"/>
  <c r="F11" i="13"/>
  <c r="G11" i="13" s="1"/>
  <c r="C11" i="13"/>
  <c r="C10" i="13"/>
  <c r="S8" i="13"/>
  <c r="O8" i="13"/>
  <c r="K8" i="13"/>
  <c r="G8" i="13"/>
  <c r="S7" i="13"/>
  <c r="O7" i="13"/>
  <c r="K7" i="13"/>
  <c r="G7" i="13"/>
  <c r="B7" i="13"/>
  <c r="C7" i="13" s="1"/>
  <c r="S6" i="13"/>
  <c r="O6" i="13"/>
  <c r="K6" i="13"/>
  <c r="G6" i="13"/>
  <c r="B6" i="13"/>
  <c r="C6" i="13" s="1"/>
  <c r="S3" i="13"/>
  <c r="R3" i="13"/>
  <c r="N3" i="13"/>
  <c r="O3" i="13" s="1"/>
  <c r="J3" i="13"/>
  <c r="K3" i="13" s="1"/>
  <c r="G3" i="13"/>
  <c r="B3" i="13"/>
  <c r="C3" i="13" s="1"/>
  <c r="R2" i="13"/>
  <c r="S2" i="13" s="1"/>
  <c r="N2" i="13"/>
  <c r="O2" i="13" s="1"/>
  <c r="K2" i="13"/>
  <c r="J2" i="13"/>
  <c r="G2" i="13"/>
  <c r="B2" i="13"/>
  <c r="C2" i="13" s="1"/>
  <c r="G79" i="12"/>
  <c r="C79" i="12"/>
  <c r="S78" i="12"/>
  <c r="G78" i="12"/>
  <c r="C78" i="12"/>
  <c r="S77" i="12"/>
  <c r="O77" i="12"/>
  <c r="G77" i="12"/>
  <c r="S76" i="12"/>
  <c r="O76" i="12"/>
  <c r="K76" i="12"/>
  <c r="S75" i="12"/>
  <c r="O75" i="12"/>
  <c r="K75" i="12"/>
  <c r="C75" i="12"/>
  <c r="O74" i="12"/>
  <c r="K74" i="12"/>
  <c r="G74" i="12"/>
  <c r="C74" i="12"/>
  <c r="O73" i="12"/>
  <c r="K73" i="12"/>
  <c r="G73" i="12"/>
  <c r="C73" i="12"/>
  <c r="R72" i="12"/>
  <c r="S72" i="12" s="1"/>
  <c r="O72" i="12"/>
  <c r="K72" i="12"/>
  <c r="G72" i="12"/>
  <c r="C72" i="12"/>
  <c r="R71" i="12"/>
  <c r="S71" i="12" s="1"/>
  <c r="O71" i="12"/>
  <c r="K71" i="12"/>
  <c r="G71" i="12"/>
  <c r="C71" i="12"/>
  <c r="G70" i="12"/>
  <c r="C70" i="12"/>
  <c r="C69" i="12"/>
  <c r="S68" i="12"/>
  <c r="O68" i="12"/>
  <c r="K68" i="12"/>
  <c r="S67" i="12"/>
  <c r="O67" i="12"/>
  <c r="K67" i="12"/>
  <c r="G67" i="12"/>
  <c r="G66" i="12"/>
  <c r="C66" i="12"/>
  <c r="G65" i="12"/>
  <c r="C65" i="12"/>
  <c r="S64" i="12"/>
  <c r="O64" i="12"/>
  <c r="K64" i="12"/>
  <c r="G64" i="12"/>
  <c r="S63" i="12"/>
  <c r="O63" i="12"/>
  <c r="K63" i="12"/>
  <c r="G63" i="12"/>
  <c r="S62" i="12"/>
  <c r="O62" i="12"/>
  <c r="K62" i="12"/>
  <c r="G62" i="12"/>
  <c r="C62" i="12"/>
  <c r="S61" i="12"/>
  <c r="O61" i="12"/>
  <c r="K61" i="12"/>
  <c r="C61" i="12"/>
  <c r="S60" i="12"/>
  <c r="O60" i="12"/>
  <c r="K60" i="12"/>
  <c r="S59" i="12"/>
  <c r="O59" i="12"/>
  <c r="K59" i="12"/>
  <c r="G59" i="12"/>
  <c r="S58" i="12"/>
  <c r="K58" i="12"/>
  <c r="G58" i="12"/>
  <c r="C58" i="12"/>
  <c r="G57" i="12"/>
  <c r="C57" i="12"/>
  <c r="O56" i="12"/>
  <c r="G56" i="12"/>
  <c r="C56" i="12"/>
  <c r="S55" i="12"/>
  <c r="O55" i="12"/>
  <c r="K55" i="12"/>
  <c r="G55" i="12"/>
  <c r="C55" i="12"/>
  <c r="S54" i="12"/>
  <c r="O54" i="12"/>
  <c r="K54" i="12"/>
  <c r="G54" i="12"/>
  <c r="C54" i="12"/>
  <c r="S53" i="12"/>
  <c r="O53" i="12"/>
  <c r="K53" i="12"/>
  <c r="G53" i="12"/>
  <c r="C53" i="12"/>
  <c r="S52" i="12"/>
  <c r="O52" i="12"/>
  <c r="K52" i="12"/>
  <c r="C52" i="12"/>
  <c r="O51" i="12"/>
  <c r="K51" i="12"/>
  <c r="O50" i="12"/>
  <c r="K50" i="12"/>
  <c r="G50" i="12"/>
  <c r="S49" i="12"/>
  <c r="K49" i="12"/>
  <c r="G49" i="12"/>
  <c r="C49" i="12"/>
  <c r="S48" i="12"/>
  <c r="G48" i="12"/>
  <c r="C48" i="12"/>
  <c r="O47" i="12"/>
  <c r="G47" i="12"/>
  <c r="C47" i="12"/>
  <c r="O46" i="12"/>
  <c r="K46" i="12"/>
  <c r="G46" i="12"/>
  <c r="C46" i="12"/>
  <c r="S45" i="12"/>
  <c r="O45" i="12"/>
  <c r="K45" i="12"/>
  <c r="G45" i="12"/>
  <c r="C45" i="12"/>
  <c r="S44" i="12"/>
  <c r="O44" i="12"/>
  <c r="K44" i="12"/>
  <c r="G44" i="12"/>
  <c r="C44" i="12"/>
  <c r="O43" i="12"/>
  <c r="K43" i="12"/>
  <c r="G43" i="12"/>
  <c r="C43" i="12"/>
  <c r="O42" i="12"/>
  <c r="K42" i="12"/>
  <c r="G42" i="12"/>
  <c r="C42" i="12"/>
  <c r="S41" i="12"/>
  <c r="O41" i="12"/>
  <c r="K41" i="12"/>
  <c r="S40" i="12"/>
  <c r="O40" i="12"/>
  <c r="K40" i="12"/>
  <c r="O39" i="12"/>
  <c r="K39" i="12"/>
  <c r="G39" i="12"/>
  <c r="C39" i="12"/>
  <c r="O38" i="12"/>
  <c r="G38" i="12"/>
  <c r="C38" i="12"/>
  <c r="S37" i="12"/>
  <c r="G37" i="12"/>
  <c r="S36" i="12"/>
  <c r="K36" i="12"/>
  <c r="G36" i="12"/>
  <c r="S35" i="12"/>
  <c r="O35" i="12"/>
  <c r="K35" i="12"/>
  <c r="G35" i="12"/>
  <c r="C35" i="12"/>
  <c r="S34" i="12"/>
  <c r="O34" i="12"/>
  <c r="K34" i="12"/>
  <c r="G34" i="12"/>
  <c r="C34" i="12"/>
  <c r="O33" i="12"/>
  <c r="K33" i="12"/>
  <c r="C33" i="12"/>
  <c r="O32" i="12"/>
  <c r="K32" i="12"/>
  <c r="C32" i="12"/>
  <c r="S31" i="12"/>
  <c r="O31" i="12"/>
  <c r="K31" i="12"/>
  <c r="G31" i="12"/>
  <c r="C31" i="12"/>
  <c r="S30" i="12"/>
  <c r="O30" i="12"/>
  <c r="K30" i="12"/>
  <c r="G30" i="12"/>
  <c r="S29" i="12"/>
  <c r="O29" i="12"/>
  <c r="G29" i="12"/>
  <c r="S28" i="12"/>
  <c r="G28" i="12"/>
  <c r="B28" i="12"/>
  <c r="C28" i="12" s="1"/>
  <c r="S27" i="12"/>
  <c r="K27" i="12"/>
  <c r="G27" i="12"/>
  <c r="C27" i="12"/>
  <c r="B27" i="12"/>
  <c r="S26" i="12"/>
  <c r="O26" i="12"/>
  <c r="K26" i="12"/>
  <c r="G26" i="12"/>
  <c r="O25" i="12"/>
  <c r="O24" i="12"/>
  <c r="C24" i="12"/>
  <c r="S23" i="12"/>
  <c r="O23" i="12"/>
  <c r="K23" i="12"/>
  <c r="G23" i="12"/>
  <c r="C23" i="12"/>
  <c r="S22" i="12"/>
  <c r="O22" i="12"/>
  <c r="K22" i="12"/>
  <c r="G22" i="12"/>
  <c r="S21" i="12"/>
  <c r="G21" i="12"/>
  <c r="S20" i="12"/>
  <c r="G20" i="12"/>
  <c r="C20" i="12"/>
  <c r="S19" i="12"/>
  <c r="O19" i="12"/>
  <c r="K19" i="12"/>
  <c r="G19" i="12"/>
  <c r="C19" i="12"/>
  <c r="O18" i="12"/>
  <c r="K18" i="12"/>
  <c r="C18" i="12"/>
  <c r="O17" i="12"/>
  <c r="K17" i="12"/>
  <c r="C17" i="12"/>
  <c r="S16" i="12"/>
  <c r="O16" i="12"/>
  <c r="K16" i="12"/>
  <c r="G16" i="12"/>
  <c r="C16" i="12"/>
  <c r="S15" i="12"/>
  <c r="G15" i="12"/>
  <c r="S14" i="12"/>
  <c r="S13" i="12"/>
  <c r="O13" i="12"/>
  <c r="K13" i="12"/>
  <c r="C13" i="12"/>
  <c r="S12" i="12"/>
  <c r="O12" i="12"/>
  <c r="K12" i="12"/>
  <c r="F12" i="12"/>
  <c r="G12" i="12" s="1"/>
  <c r="C12" i="12"/>
  <c r="S11" i="12"/>
  <c r="O11" i="12"/>
  <c r="K11" i="12"/>
  <c r="F11" i="12"/>
  <c r="G11" i="12" s="1"/>
  <c r="C11" i="12"/>
  <c r="C10" i="12"/>
  <c r="S8" i="12"/>
  <c r="O8" i="12"/>
  <c r="K8" i="12"/>
  <c r="G8" i="12"/>
  <c r="S7" i="12"/>
  <c r="O7" i="12"/>
  <c r="K7" i="12"/>
  <c r="G7" i="12"/>
  <c r="B7" i="12"/>
  <c r="C7" i="12" s="1"/>
  <c r="S6" i="12"/>
  <c r="O6" i="12"/>
  <c r="K6" i="12"/>
  <c r="G6" i="12"/>
  <c r="B6" i="12"/>
  <c r="C6" i="12" s="1"/>
  <c r="R3" i="12"/>
  <c r="S3" i="12" s="1"/>
  <c r="N3" i="12"/>
  <c r="O3" i="12" s="1"/>
  <c r="J3" i="12"/>
  <c r="K3" i="12" s="1"/>
  <c r="G3" i="12"/>
  <c r="B3" i="12"/>
  <c r="C3" i="12" s="1"/>
  <c r="R2" i="12"/>
  <c r="S2" i="12" s="1"/>
  <c r="N2" i="12"/>
  <c r="O2" i="12" s="1"/>
  <c r="J2" i="12"/>
  <c r="K2" i="12" s="1"/>
  <c r="G2" i="12"/>
  <c r="B2" i="12"/>
  <c r="C2" i="12" s="1"/>
  <c r="G79" i="11"/>
  <c r="C79" i="11"/>
  <c r="S78" i="11"/>
  <c r="G78" i="11"/>
  <c r="C78" i="11"/>
  <c r="S77" i="11"/>
  <c r="O77" i="11"/>
  <c r="G77" i="11"/>
  <c r="S76" i="11"/>
  <c r="O76" i="11"/>
  <c r="K76" i="11"/>
  <c r="S75" i="11"/>
  <c r="O75" i="11"/>
  <c r="K75" i="11"/>
  <c r="C75" i="11"/>
  <c r="O74" i="11"/>
  <c r="K74" i="11"/>
  <c r="G74" i="11"/>
  <c r="C74" i="11"/>
  <c r="O73" i="11"/>
  <c r="K73" i="11"/>
  <c r="G73" i="11"/>
  <c r="C73" i="11"/>
  <c r="S72" i="11"/>
  <c r="R72" i="11"/>
  <c r="O72" i="11"/>
  <c r="K72" i="11"/>
  <c r="G72" i="11"/>
  <c r="C72" i="11"/>
  <c r="R71" i="11"/>
  <c r="S71" i="11" s="1"/>
  <c r="O71" i="11"/>
  <c r="K71" i="11"/>
  <c r="G71" i="11"/>
  <c r="C71" i="11"/>
  <c r="G70" i="11"/>
  <c r="C70" i="11"/>
  <c r="C69" i="11"/>
  <c r="S68" i="11"/>
  <c r="O68" i="11"/>
  <c r="K68" i="11"/>
  <c r="S67" i="11"/>
  <c r="O67" i="11"/>
  <c r="K67" i="11"/>
  <c r="G67" i="11"/>
  <c r="G66" i="11"/>
  <c r="C66" i="11"/>
  <c r="G65" i="11"/>
  <c r="C65" i="11"/>
  <c r="S64" i="11"/>
  <c r="O64" i="11"/>
  <c r="K64" i="11"/>
  <c r="G64" i="11"/>
  <c r="S63" i="11"/>
  <c r="O63" i="11"/>
  <c r="K63" i="11"/>
  <c r="G63" i="11"/>
  <c r="S62" i="11"/>
  <c r="O62" i="11"/>
  <c r="K62" i="11"/>
  <c r="G62" i="11"/>
  <c r="C62" i="11"/>
  <c r="S61" i="11"/>
  <c r="O61" i="11"/>
  <c r="K61" i="11"/>
  <c r="C61" i="11"/>
  <c r="S60" i="11"/>
  <c r="O60" i="11"/>
  <c r="K60" i="11"/>
  <c r="S59" i="11"/>
  <c r="O59" i="11"/>
  <c r="K59" i="11"/>
  <c r="G59" i="11"/>
  <c r="S58" i="11"/>
  <c r="K58" i="11"/>
  <c r="G58" i="11"/>
  <c r="C58" i="11"/>
  <c r="G57" i="11"/>
  <c r="C57" i="11"/>
  <c r="O56" i="11"/>
  <c r="G56" i="11"/>
  <c r="C56" i="11"/>
  <c r="S55" i="11"/>
  <c r="O55" i="11"/>
  <c r="K55" i="11"/>
  <c r="G55" i="11"/>
  <c r="C55" i="11"/>
  <c r="S54" i="11"/>
  <c r="O54" i="11"/>
  <c r="K54" i="11"/>
  <c r="G54" i="11"/>
  <c r="C54" i="11"/>
  <c r="S53" i="11"/>
  <c r="O53" i="11"/>
  <c r="K53" i="11"/>
  <c r="G53" i="11"/>
  <c r="C53" i="11"/>
  <c r="S52" i="11"/>
  <c r="O52" i="11"/>
  <c r="K52" i="11"/>
  <c r="C52" i="11"/>
  <c r="O51" i="11"/>
  <c r="K51" i="11"/>
  <c r="O50" i="11"/>
  <c r="K50" i="11"/>
  <c r="G50" i="11"/>
  <c r="S49" i="11"/>
  <c r="K49" i="11"/>
  <c r="G49" i="11"/>
  <c r="C49" i="11"/>
  <c r="S48" i="11"/>
  <c r="G48" i="11"/>
  <c r="C48" i="11"/>
  <c r="O47" i="11"/>
  <c r="G47" i="11"/>
  <c r="C47" i="11"/>
  <c r="O46" i="11"/>
  <c r="K46" i="11"/>
  <c r="G46" i="11"/>
  <c r="C46" i="11"/>
  <c r="S45" i="11"/>
  <c r="O45" i="11"/>
  <c r="K45" i="11"/>
  <c r="G45" i="11"/>
  <c r="C45" i="11"/>
  <c r="S44" i="11"/>
  <c r="O44" i="11"/>
  <c r="K44" i="11"/>
  <c r="G44" i="11"/>
  <c r="C44" i="11"/>
  <c r="O43" i="11"/>
  <c r="K43" i="11"/>
  <c r="G43" i="11"/>
  <c r="C43" i="11"/>
  <c r="O42" i="11"/>
  <c r="K42" i="11"/>
  <c r="G42" i="11"/>
  <c r="C42" i="11"/>
  <c r="S41" i="11"/>
  <c r="O41" i="11"/>
  <c r="K41" i="11"/>
  <c r="S40" i="11"/>
  <c r="O40" i="11"/>
  <c r="K40" i="11"/>
  <c r="O39" i="11"/>
  <c r="K39" i="11"/>
  <c r="G39" i="11"/>
  <c r="C39" i="11"/>
  <c r="O38" i="11"/>
  <c r="G38" i="11"/>
  <c r="C38" i="11"/>
  <c r="S37" i="11"/>
  <c r="G37" i="11"/>
  <c r="S36" i="11"/>
  <c r="K36" i="11"/>
  <c r="G36" i="11"/>
  <c r="S35" i="11"/>
  <c r="O35" i="11"/>
  <c r="K35" i="11"/>
  <c r="G35" i="11"/>
  <c r="C35" i="11"/>
  <c r="S34" i="11"/>
  <c r="O34" i="11"/>
  <c r="K34" i="11"/>
  <c r="G34" i="11"/>
  <c r="C34" i="11"/>
  <c r="O33" i="11"/>
  <c r="K33" i="11"/>
  <c r="C33" i="11"/>
  <c r="O32" i="11"/>
  <c r="K32" i="11"/>
  <c r="C32" i="11"/>
  <c r="S31" i="11"/>
  <c r="O31" i="11"/>
  <c r="K31" i="11"/>
  <c r="G31" i="11"/>
  <c r="C31" i="11"/>
  <c r="S30" i="11"/>
  <c r="O30" i="11"/>
  <c r="K30" i="11"/>
  <c r="G30" i="11"/>
  <c r="S29" i="11"/>
  <c r="O29" i="11"/>
  <c r="G29" i="11"/>
  <c r="S28" i="11"/>
  <c r="G28" i="11"/>
  <c r="B28" i="11"/>
  <c r="C28" i="11" s="1"/>
  <c r="S27" i="11"/>
  <c r="K27" i="11"/>
  <c r="G27" i="11"/>
  <c r="C27" i="11"/>
  <c r="B27" i="11"/>
  <c r="S26" i="11"/>
  <c r="O26" i="11"/>
  <c r="K26" i="11"/>
  <c r="G26" i="11"/>
  <c r="O25" i="11"/>
  <c r="O24" i="11"/>
  <c r="C24" i="11"/>
  <c r="S23" i="11"/>
  <c r="O23" i="11"/>
  <c r="K23" i="11"/>
  <c r="G23" i="11"/>
  <c r="C23" i="11"/>
  <c r="S22" i="11"/>
  <c r="O22" i="11"/>
  <c r="K22" i="11"/>
  <c r="G22" i="11"/>
  <c r="S21" i="11"/>
  <c r="G21" i="11"/>
  <c r="S20" i="11"/>
  <c r="G20" i="11"/>
  <c r="C20" i="11"/>
  <c r="S19" i="11"/>
  <c r="O19" i="11"/>
  <c r="K19" i="11"/>
  <c r="G19" i="11"/>
  <c r="C19" i="11"/>
  <c r="O18" i="11"/>
  <c r="K18" i="11"/>
  <c r="C18" i="11"/>
  <c r="O17" i="11"/>
  <c r="K17" i="11"/>
  <c r="C17" i="11"/>
  <c r="S16" i="11"/>
  <c r="O16" i="11"/>
  <c r="K16" i="11"/>
  <c r="G16" i="11"/>
  <c r="C16" i="11"/>
  <c r="S15" i="11"/>
  <c r="G15" i="11"/>
  <c r="S14" i="11"/>
  <c r="S13" i="11"/>
  <c r="O13" i="11"/>
  <c r="K13" i="11"/>
  <c r="C13" i="11"/>
  <c r="S12" i="11"/>
  <c r="O12" i="11"/>
  <c r="K12" i="11"/>
  <c r="F12" i="11"/>
  <c r="G12" i="11" s="1"/>
  <c r="C12" i="11"/>
  <c r="S11" i="11"/>
  <c r="O11" i="11"/>
  <c r="K11" i="11"/>
  <c r="F11" i="11"/>
  <c r="G11" i="11" s="1"/>
  <c r="C11" i="11"/>
  <c r="C10" i="11"/>
  <c r="S8" i="11"/>
  <c r="O8" i="11"/>
  <c r="K8" i="11"/>
  <c r="G8" i="11"/>
  <c r="S7" i="11"/>
  <c r="O7" i="11"/>
  <c r="K7" i="11"/>
  <c r="G7" i="11"/>
  <c r="B7" i="11"/>
  <c r="C7" i="11" s="1"/>
  <c r="S6" i="11"/>
  <c r="O6" i="11"/>
  <c r="K6" i="11"/>
  <c r="G6" i="11"/>
  <c r="B6" i="11"/>
  <c r="C6" i="11" s="1"/>
  <c r="R3" i="11"/>
  <c r="S3" i="11" s="1"/>
  <c r="N3" i="11"/>
  <c r="O3" i="11" s="1"/>
  <c r="J3" i="11"/>
  <c r="K3" i="11" s="1"/>
  <c r="G3" i="11"/>
  <c r="B3" i="11"/>
  <c r="C3" i="11" s="1"/>
  <c r="R2" i="11"/>
  <c r="S2" i="11" s="1"/>
  <c r="N2" i="11"/>
  <c r="O2" i="11" s="1"/>
  <c r="K2" i="11"/>
  <c r="J2" i="11"/>
  <c r="G2" i="11"/>
  <c r="B2" i="11"/>
  <c r="C2" i="11" s="1"/>
  <c r="C51" i="10" l="1"/>
  <c r="C53" i="10" s="1"/>
  <c r="G5" i="10"/>
  <c r="V18" i="10"/>
  <c r="V19" i="10" s="1"/>
  <c r="G79" i="10"/>
  <c r="C79" i="10"/>
  <c r="S78" i="10"/>
  <c r="G78" i="10"/>
  <c r="C78" i="10"/>
  <c r="S77" i="10"/>
  <c r="O77" i="10"/>
  <c r="G77" i="10"/>
  <c r="S76" i="10"/>
  <c r="O76" i="10"/>
  <c r="K76" i="10"/>
  <c r="S75" i="10"/>
  <c r="O75" i="10"/>
  <c r="K75" i="10"/>
  <c r="C75" i="10"/>
  <c r="O74" i="10"/>
  <c r="K74" i="10"/>
  <c r="G74" i="10"/>
  <c r="C74" i="10"/>
  <c r="O73" i="10"/>
  <c r="K73" i="10"/>
  <c r="G73" i="10"/>
  <c r="C73" i="10"/>
  <c r="S72" i="10"/>
  <c r="R72" i="10"/>
  <c r="O72" i="10"/>
  <c r="K72" i="10"/>
  <c r="G72" i="10"/>
  <c r="C72" i="10"/>
  <c r="R71" i="10"/>
  <c r="S71" i="10" s="1"/>
  <c r="O71" i="10"/>
  <c r="K71" i="10"/>
  <c r="G71" i="10"/>
  <c r="C71" i="10"/>
  <c r="G70" i="10"/>
  <c r="C70" i="10"/>
  <c r="C69" i="10"/>
  <c r="S68" i="10"/>
  <c r="O68" i="10"/>
  <c r="K68" i="10"/>
  <c r="S67" i="10"/>
  <c r="O67" i="10"/>
  <c r="K67" i="10"/>
  <c r="G67" i="10"/>
  <c r="G66" i="10"/>
  <c r="C66" i="10"/>
  <c r="G65" i="10"/>
  <c r="C65" i="10"/>
  <c r="S64" i="10"/>
  <c r="O64" i="10"/>
  <c r="K64" i="10"/>
  <c r="G64" i="10"/>
  <c r="S63" i="10"/>
  <c r="O63" i="10"/>
  <c r="K63" i="10"/>
  <c r="G63" i="10"/>
  <c r="S62" i="10"/>
  <c r="O62" i="10"/>
  <c r="K62" i="10"/>
  <c r="G62" i="10"/>
  <c r="C62" i="10"/>
  <c r="S61" i="10"/>
  <c r="O61" i="10"/>
  <c r="K61" i="10"/>
  <c r="C61" i="10"/>
  <c r="S60" i="10"/>
  <c r="O60" i="10"/>
  <c r="K60" i="10"/>
  <c r="S59" i="10"/>
  <c r="O59" i="10"/>
  <c r="K59" i="10"/>
  <c r="G59" i="10"/>
  <c r="S58" i="10"/>
  <c r="K58" i="10"/>
  <c r="G58" i="10"/>
  <c r="C58" i="10"/>
  <c r="G57" i="10"/>
  <c r="C57" i="10"/>
  <c r="O56" i="10"/>
  <c r="G56" i="10"/>
  <c r="S55" i="10"/>
  <c r="O55" i="10"/>
  <c r="K55" i="10"/>
  <c r="G55" i="10"/>
  <c r="C55" i="10"/>
  <c r="S54" i="10"/>
  <c r="O54" i="10"/>
  <c r="K54" i="10"/>
  <c r="G54" i="10"/>
  <c r="S53" i="10"/>
  <c r="O53" i="10"/>
  <c r="K53" i="10"/>
  <c r="G53" i="10"/>
  <c r="S52" i="10"/>
  <c r="O52" i="10"/>
  <c r="K52" i="10"/>
  <c r="C52" i="10"/>
  <c r="O51" i="10"/>
  <c r="K51" i="10"/>
  <c r="O50" i="10"/>
  <c r="K50" i="10"/>
  <c r="G50" i="10"/>
  <c r="S49" i="10"/>
  <c r="K49" i="10"/>
  <c r="G49" i="10"/>
  <c r="C49" i="10"/>
  <c r="S48" i="10"/>
  <c r="G48" i="10"/>
  <c r="C48" i="10"/>
  <c r="O47" i="10"/>
  <c r="G47" i="10"/>
  <c r="C47" i="10"/>
  <c r="O46" i="10"/>
  <c r="K46" i="10"/>
  <c r="G46" i="10"/>
  <c r="C46" i="10"/>
  <c r="S45" i="10"/>
  <c r="O45" i="10"/>
  <c r="K45" i="10"/>
  <c r="G45" i="10"/>
  <c r="C45" i="10"/>
  <c r="S44" i="10"/>
  <c r="O44" i="10"/>
  <c r="K44" i="10"/>
  <c r="G44" i="10"/>
  <c r="C44" i="10"/>
  <c r="O43" i="10"/>
  <c r="K43" i="10"/>
  <c r="G43" i="10"/>
  <c r="C43" i="10"/>
  <c r="O42" i="10"/>
  <c r="K42" i="10"/>
  <c r="G42" i="10"/>
  <c r="C42" i="10"/>
  <c r="S41" i="10"/>
  <c r="O41" i="10"/>
  <c r="K41" i="10"/>
  <c r="S40" i="10"/>
  <c r="O40" i="10"/>
  <c r="K40" i="10"/>
  <c r="O39" i="10"/>
  <c r="K39" i="10"/>
  <c r="G39" i="10"/>
  <c r="C39" i="10"/>
  <c r="O38" i="10"/>
  <c r="G38" i="10"/>
  <c r="C38" i="10"/>
  <c r="S37" i="10"/>
  <c r="G37" i="10"/>
  <c r="S36" i="10"/>
  <c r="K36" i="10"/>
  <c r="G36" i="10"/>
  <c r="S35" i="10"/>
  <c r="O35" i="10"/>
  <c r="K35" i="10"/>
  <c r="G35" i="10"/>
  <c r="C35" i="10"/>
  <c r="S34" i="10"/>
  <c r="O34" i="10"/>
  <c r="K34" i="10"/>
  <c r="G34" i="10"/>
  <c r="C34" i="10"/>
  <c r="O33" i="10"/>
  <c r="K33" i="10"/>
  <c r="C33" i="10"/>
  <c r="O32" i="10"/>
  <c r="K32" i="10"/>
  <c r="C32" i="10"/>
  <c r="S31" i="10"/>
  <c r="O31" i="10"/>
  <c r="K31" i="10"/>
  <c r="G31" i="10"/>
  <c r="C31" i="10"/>
  <c r="S30" i="10"/>
  <c r="O30" i="10"/>
  <c r="K30" i="10"/>
  <c r="G30" i="10"/>
  <c r="S29" i="10"/>
  <c r="O29" i="10"/>
  <c r="G29" i="10"/>
  <c r="S28" i="10"/>
  <c r="G28" i="10"/>
  <c r="B28" i="10"/>
  <c r="C28" i="10" s="1"/>
  <c r="S27" i="10"/>
  <c r="K27" i="10"/>
  <c r="G27" i="10"/>
  <c r="C27" i="10"/>
  <c r="B27" i="10"/>
  <c r="S26" i="10"/>
  <c r="O26" i="10"/>
  <c r="K26" i="10"/>
  <c r="G26" i="10"/>
  <c r="O25" i="10"/>
  <c r="O24" i="10"/>
  <c r="C24" i="10"/>
  <c r="S23" i="10"/>
  <c r="O23" i="10"/>
  <c r="K23" i="10"/>
  <c r="G23" i="10"/>
  <c r="C23" i="10"/>
  <c r="S22" i="10"/>
  <c r="O22" i="10"/>
  <c r="K22" i="10"/>
  <c r="G22" i="10"/>
  <c r="S21" i="10"/>
  <c r="G21" i="10"/>
  <c r="S20" i="10"/>
  <c r="G20" i="10"/>
  <c r="C20" i="10"/>
  <c r="S19" i="10"/>
  <c r="O19" i="10"/>
  <c r="K19" i="10"/>
  <c r="G19" i="10"/>
  <c r="C19" i="10"/>
  <c r="O18" i="10"/>
  <c r="K18" i="10"/>
  <c r="C18" i="10"/>
  <c r="O17" i="10"/>
  <c r="K17" i="10"/>
  <c r="C17" i="10"/>
  <c r="S16" i="10"/>
  <c r="O16" i="10"/>
  <c r="K16" i="10"/>
  <c r="G16" i="10"/>
  <c r="C16" i="10"/>
  <c r="S15" i="10"/>
  <c r="G15" i="10"/>
  <c r="S14" i="10"/>
  <c r="S13" i="10"/>
  <c r="O13" i="10"/>
  <c r="K13" i="10"/>
  <c r="C13" i="10"/>
  <c r="S12" i="10"/>
  <c r="O12" i="10"/>
  <c r="K12" i="10"/>
  <c r="G12" i="10"/>
  <c r="F12" i="10"/>
  <c r="C12" i="10"/>
  <c r="S11" i="10"/>
  <c r="O11" i="10"/>
  <c r="K11" i="10"/>
  <c r="F11" i="10"/>
  <c r="G11" i="10" s="1"/>
  <c r="C11" i="10"/>
  <c r="C10" i="10"/>
  <c r="S8" i="10"/>
  <c r="O8" i="10"/>
  <c r="K8" i="10"/>
  <c r="G8" i="10"/>
  <c r="S7" i="10"/>
  <c r="O7" i="10"/>
  <c r="K7" i="10"/>
  <c r="G7" i="10"/>
  <c r="C7" i="10"/>
  <c r="B7" i="10"/>
  <c r="S6" i="10"/>
  <c r="O6" i="10"/>
  <c r="K6" i="10"/>
  <c r="G6" i="10"/>
  <c r="C6" i="10"/>
  <c r="B6" i="10"/>
  <c r="S3" i="10"/>
  <c r="R3" i="10"/>
  <c r="N3" i="10"/>
  <c r="O3" i="10" s="1"/>
  <c r="J3" i="10"/>
  <c r="K3" i="10" s="1"/>
  <c r="G3" i="10"/>
  <c r="B3" i="10"/>
  <c r="C3" i="10" s="1"/>
  <c r="R2" i="10"/>
  <c r="S2" i="10" s="1"/>
  <c r="N2" i="10"/>
  <c r="O2" i="10" s="1"/>
  <c r="K2" i="10"/>
  <c r="J2" i="10"/>
  <c r="G2" i="10"/>
  <c r="B2" i="10"/>
  <c r="C2" i="10" s="1"/>
  <c r="C54" i="10" l="1"/>
  <c r="C56" i="10"/>
  <c r="O10" i="8"/>
  <c r="G5" i="5"/>
  <c r="V18" i="5"/>
  <c r="V17" i="5"/>
  <c r="G79" i="8" l="1"/>
  <c r="C79" i="8"/>
  <c r="S78" i="8"/>
  <c r="G78" i="8"/>
  <c r="C78" i="8"/>
  <c r="S77" i="8"/>
  <c r="O77" i="8"/>
  <c r="G77" i="8"/>
  <c r="S76" i="8"/>
  <c r="O76" i="8"/>
  <c r="K76" i="8"/>
  <c r="S75" i="8"/>
  <c r="O75" i="8"/>
  <c r="K75" i="8"/>
  <c r="C75" i="8"/>
  <c r="O74" i="8"/>
  <c r="K74" i="8"/>
  <c r="G74" i="8"/>
  <c r="C74" i="8"/>
  <c r="O73" i="8"/>
  <c r="K73" i="8"/>
  <c r="G73" i="8"/>
  <c r="C73" i="8"/>
  <c r="S72" i="8"/>
  <c r="R72" i="8"/>
  <c r="O72" i="8"/>
  <c r="K72" i="8"/>
  <c r="G72" i="8"/>
  <c r="C72" i="8"/>
  <c r="R71" i="8"/>
  <c r="S71" i="8" s="1"/>
  <c r="O71" i="8"/>
  <c r="K71" i="8"/>
  <c r="G71" i="8"/>
  <c r="C71" i="8"/>
  <c r="G70" i="8"/>
  <c r="C70" i="8"/>
  <c r="C69" i="8"/>
  <c r="S68" i="8"/>
  <c r="O68" i="8"/>
  <c r="K68" i="8"/>
  <c r="S67" i="8"/>
  <c r="O67" i="8"/>
  <c r="K67" i="8"/>
  <c r="G67" i="8"/>
  <c r="G66" i="8"/>
  <c r="C66" i="8"/>
  <c r="G65" i="8"/>
  <c r="C65" i="8"/>
  <c r="S64" i="8"/>
  <c r="O64" i="8"/>
  <c r="K64" i="8"/>
  <c r="G64" i="8"/>
  <c r="S63" i="8"/>
  <c r="O63" i="8"/>
  <c r="K63" i="8"/>
  <c r="G63" i="8"/>
  <c r="S62" i="8"/>
  <c r="O62" i="8"/>
  <c r="K62" i="8"/>
  <c r="G62" i="8"/>
  <c r="C62" i="8"/>
  <c r="S61" i="8"/>
  <c r="O61" i="8"/>
  <c r="K61" i="8"/>
  <c r="C61" i="8"/>
  <c r="S60" i="8"/>
  <c r="O60" i="8"/>
  <c r="K60" i="8"/>
  <c r="S59" i="8"/>
  <c r="O59" i="8"/>
  <c r="K59" i="8"/>
  <c r="G59" i="8"/>
  <c r="S58" i="8"/>
  <c r="K58" i="8"/>
  <c r="G58" i="8"/>
  <c r="C58" i="8"/>
  <c r="G57" i="8"/>
  <c r="C57" i="8"/>
  <c r="O56" i="8"/>
  <c r="G56" i="8"/>
  <c r="C56" i="8"/>
  <c r="S55" i="8"/>
  <c r="O55" i="8"/>
  <c r="K55" i="8"/>
  <c r="G55" i="8"/>
  <c r="C55" i="8"/>
  <c r="S54" i="8"/>
  <c r="O54" i="8"/>
  <c r="K54" i="8"/>
  <c r="G54" i="8"/>
  <c r="C54" i="8"/>
  <c r="S53" i="8"/>
  <c r="O53" i="8"/>
  <c r="K53" i="8"/>
  <c r="G53" i="8"/>
  <c r="C53" i="8"/>
  <c r="S52" i="8"/>
  <c r="O52" i="8"/>
  <c r="K52" i="8"/>
  <c r="C52" i="8"/>
  <c r="O51" i="8"/>
  <c r="K51" i="8"/>
  <c r="O50" i="8"/>
  <c r="K50" i="8"/>
  <c r="G50" i="8"/>
  <c r="S49" i="8"/>
  <c r="K49" i="8"/>
  <c r="G49" i="8"/>
  <c r="C49" i="8"/>
  <c r="S48" i="8"/>
  <c r="G48" i="8"/>
  <c r="C48" i="8"/>
  <c r="O47" i="8"/>
  <c r="G47" i="8"/>
  <c r="C47" i="8"/>
  <c r="O46" i="8"/>
  <c r="K46" i="8"/>
  <c r="G46" i="8"/>
  <c r="C46" i="8"/>
  <c r="S45" i="8"/>
  <c r="O45" i="8"/>
  <c r="K45" i="8"/>
  <c r="G45" i="8"/>
  <c r="C45" i="8"/>
  <c r="S44" i="8"/>
  <c r="O44" i="8"/>
  <c r="K44" i="8"/>
  <c r="G44" i="8"/>
  <c r="C44" i="8"/>
  <c r="O43" i="8"/>
  <c r="K43" i="8"/>
  <c r="G43" i="8"/>
  <c r="C43" i="8"/>
  <c r="O42" i="8"/>
  <c r="K42" i="8"/>
  <c r="G42" i="8"/>
  <c r="C42" i="8"/>
  <c r="S41" i="8"/>
  <c r="O41" i="8"/>
  <c r="K41" i="8"/>
  <c r="S40" i="8"/>
  <c r="O40" i="8"/>
  <c r="K40" i="8"/>
  <c r="O39" i="8"/>
  <c r="K39" i="8"/>
  <c r="G39" i="8"/>
  <c r="C39" i="8"/>
  <c r="O38" i="8"/>
  <c r="G38" i="8"/>
  <c r="C38" i="8"/>
  <c r="S37" i="8"/>
  <c r="G37" i="8"/>
  <c r="S36" i="8"/>
  <c r="K36" i="8"/>
  <c r="G36" i="8"/>
  <c r="S35" i="8"/>
  <c r="O35" i="8"/>
  <c r="K35" i="8"/>
  <c r="G35" i="8"/>
  <c r="C35" i="8"/>
  <c r="S34" i="8"/>
  <c r="O34" i="8"/>
  <c r="K34" i="8"/>
  <c r="G34" i="8"/>
  <c r="C34" i="8"/>
  <c r="O33" i="8"/>
  <c r="K33" i="8"/>
  <c r="C33" i="8"/>
  <c r="O32" i="8"/>
  <c r="K32" i="8"/>
  <c r="C32" i="8"/>
  <c r="S31" i="8"/>
  <c r="O31" i="8"/>
  <c r="K31" i="8"/>
  <c r="G31" i="8"/>
  <c r="C31" i="8"/>
  <c r="S30" i="8"/>
  <c r="O30" i="8"/>
  <c r="K30" i="8"/>
  <c r="G30" i="8"/>
  <c r="S29" i="8"/>
  <c r="O29" i="8"/>
  <c r="G29" i="8"/>
  <c r="S28" i="8"/>
  <c r="G28" i="8"/>
  <c r="B28" i="8"/>
  <c r="C28" i="8" s="1"/>
  <c r="S27" i="8"/>
  <c r="K27" i="8"/>
  <c r="G27" i="8"/>
  <c r="C27" i="8"/>
  <c r="B27" i="8"/>
  <c r="S26" i="8"/>
  <c r="O26" i="8"/>
  <c r="K26" i="8"/>
  <c r="G26" i="8"/>
  <c r="O25" i="8"/>
  <c r="O24" i="8"/>
  <c r="C24" i="8"/>
  <c r="S23" i="8"/>
  <c r="O23" i="8"/>
  <c r="K23" i="8"/>
  <c r="G23" i="8"/>
  <c r="C23" i="8"/>
  <c r="S22" i="8"/>
  <c r="O22" i="8"/>
  <c r="K22" i="8"/>
  <c r="G22" i="8"/>
  <c r="S21" i="8"/>
  <c r="G21" i="8"/>
  <c r="S20" i="8"/>
  <c r="G20" i="8"/>
  <c r="C20" i="8"/>
  <c r="S19" i="8"/>
  <c r="O19" i="8"/>
  <c r="K19" i="8"/>
  <c r="G19" i="8"/>
  <c r="C19" i="8"/>
  <c r="O18" i="8"/>
  <c r="K18" i="8"/>
  <c r="C18" i="8"/>
  <c r="O17" i="8"/>
  <c r="K17" i="8"/>
  <c r="C17" i="8"/>
  <c r="S16" i="8"/>
  <c r="O16" i="8"/>
  <c r="K16" i="8"/>
  <c r="G16" i="8"/>
  <c r="C16" i="8"/>
  <c r="S15" i="8"/>
  <c r="G15" i="8"/>
  <c r="S14" i="8"/>
  <c r="S13" i="8"/>
  <c r="O13" i="8"/>
  <c r="K13" i="8"/>
  <c r="C13" i="8"/>
  <c r="S12" i="8"/>
  <c r="O12" i="8"/>
  <c r="K12" i="8"/>
  <c r="F12" i="8"/>
  <c r="G12" i="8" s="1"/>
  <c r="C12" i="8"/>
  <c r="S11" i="8"/>
  <c r="O11" i="8"/>
  <c r="K11" i="8"/>
  <c r="F11" i="8"/>
  <c r="G11" i="8" s="1"/>
  <c r="C11" i="8"/>
  <c r="C10" i="8"/>
  <c r="S8" i="8"/>
  <c r="O8" i="8"/>
  <c r="K8" i="8"/>
  <c r="G8" i="8"/>
  <c r="S7" i="8"/>
  <c r="O7" i="8"/>
  <c r="K7" i="8"/>
  <c r="G7" i="8"/>
  <c r="B7" i="8"/>
  <c r="C7" i="8" s="1"/>
  <c r="S6" i="8"/>
  <c r="O6" i="8"/>
  <c r="K6" i="8"/>
  <c r="G6" i="8"/>
  <c r="B6" i="8"/>
  <c r="C6" i="8" s="1"/>
  <c r="R3" i="8"/>
  <c r="S3" i="8" s="1"/>
  <c r="N3" i="8"/>
  <c r="O3" i="8" s="1"/>
  <c r="J3" i="8"/>
  <c r="K3" i="8" s="1"/>
  <c r="G3" i="8"/>
  <c r="C3" i="8"/>
  <c r="B3" i="8"/>
  <c r="R2" i="8"/>
  <c r="S2" i="8" s="1"/>
  <c r="O2" i="8"/>
  <c r="N2" i="8"/>
  <c r="K2" i="8"/>
  <c r="J2" i="8"/>
  <c r="G2" i="8"/>
  <c r="B2" i="8"/>
  <c r="C2" i="8" s="1"/>
  <c r="G79" i="7"/>
  <c r="C79" i="7"/>
  <c r="S78" i="7"/>
  <c r="G78" i="7"/>
  <c r="C78" i="7"/>
  <c r="S77" i="7"/>
  <c r="O77" i="7"/>
  <c r="G77" i="7"/>
  <c r="S76" i="7"/>
  <c r="O76" i="7"/>
  <c r="K76" i="7"/>
  <c r="S75" i="7"/>
  <c r="O75" i="7"/>
  <c r="K75" i="7"/>
  <c r="C75" i="7"/>
  <c r="O74" i="7"/>
  <c r="K74" i="7"/>
  <c r="G74" i="7"/>
  <c r="C74" i="7"/>
  <c r="O73" i="7"/>
  <c r="K73" i="7"/>
  <c r="G73" i="7"/>
  <c r="C73" i="7"/>
  <c r="S72" i="7"/>
  <c r="R72" i="7"/>
  <c r="O72" i="7"/>
  <c r="K72" i="7"/>
  <c r="G72" i="7"/>
  <c r="C72" i="7"/>
  <c r="R71" i="7"/>
  <c r="S71" i="7" s="1"/>
  <c r="O71" i="7"/>
  <c r="K71" i="7"/>
  <c r="G71" i="7"/>
  <c r="C71" i="7"/>
  <c r="G70" i="7"/>
  <c r="C70" i="7"/>
  <c r="C69" i="7"/>
  <c r="S68" i="7"/>
  <c r="O68" i="7"/>
  <c r="K68" i="7"/>
  <c r="S67" i="7"/>
  <c r="O67" i="7"/>
  <c r="K67" i="7"/>
  <c r="G67" i="7"/>
  <c r="G66" i="7"/>
  <c r="C66" i="7"/>
  <c r="G65" i="7"/>
  <c r="C65" i="7"/>
  <c r="S64" i="7"/>
  <c r="O64" i="7"/>
  <c r="K64" i="7"/>
  <c r="G64" i="7"/>
  <c r="S63" i="7"/>
  <c r="O63" i="7"/>
  <c r="K63" i="7"/>
  <c r="G63" i="7"/>
  <c r="S62" i="7"/>
  <c r="O62" i="7"/>
  <c r="K62" i="7"/>
  <c r="G62" i="7"/>
  <c r="C62" i="7"/>
  <c r="S61" i="7"/>
  <c r="O61" i="7"/>
  <c r="K61" i="7"/>
  <c r="C61" i="7"/>
  <c r="S60" i="7"/>
  <c r="O60" i="7"/>
  <c r="K60" i="7"/>
  <c r="S59" i="7"/>
  <c r="O59" i="7"/>
  <c r="K59" i="7"/>
  <c r="G59" i="7"/>
  <c r="S58" i="7"/>
  <c r="K58" i="7"/>
  <c r="G58" i="7"/>
  <c r="C58" i="7"/>
  <c r="G57" i="7"/>
  <c r="C57" i="7"/>
  <c r="O56" i="7"/>
  <c r="G56" i="7"/>
  <c r="C56" i="7"/>
  <c r="S55" i="7"/>
  <c r="O55" i="7"/>
  <c r="K55" i="7"/>
  <c r="G55" i="7"/>
  <c r="C55" i="7"/>
  <c r="S54" i="7"/>
  <c r="O54" i="7"/>
  <c r="K54" i="7"/>
  <c r="G54" i="7"/>
  <c r="C54" i="7"/>
  <c r="S53" i="7"/>
  <c r="O53" i="7"/>
  <c r="K53" i="7"/>
  <c r="G53" i="7"/>
  <c r="C53" i="7"/>
  <c r="S52" i="7"/>
  <c r="O52" i="7"/>
  <c r="K52" i="7"/>
  <c r="C52" i="7"/>
  <c r="O51" i="7"/>
  <c r="K51" i="7"/>
  <c r="O50" i="7"/>
  <c r="K50" i="7"/>
  <c r="G50" i="7"/>
  <c r="S49" i="7"/>
  <c r="K49" i="7"/>
  <c r="G49" i="7"/>
  <c r="C49" i="7"/>
  <c r="S48" i="7"/>
  <c r="G48" i="7"/>
  <c r="C48" i="7"/>
  <c r="O47" i="7"/>
  <c r="G47" i="7"/>
  <c r="C47" i="7"/>
  <c r="O46" i="7"/>
  <c r="K46" i="7"/>
  <c r="G46" i="7"/>
  <c r="C46" i="7"/>
  <c r="S45" i="7"/>
  <c r="O45" i="7"/>
  <c r="K45" i="7"/>
  <c r="G45" i="7"/>
  <c r="C45" i="7"/>
  <c r="S44" i="7"/>
  <c r="O44" i="7"/>
  <c r="K44" i="7"/>
  <c r="G44" i="7"/>
  <c r="C44" i="7"/>
  <c r="O43" i="7"/>
  <c r="K43" i="7"/>
  <c r="G43" i="7"/>
  <c r="C43" i="7"/>
  <c r="O42" i="7"/>
  <c r="K42" i="7"/>
  <c r="G42" i="7"/>
  <c r="C42" i="7"/>
  <c r="S41" i="7"/>
  <c r="O41" i="7"/>
  <c r="K41" i="7"/>
  <c r="S40" i="7"/>
  <c r="O40" i="7"/>
  <c r="K40" i="7"/>
  <c r="O39" i="7"/>
  <c r="K39" i="7"/>
  <c r="G39" i="7"/>
  <c r="C39" i="7"/>
  <c r="O38" i="7"/>
  <c r="G38" i="7"/>
  <c r="C38" i="7"/>
  <c r="S37" i="7"/>
  <c r="G37" i="7"/>
  <c r="S36" i="7"/>
  <c r="K36" i="7"/>
  <c r="G36" i="7"/>
  <c r="S35" i="7"/>
  <c r="O35" i="7"/>
  <c r="K35" i="7"/>
  <c r="G35" i="7"/>
  <c r="C35" i="7"/>
  <c r="S34" i="7"/>
  <c r="O34" i="7"/>
  <c r="K34" i="7"/>
  <c r="G34" i="7"/>
  <c r="C34" i="7"/>
  <c r="O33" i="7"/>
  <c r="K33" i="7"/>
  <c r="C33" i="7"/>
  <c r="O32" i="7"/>
  <c r="K32" i="7"/>
  <c r="C32" i="7"/>
  <c r="S31" i="7"/>
  <c r="O31" i="7"/>
  <c r="K31" i="7"/>
  <c r="G31" i="7"/>
  <c r="C31" i="7"/>
  <c r="S30" i="7"/>
  <c r="O30" i="7"/>
  <c r="K30" i="7"/>
  <c r="G30" i="7"/>
  <c r="S29" i="7"/>
  <c r="O29" i="7"/>
  <c r="G29" i="7"/>
  <c r="S28" i="7"/>
  <c r="G28" i="7"/>
  <c r="B28" i="7"/>
  <c r="C28" i="7" s="1"/>
  <c r="S27" i="7"/>
  <c r="K27" i="7"/>
  <c r="G27" i="7"/>
  <c r="C27" i="7"/>
  <c r="B27" i="7"/>
  <c r="S26" i="7"/>
  <c r="O26" i="7"/>
  <c r="K26" i="7"/>
  <c r="G26" i="7"/>
  <c r="O25" i="7"/>
  <c r="O24" i="7"/>
  <c r="C24" i="7"/>
  <c r="S23" i="7"/>
  <c r="O23" i="7"/>
  <c r="K23" i="7"/>
  <c r="G23" i="7"/>
  <c r="C23" i="7"/>
  <c r="S22" i="7"/>
  <c r="O22" i="7"/>
  <c r="K22" i="7"/>
  <c r="G22" i="7"/>
  <c r="S21" i="7"/>
  <c r="G21" i="7"/>
  <c r="S20" i="7"/>
  <c r="G20" i="7"/>
  <c r="C20" i="7"/>
  <c r="S19" i="7"/>
  <c r="O19" i="7"/>
  <c r="K19" i="7"/>
  <c r="G19" i="7"/>
  <c r="C19" i="7"/>
  <c r="O18" i="7"/>
  <c r="K18" i="7"/>
  <c r="C18" i="7"/>
  <c r="O17" i="7"/>
  <c r="K17" i="7"/>
  <c r="C17" i="7"/>
  <c r="S16" i="7"/>
  <c r="O16" i="7"/>
  <c r="K16" i="7"/>
  <c r="G16" i="7"/>
  <c r="C16" i="7"/>
  <c r="S15" i="7"/>
  <c r="G15" i="7"/>
  <c r="S14" i="7"/>
  <c r="S13" i="7"/>
  <c r="O13" i="7"/>
  <c r="K13" i="7"/>
  <c r="C13" i="7"/>
  <c r="S12" i="7"/>
  <c r="O12" i="7"/>
  <c r="K12" i="7"/>
  <c r="F12" i="7"/>
  <c r="G12" i="7" s="1"/>
  <c r="C12" i="7"/>
  <c r="S11" i="7"/>
  <c r="O11" i="7"/>
  <c r="K11" i="7"/>
  <c r="F11" i="7"/>
  <c r="G11" i="7" s="1"/>
  <c r="C11" i="7"/>
  <c r="C10" i="7"/>
  <c r="S8" i="7"/>
  <c r="O8" i="7"/>
  <c r="K8" i="7"/>
  <c r="G8" i="7"/>
  <c r="S7" i="7"/>
  <c r="O7" i="7"/>
  <c r="K7" i="7"/>
  <c r="G7" i="7"/>
  <c r="B7" i="7"/>
  <c r="C7" i="7" s="1"/>
  <c r="S6" i="7"/>
  <c r="O6" i="7"/>
  <c r="K6" i="7"/>
  <c r="G6" i="7"/>
  <c r="B6" i="7"/>
  <c r="C6" i="7" s="1"/>
  <c r="R3" i="7"/>
  <c r="S3" i="7" s="1"/>
  <c r="N3" i="7"/>
  <c r="O3" i="7" s="1"/>
  <c r="J3" i="7"/>
  <c r="K3" i="7" s="1"/>
  <c r="G3" i="7"/>
  <c r="B3" i="7"/>
  <c r="C3" i="7" s="1"/>
  <c r="S2" i="7"/>
  <c r="R2" i="7"/>
  <c r="N2" i="7"/>
  <c r="O2" i="7" s="1"/>
  <c r="K2" i="7"/>
  <c r="J2" i="7"/>
  <c r="G2" i="7"/>
  <c r="B2" i="7"/>
  <c r="C2" i="7" s="1"/>
  <c r="G79" i="5"/>
  <c r="C79" i="5"/>
  <c r="S78" i="5"/>
  <c r="G78" i="5"/>
  <c r="C78" i="5"/>
  <c r="S77" i="5"/>
  <c r="O77" i="5"/>
  <c r="G77" i="5"/>
  <c r="S76" i="5"/>
  <c r="O76" i="5"/>
  <c r="K76" i="5"/>
  <c r="S75" i="5"/>
  <c r="O75" i="5"/>
  <c r="K75" i="5"/>
  <c r="C75" i="5"/>
  <c r="O74" i="5"/>
  <c r="K74" i="5"/>
  <c r="G74" i="5"/>
  <c r="C74" i="5"/>
  <c r="O73" i="5"/>
  <c r="K73" i="5"/>
  <c r="G73" i="5"/>
  <c r="C73" i="5"/>
  <c r="S72" i="5"/>
  <c r="R72" i="5"/>
  <c r="O72" i="5"/>
  <c r="K72" i="5"/>
  <c r="G72" i="5"/>
  <c r="C72" i="5"/>
  <c r="R71" i="5"/>
  <c r="S71" i="5" s="1"/>
  <c r="O71" i="5"/>
  <c r="K71" i="5"/>
  <c r="G71" i="5"/>
  <c r="C71" i="5"/>
  <c r="G70" i="5"/>
  <c r="C70" i="5"/>
  <c r="C69" i="5"/>
  <c r="S68" i="5"/>
  <c r="O68" i="5"/>
  <c r="K68" i="5"/>
  <c r="S67" i="5"/>
  <c r="O67" i="5"/>
  <c r="K67" i="5"/>
  <c r="G67" i="5"/>
  <c r="G66" i="5"/>
  <c r="C66" i="5"/>
  <c r="G65" i="5"/>
  <c r="C65" i="5"/>
  <c r="S64" i="5"/>
  <c r="O64" i="5"/>
  <c r="K64" i="5"/>
  <c r="G64" i="5"/>
  <c r="S63" i="5"/>
  <c r="O63" i="5"/>
  <c r="K63" i="5"/>
  <c r="G63" i="5"/>
  <c r="S62" i="5"/>
  <c r="O62" i="5"/>
  <c r="K62" i="5"/>
  <c r="G62" i="5"/>
  <c r="C62" i="5"/>
  <c r="S61" i="5"/>
  <c r="O61" i="5"/>
  <c r="K61" i="5"/>
  <c r="C61" i="5"/>
  <c r="S60" i="5"/>
  <c r="O60" i="5"/>
  <c r="K60" i="5"/>
  <c r="S59" i="5"/>
  <c r="O59" i="5"/>
  <c r="K59" i="5"/>
  <c r="G59" i="5"/>
  <c r="S58" i="5"/>
  <c r="K58" i="5"/>
  <c r="G58" i="5"/>
  <c r="C58" i="5"/>
  <c r="G57" i="5"/>
  <c r="C57" i="5"/>
  <c r="O56" i="5"/>
  <c r="G56" i="5"/>
  <c r="C56" i="5"/>
  <c r="S55" i="5"/>
  <c r="O55" i="5"/>
  <c r="K55" i="5"/>
  <c r="G55" i="5"/>
  <c r="C55" i="5"/>
  <c r="S54" i="5"/>
  <c r="O54" i="5"/>
  <c r="K54" i="5"/>
  <c r="G54" i="5"/>
  <c r="C54" i="5"/>
  <c r="S53" i="5"/>
  <c r="O53" i="5"/>
  <c r="K53" i="5"/>
  <c r="G53" i="5"/>
  <c r="C53" i="5"/>
  <c r="S52" i="5"/>
  <c r="O52" i="5"/>
  <c r="K52" i="5"/>
  <c r="C52" i="5"/>
  <c r="O51" i="5"/>
  <c r="K51" i="5"/>
  <c r="O50" i="5"/>
  <c r="K50" i="5"/>
  <c r="G50" i="5"/>
  <c r="S49" i="5"/>
  <c r="K49" i="5"/>
  <c r="G49" i="5"/>
  <c r="C49" i="5"/>
  <c r="S48" i="5"/>
  <c r="G48" i="5"/>
  <c r="C48" i="5"/>
  <c r="O47" i="5"/>
  <c r="G47" i="5"/>
  <c r="C47" i="5"/>
  <c r="O46" i="5"/>
  <c r="K46" i="5"/>
  <c r="G46" i="5"/>
  <c r="C46" i="5"/>
  <c r="S45" i="5"/>
  <c r="O45" i="5"/>
  <c r="K45" i="5"/>
  <c r="G45" i="5"/>
  <c r="C45" i="5"/>
  <c r="S44" i="5"/>
  <c r="O44" i="5"/>
  <c r="K44" i="5"/>
  <c r="G44" i="5"/>
  <c r="C44" i="5"/>
  <c r="O43" i="5"/>
  <c r="K43" i="5"/>
  <c r="G43" i="5"/>
  <c r="C43" i="5"/>
  <c r="O42" i="5"/>
  <c r="K42" i="5"/>
  <c r="G42" i="5"/>
  <c r="C42" i="5"/>
  <c r="S41" i="5"/>
  <c r="O41" i="5"/>
  <c r="K41" i="5"/>
  <c r="S40" i="5"/>
  <c r="O40" i="5"/>
  <c r="K40" i="5"/>
  <c r="O39" i="5"/>
  <c r="K39" i="5"/>
  <c r="G39" i="5"/>
  <c r="C39" i="5"/>
  <c r="O38" i="5"/>
  <c r="G38" i="5"/>
  <c r="C38" i="5"/>
  <c r="S37" i="5"/>
  <c r="G37" i="5"/>
  <c r="S36" i="5"/>
  <c r="K36" i="5"/>
  <c r="G36" i="5"/>
  <c r="S35" i="5"/>
  <c r="O35" i="5"/>
  <c r="K35" i="5"/>
  <c r="G35" i="5"/>
  <c r="C35" i="5"/>
  <c r="S34" i="5"/>
  <c r="O34" i="5"/>
  <c r="K34" i="5"/>
  <c r="G34" i="5"/>
  <c r="C34" i="5"/>
  <c r="O33" i="5"/>
  <c r="K33" i="5"/>
  <c r="C33" i="5"/>
  <c r="O32" i="5"/>
  <c r="K32" i="5"/>
  <c r="C32" i="5"/>
  <c r="S31" i="5"/>
  <c r="O31" i="5"/>
  <c r="K31" i="5"/>
  <c r="G31" i="5"/>
  <c r="C31" i="5"/>
  <c r="S30" i="5"/>
  <c r="O30" i="5"/>
  <c r="K30" i="5"/>
  <c r="G30" i="5"/>
  <c r="S29" i="5"/>
  <c r="O29" i="5"/>
  <c r="G29" i="5"/>
  <c r="S28" i="5"/>
  <c r="G28" i="5"/>
  <c r="B28" i="5"/>
  <c r="C28" i="5" s="1"/>
  <c r="S27" i="5"/>
  <c r="K27" i="5"/>
  <c r="G27" i="5"/>
  <c r="C27" i="5"/>
  <c r="B27" i="5"/>
  <c r="S26" i="5"/>
  <c r="O26" i="5"/>
  <c r="K26" i="5"/>
  <c r="G26" i="5"/>
  <c r="O25" i="5"/>
  <c r="O24" i="5"/>
  <c r="C24" i="5"/>
  <c r="S23" i="5"/>
  <c r="O23" i="5"/>
  <c r="K23" i="5"/>
  <c r="G23" i="5"/>
  <c r="C23" i="5"/>
  <c r="S22" i="5"/>
  <c r="O22" i="5"/>
  <c r="K22" i="5"/>
  <c r="G22" i="5"/>
  <c r="S21" i="5"/>
  <c r="G21" i="5"/>
  <c r="S20" i="5"/>
  <c r="G20" i="5"/>
  <c r="C20" i="5"/>
  <c r="S19" i="5"/>
  <c r="O19" i="5"/>
  <c r="K19" i="5"/>
  <c r="G19" i="5"/>
  <c r="C19" i="5"/>
  <c r="O18" i="5"/>
  <c r="K18" i="5"/>
  <c r="C18" i="5"/>
  <c r="O17" i="5"/>
  <c r="K17" i="5"/>
  <c r="C17" i="5"/>
  <c r="S16" i="5"/>
  <c r="O16" i="5"/>
  <c r="K16" i="5"/>
  <c r="G16" i="5"/>
  <c r="C16" i="5"/>
  <c r="S15" i="5"/>
  <c r="G15" i="5"/>
  <c r="S14" i="5"/>
  <c r="S13" i="5"/>
  <c r="O13" i="5"/>
  <c r="K13" i="5"/>
  <c r="C13" i="5"/>
  <c r="S12" i="5"/>
  <c r="O12" i="5"/>
  <c r="K12" i="5"/>
  <c r="F12" i="5"/>
  <c r="G12" i="5" s="1"/>
  <c r="C12" i="5"/>
  <c r="S11" i="5"/>
  <c r="O11" i="5"/>
  <c r="K11" i="5"/>
  <c r="F11" i="5"/>
  <c r="G11" i="5" s="1"/>
  <c r="C11" i="5"/>
  <c r="C10" i="5"/>
  <c r="S8" i="5"/>
  <c r="O8" i="5"/>
  <c r="K8" i="5"/>
  <c r="G8" i="5"/>
  <c r="S7" i="5"/>
  <c r="O7" i="5"/>
  <c r="K7" i="5"/>
  <c r="G7" i="5"/>
  <c r="B7" i="5"/>
  <c r="C7" i="5" s="1"/>
  <c r="S6" i="5"/>
  <c r="O6" i="5"/>
  <c r="K6" i="5"/>
  <c r="G6" i="5"/>
  <c r="C6" i="5"/>
  <c r="B6" i="5"/>
  <c r="R3" i="5"/>
  <c r="S3" i="5" s="1"/>
  <c r="N3" i="5"/>
  <c r="O3" i="5" s="1"/>
  <c r="J3" i="5"/>
  <c r="K3" i="5" s="1"/>
  <c r="G3" i="5"/>
  <c r="B3" i="5"/>
  <c r="C3" i="5" s="1"/>
  <c r="R2" i="5"/>
  <c r="S2" i="5" s="1"/>
  <c r="N2" i="5"/>
  <c r="O2" i="5" s="1"/>
  <c r="K2" i="5"/>
  <c r="J2" i="5"/>
  <c r="G2" i="5"/>
  <c r="C2" i="5"/>
  <c r="B2" i="5"/>
  <c r="O15" i="3"/>
  <c r="C5" i="3"/>
  <c r="S18" i="3"/>
  <c r="K29" i="3"/>
  <c r="K15" i="3"/>
  <c r="C9" i="3"/>
  <c r="S5" i="3"/>
  <c r="S1" i="3"/>
  <c r="V26" i="3"/>
  <c r="V20" i="3"/>
  <c r="G79" i="3"/>
  <c r="C79" i="3"/>
  <c r="S78" i="3"/>
  <c r="G78" i="3"/>
  <c r="C78" i="3"/>
  <c r="S77" i="3"/>
  <c r="O77" i="3"/>
  <c r="G77" i="3"/>
  <c r="S76" i="3"/>
  <c r="O76" i="3"/>
  <c r="K76" i="3"/>
  <c r="S75" i="3"/>
  <c r="O75" i="3"/>
  <c r="K75" i="3"/>
  <c r="C75" i="3"/>
  <c r="O74" i="3"/>
  <c r="K74" i="3"/>
  <c r="G74" i="3"/>
  <c r="C74" i="3"/>
  <c r="O73" i="3"/>
  <c r="K73" i="3"/>
  <c r="G73" i="3"/>
  <c r="C73" i="3"/>
  <c r="S72" i="3"/>
  <c r="R72" i="3"/>
  <c r="O72" i="3"/>
  <c r="K72" i="3"/>
  <c r="G72" i="3"/>
  <c r="C72" i="3"/>
  <c r="R71" i="3"/>
  <c r="S71" i="3" s="1"/>
  <c r="O71" i="3"/>
  <c r="K71" i="3"/>
  <c r="G71" i="3"/>
  <c r="C71" i="3"/>
  <c r="G70" i="3"/>
  <c r="C70" i="3"/>
  <c r="C69" i="3"/>
  <c r="S68" i="3"/>
  <c r="O68" i="3"/>
  <c r="K68" i="3"/>
  <c r="S67" i="3"/>
  <c r="O67" i="3"/>
  <c r="K67" i="3"/>
  <c r="G67" i="3"/>
  <c r="G66" i="3"/>
  <c r="C66" i="3"/>
  <c r="G65" i="3"/>
  <c r="C65" i="3"/>
  <c r="S64" i="3"/>
  <c r="O64" i="3"/>
  <c r="K64" i="3"/>
  <c r="G64" i="3"/>
  <c r="S63" i="3"/>
  <c r="O63" i="3"/>
  <c r="K63" i="3"/>
  <c r="G63" i="3"/>
  <c r="S62" i="3"/>
  <c r="O62" i="3"/>
  <c r="K62" i="3"/>
  <c r="G62" i="3"/>
  <c r="C62" i="3"/>
  <c r="S61" i="3"/>
  <c r="O61" i="3"/>
  <c r="K61" i="3"/>
  <c r="C61" i="3"/>
  <c r="S60" i="3"/>
  <c r="O60" i="3"/>
  <c r="K60" i="3"/>
  <c r="S59" i="3"/>
  <c r="O59" i="3"/>
  <c r="K59" i="3"/>
  <c r="G59" i="3"/>
  <c r="S58" i="3"/>
  <c r="K58" i="3"/>
  <c r="G58" i="3"/>
  <c r="C58" i="3"/>
  <c r="G57" i="3"/>
  <c r="C57" i="3"/>
  <c r="O56" i="3"/>
  <c r="G56" i="3"/>
  <c r="C56" i="3"/>
  <c r="S55" i="3"/>
  <c r="O55" i="3"/>
  <c r="K55" i="3"/>
  <c r="G55" i="3"/>
  <c r="C55" i="3"/>
  <c r="S54" i="3"/>
  <c r="O54" i="3"/>
  <c r="K54" i="3"/>
  <c r="G54" i="3"/>
  <c r="C54" i="3"/>
  <c r="S53" i="3"/>
  <c r="O53" i="3"/>
  <c r="K53" i="3"/>
  <c r="G53" i="3"/>
  <c r="C53" i="3"/>
  <c r="S52" i="3"/>
  <c r="O52" i="3"/>
  <c r="K52" i="3"/>
  <c r="C52" i="3"/>
  <c r="O51" i="3"/>
  <c r="K51" i="3"/>
  <c r="O50" i="3"/>
  <c r="K50" i="3"/>
  <c r="G50" i="3"/>
  <c r="S49" i="3"/>
  <c r="K49" i="3"/>
  <c r="G49" i="3"/>
  <c r="C49" i="3"/>
  <c r="S48" i="3"/>
  <c r="G48" i="3"/>
  <c r="C48" i="3"/>
  <c r="O47" i="3"/>
  <c r="G47" i="3"/>
  <c r="C47" i="3"/>
  <c r="O46" i="3"/>
  <c r="K46" i="3"/>
  <c r="G46" i="3"/>
  <c r="C46" i="3"/>
  <c r="S45" i="3"/>
  <c r="O45" i="3"/>
  <c r="K45" i="3"/>
  <c r="G45" i="3"/>
  <c r="C45" i="3"/>
  <c r="S44" i="3"/>
  <c r="O44" i="3"/>
  <c r="K44" i="3"/>
  <c r="G44" i="3"/>
  <c r="C44" i="3"/>
  <c r="O43" i="3"/>
  <c r="K43" i="3"/>
  <c r="G43" i="3"/>
  <c r="C43" i="3"/>
  <c r="O42" i="3"/>
  <c r="K42" i="3"/>
  <c r="G42" i="3"/>
  <c r="C42" i="3"/>
  <c r="S41" i="3"/>
  <c r="O41" i="3"/>
  <c r="K41" i="3"/>
  <c r="S40" i="3"/>
  <c r="O40" i="3"/>
  <c r="K40" i="3"/>
  <c r="O39" i="3"/>
  <c r="K39" i="3"/>
  <c r="G39" i="3"/>
  <c r="C39" i="3"/>
  <c r="O38" i="3"/>
  <c r="G38" i="3"/>
  <c r="C38" i="3"/>
  <c r="S37" i="3"/>
  <c r="G37" i="3"/>
  <c r="S36" i="3"/>
  <c r="K36" i="3"/>
  <c r="G36" i="3"/>
  <c r="S35" i="3"/>
  <c r="O35" i="3"/>
  <c r="K35" i="3"/>
  <c r="G35" i="3"/>
  <c r="C35" i="3"/>
  <c r="S34" i="3"/>
  <c r="O34" i="3"/>
  <c r="K34" i="3"/>
  <c r="G34" i="3"/>
  <c r="C34" i="3"/>
  <c r="O33" i="3"/>
  <c r="K33" i="3"/>
  <c r="C33" i="3"/>
  <c r="O32" i="3"/>
  <c r="K32" i="3"/>
  <c r="C32" i="3"/>
  <c r="S31" i="3"/>
  <c r="O31" i="3"/>
  <c r="K31" i="3"/>
  <c r="G31" i="3"/>
  <c r="C31" i="3"/>
  <c r="S30" i="3"/>
  <c r="O30" i="3"/>
  <c r="K30" i="3"/>
  <c r="G30" i="3"/>
  <c r="S29" i="3"/>
  <c r="O29" i="3"/>
  <c r="G29" i="3"/>
  <c r="S28" i="3"/>
  <c r="G28" i="3"/>
  <c r="B28" i="3"/>
  <c r="C28" i="3" s="1"/>
  <c r="S27" i="3"/>
  <c r="K27" i="3"/>
  <c r="G27" i="3"/>
  <c r="C27" i="3"/>
  <c r="B27" i="3"/>
  <c r="S26" i="3"/>
  <c r="O26" i="3"/>
  <c r="K26" i="3"/>
  <c r="G26" i="3"/>
  <c r="O25" i="3"/>
  <c r="O24" i="3"/>
  <c r="C24" i="3"/>
  <c r="S23" i="3"/>
  <c r="O23" i="3"/>
  <c r="K23" i="3"/>
  <c r="G23" i="3"/>
  <c r="C23" i="3"/>
  <c r="S22" i="3"/>
  <c r="O22" i="3"/>
  <c r="K22" i="3"/>
  <c r="G22" i="3"/>
  <c r="S21" i="3"/>
  <c r="G21" i="3"/>
  <c r="S20" i="3"/>
  <c r="G20" i="3"/>
  <c r="C20" i="3"/>
  <c r="S19" i="3"/>
  <c r="O19" i="3"/>
  <c r="K19" i="3"/>
  <c r="G19" i="3"/>
  <c r="C19" i="3"/>
  <c r="O18" i="3"/>
  <c r="K18" i="3"/>
  <c r="C18" i="3"/>
  <c r="O17" i="3"/>
  <c r="K17" i="3"/>
  <c r="C17" i="3"/>
  <c r="S16" i="3"/>
  <c r="O16" i="3"/>
  <c r="K16" i="3"/>
  <c r="G16" i="3"/>
  <c r="C16" i="3"/>
  <c r="S15" i="3"/>
  <c r="G15" i="3"/>
  <c r="S14" i="3"/>
  <c r="S13" i="3"/>
  <c r="O13" i="3"/>
  <c r="K13" i="3"/>
  <c r="C13" i="3"/>
  <c r="S12" i="3"/>
  <c r="O12" i="3"/>
  <c r="K12" i="3"/>
  <c r="F12" i="3"/>
  <c r="G12" i="3" s="1"/>
  <c r="C12" i="3"/>
  <c r="S11" i="3"/>
  <c r="O11" i="3"/>
  <c r="K11" i="3"/>
  <c r="F11" i="3"/>
  <c r="G11" i="3" s="1"/>
  <c r="C11" i="3"/>
  <c r="C10" i="3"/>
  <c r="S8" i="3"/>
  <c r="O8" i="3"/>
  <c r="K8" i="3"/>
  <c r="G8" i="3"/>
  <c r="S7" i="3"/>
  <c r="O7" i="3"/>
  <c r="K7" i="3"/>
  <c r="G7" i="3"/>
  <c r="B7" i="3"/>
  <c r="C7" i="3" s="1"/>
  <c r="S6" i="3"/>
  <c r="O6" i="3"/>
  <c r="K6" i="3"/>
  <c r="G6" i="3"/>
  <c r="C6" i="3"/>
  <c r="B6" i="3"/>
  <c r="R3" i="3"/>
  <c r="N3" i="3"/>
  <c r="O3" i="3" s="1"/>
  <c r="J3" i="3"/>
  <c r="K3" i="3" s="1"/>
  <c r="G3" i="3"/>
  <c r="B3" i="3"/>
  <c r="C3" i="3" s="1"/>
  <c r="R2" i="3"/>
  <c r="N2" i="3"/>
  <c r="O2" i="3" s="1"/>
  <c r="K2" i="3"/>
  <c r="J2" i="3"/>
  <c r="G2" i="3"/>
  <c r="B2" i="3"/>
  <c r="C2" i="3" s="1"/>
  <c r="R72" i="1"/>
  <c r="S72" i="1" s="1"/>
  <c r="R71" i="1"/>
  <c r="S71" i="1" s="1"/>
  <c r="B28" i="1"/>
  <c r="B27" i="1"/>
  <c r="C27" i="1" s="1"/>
  <c r="F12" i="1"/>
  <c r="F11" i="1"/>
  <c r="B7" i="1"/>
  <c r="C7" i="1" s="1"/>
  <c r="B6" i="1"/>
  <c r="C6" i="1" s="1"/>
  <c r="R3" i="1"/>
  <c r="R2" i="1"/>
  <c r="N3" i="1"/>
  <c r="O3" i="1" s="1"/>
  <c r="N2" i="1"/>
  <c r="O2" i="1" s="1"/>
  <c r="J3" i="1"/>
  <c r="J2" i="1"/>
  <c r="B3" i="1"/>
  <c r="B2" i="1"/>
  <c r="G78" i="1"/>
  <c r="G79" i="1"/>
  <c r="G77" i="1"/>
  <c r="C79" i="1"/>
  <c r="C78" i="1"/>
  <c r="S78" i="1"/>
  <c r="S76" i="1"/>
  <c r="S77" i="1"/>
  <c r="S75" i="1"/>
  <c r="O72" i="1"/>
  <c r="O73" i="1"/>
  <c r="O74" i="1"/>
  <c r="O75" i="1"/>
  <c r="O76" i="1"/>
  <c r="O77" i="1"/>
  <c r="O71" i="1"/>
  <c r="K72" i="1"/>
  <c r="K73" i="1"/>
  <c r="K74" i="1"/>
  <c r="K75" i="1"/>
  <c r="K76" i="1"/>
  <c r="K71" i="1"/>
  <c r="S68" i="1"/>
  <c r="S67" i="1"/>
  <c r="C70" i="1"/>
  <c r="C71" i="1"/>
  <c r="C72" i="1"/>
  <c r="C73" i="1"/>
  <c r="C74" i="1"/>
  <c r="C75" i="1"/>
  <c r="C69" i="1"/>
  <c r="G71" i="1"/>
  <c r="G72" i="1"/>
  <c r="G73" i="1"/>
  <c r="G74" i="1"/>
  <c r="G70" i="1"/>
  <c r="O68" i="1"/>
  <c r="O67" i="1"/>
  <c r="K68" i="1"/>
  <c r="K67" i="1"/>
  <c r="G63" i="1"/>
  <c r="G64" i="1"/>
  <c r="G65" i="1"/>
  <c r="G66" i="1"/>
  <c r="G67" i="1"/>
  <c r="G62" i="1"/>
  <c r="C66" i="1"/>
  <c r="C65" i="1"/>
  <c r="S59" i="1"/>
  <c r="S60" i="1"/>
  <c r="S61" i="1"/>
  <c r="S62" i="1"/>
  <c r="S63" i="1"/>
  <c r="S64" i="1"/>
  <c r="S58" i="1"/>
  <c r="O60" i="1"/>
  <c r="O61" i="1"/>
  <c r="O62" i="1"/>
  <c r="O63" i="1"/>
  <c r="O64" i="1"/>
  <c r="O59" i="1"/>
  <c r="K59" i="1"/>
  <c r="K60" i="1"/>
  <c r="K61" i="1"/>
  <c r="K62" i="1"/>
  <c r="K63" i="1"/>
  <c r="K64" i="1"/>
  <c r="K58" i="1"/>
  <c r="C62" i="1"/>
  <c r="C61" i="1"/>
  <c r="G54" i="1"/>
  <c r="G55" i="1"/>
  <c r="G56" i="1"/>
  <c r="G57" i="1"/>
  <c r="G58" i="1"/>
  <c r="G59" i="1"/>
  <c r="G53" i="1"/>
  <c r="C53" i="1"/>
  <c r="C54" i="1"/>
  <c r="C55" i="1"/>
  <c r="C56" i="1"/>
  <c r="C57" i="1"/>
  <c r="C58" i="1"/>
  <c r="C52" i="1"/>
  <c r="O51" i="1"/>
  <c r="O52" i="1"/>
  <c r="O53" i="1"/>
  <c r="O54" i="1"/>
  <c r="O55" i="1"/>
  <c r="O56" i="1"/>
  <c r="O50" i="1"/>
  <c r="S53" i="1"/>
  <c r="S54" i="1"/>
  <c r="S55" i="1"/>
  <c r="S52" i="1"/>
  <c r="S49" i="1"/>
  <c r="S48" i="1"/>
  <c r="K50" i="1"/>
  <c r="K51" i="1"/>
  <c r="K52" i="1"/>
  <c r="K53" i="1"/>
  <c r="K54" i="1"/>
  <c r="K55" i="1"/>
  <c r="K49" i="1"/>
  <c r="G43" i="1"/>
  <c r="G44" i="1"/>
  <c r="G45" i="1"/>
  <c r="G46" i="1"/>
  <c r="G47" i="1"/>
  <c r="G48" i="1"/>
  <c r="G49" i="1"/>
  <c r="G50" i="1"/>
  <c r="G42" i="1"/>
  <c r="C43" i="1"/>
  <c r="C44" i="1"/>
  <c r="C45" i="1"/>
  <c r="C46" i="1"/>
  <c r="C47" i="1"/>
  <c r="C48" i="1"/>
  <c r="C49" i="1"/>
  <c r="C42" i="1"/>
  <c r="S45" i="1"/>
  <c r="S44" i="1"/>
  <c r="O39" i="1"/>
  <c r="O40" i="1"/>
  <c r="O41" i="1"/>
  <c r="O42" i="1"/>
  <c r="O43" i="1"/>
  <c r="O44" i="1"/>
  <c r="O45" i="1"/>
  <c r="O46" i="1"/>
  <c r="O47" i="1"/>
  <c r="O38" i="1"/>
  <c r="S41" i="1"/>
  <c r="S40" i="1"/>
  <c r="K40" i="1"/>
  <c r="K41" i="1"/>
  <c r="K42" i="1"/>
  <c r="K43" i="1"/>
  <c r="K44" i="1"/>
  <c r="K45" i="1"/>
  <c r="K46" i="1"/>
  <c r="K39" i="1"/>
  <c r="C39" i="1"/>
  <c r="C38" i="1"/>
  <c r="G35" i="1"/>
  <c r="G36" i="1"/>
  <c r="G37" i="1"/>
  <c r="G38" i="1"/>
  <c r="G39" i="1"/>
  <c r="G34" i="1"/>
  <c r="O30" i="1"/>
  <c r="O31" i="1"/>
  <c r="O32" i="1"/>
  <c r="O33" i="1"/>
  <c r="O34" i="1"/>
  <c r="O35" i="1"/>
  <c r="O29" i="1"/>
  <c r="K31" i="1"/>
  <c r="K32" i="1"/>
  <c r="K33" i="1"/>
  <c r="K34" i="1"/>
  <c r="K35" i="1"/>
  <c r="K36" i="1"/>
  <c r="K30" i="1"/>
  <c r="C32" i="1"/>
  <c r="C33" i="1"/>
  <c r="C34" i="1"/>
  <c r="C35" i="1"/>
  <c r="C31" i="1"/>
  <c r="S35" i="1"/>
  <c r="S36" i="1"/>
  <c r="S37" i="1"/>
  <c r="S34" i="1"/>
  <c r="K27" i="1"/>
  <c r="K26" i="1"/>
  <c r="G31" i="1"/>
  <c r="G27" i="1"/>
  <c r="G28" i="1"/>
  <c r="G29" i="1"/>
  <c r="G30" i="1"/>
  <c r="G26" i="1"/>
  <c r="C28" i="1"/>
  <c r="S27" i="1"/>
  <c r="S28" i="1"/>
  <c r="S29" i="1"/>
  <c r="S30" i="1"/>
  <c r="S31" i="1"/>
  <c r="S26" i="1"/>
  <c r="O23" i="1"/>
  <c r="O24" i="1"/>
  <c r="O25" i="1"/>
  <c r="O26" i="1"/>
  <c r="O22" i="1"/>
  <c r="K23" i="1"/>
  <c r="K22" i="1"/>
  <c r="G20" i="1"/>
  <c r="G21" i="1"/>
  <c r="G22" i="1"/>
  <c r="G23" i="1"/>
  <c r="G19" i="1"/>
  <c r="C24" i="1"/>
  <c r="C23" i="1"/>
  <c r="S20" i="1"/>
  <c r="S21" i="1"/>
  <c r="S22" i="1"/>
  <c r="S23" i="1"/>
  <c r="S19" i="1"/>
  <c r="O17" i="1"/>
  <c r="O18" i="1"/>
  <c r="O19" i="1"/>
  <c r="O16" i="1"/>
  <c r="K17" i="1"/>
  <c r="K18" i="1"/>
  <c r="K19" i="1"/>
  <c r="K16" i="1"/>
  <c r="G16" i="1"/>
  <c r="G15" i="1"/>
  <c r="C17" i="1"/>
  <c r="C18" i="1"/>
  <c r="C19" i="1"/>
  <c r="C20" i="1"/>
  <c r="C16" i="1"/>
  <c r="S12" i="1"/>
  <c r="S13" i="1"/>
  <c r="S14" i="1"/>
  <c r="S15" i="1"/>
  <c r="S16" i="1"/>
  <c r="S11" i="1"/>
  <c r="O12" i="1"/>
  <c r="O13" i="1"/>
  <c r="O11" i="1"/>
  <c r="K12" i="1"/>
  <c r="K13" i="1"/>
  <c r="K11" i="1"/>
  <c r="G12" i="1"/>
  <c r="G11" i="1"/>
  <c r="C11" i="1"/>
  <c r="C12" i="1"/>
  <c r="C13" i="1"/>
  <c r="C10" i="1"/>
  <c r="S7" i="1"/>
  <c r="S8" i="1"/>
  <c r="S6" i="1"/>
  <c r="O7" i="1"/>
  <c r="O8" i="1"/>
  <c r="O6" i="1"/>
  <c r="K7" i="1"/>
  <c r="K8" i="1"/>
  <c r="K6" i="1"/>
  <c r="G8" i="1"/>
  <c r="G6" i="1"/>
  <c r="G7" i="1"/>
  <c r="S3" i="1"/>
  <c r="S2" i="1"/>
  <c r="K3" i="1"/>
  <c r="K2" i="1"/>
  <c r="G3" i="1"/>
  <c r="G2" i="1"/>
  <c r="S3" i="3" l="1"/>
  <c r="S2" i="3"/>
  <c r="C3" i="1"/>
  <c r="C2" i="1"/>
</calcChain>
</file>

<file path=xl/sharedStrings.xml><?xml version="1.0" encoding="utf-8"?>
<sst xmlns="http://schemas.openxmlformats.org/spreadsheetml/2006/main" count="4153" uniqueCount="409">
  <si>
    <t>Hydrogen Weight Fraction:</t>
  </si>
  <si>
    <t>Helium Weight Fraction:</t>
  </si>
  <si>
    <t>Lithium Weight Fraction:</t>
  </si>
  <si>
    <t>Boron Weight Fraction:</t>
  </si>
  <si>
    <t>Carbon Weight Fraction:</t>
  </si>
  <si>
    <t>Monoisotopic elements</t>
  </si>
  <si>
    <t>H-1</t>
  </si>
  <si>
    <t>He-3</t>
  </si>
  <si>
    <t>Li-6</t>
  </si>
  <si>
    <t>B-10</t>
  </si>
  <si>
    <t>C-12</t>
  </si>
  <si>
    <t>Beryllium, Fluorine, Sodium, Aluminum, Phosphorus, Scandium, Manganese, Cobalt, Arsenic, Yttrium, Niobium, Rhodium, Iodine, Caesium, Praseodymium, Terbium, Holmium, Thulium, Gold, Bismuth, Protactinium</t>
  </si>
  <si>
    <t>H-2</t>
  </si>
  <si>
    <t>He-4</t>
  </si>
  <si>
    <t>Li-7</t>
  </si>
  <si>
    <t>B-11</t>
  </si>
  <si>
    <t>C-13</t>
  </si>
  <si>
    <t>Nitrogen Weight Fraction:</t>
  </si>
  <si>
    <t>Oxygen Weight Fraction:</t>
  </si>
  <si>
    <t>Neon Weight Fraction:</t>
  </si>
  <si>
    <t>Magnesium Weight Fraction:</t>
  </si>
  <si>
    <t>Silicon Weight Fraction:</t>
  </si>
  <si>
    <t>N-14</t>
  </si>
  <si>
    <t>O-16</t>
  </si>
  <si>
    <t>Ne-20</t>
  </si>
  <si>
    <t>Mg-24</t>
  </si>
  <si>
    <t>Si-28</t>
  </si>
  <si>
    <t>N-15</t>
  </si>
  <si>
    <t>O-17</t>
  </si>
  <si>
    <t>Ne-21</t>
  </si>
  <si>
    <t>Mg-25</t>
  </si>
  <si>
    <t>Si-29</t>
  </si>
  <si>
    <t>O-18</t>
  </si>
  <si>
    <t>Ne-22</t>
  </si>
  <si>
    <t>Mg-26</t>
  </si>
  <si>
    <t>Si-30</t>
  </si>
  <si>
    <t>Sulfur Weight Fraction:</t>
  </si>
  <si>
    <t>S-32</t>
  </si>
  <si>
    <t>Chlorine Weight Fraction:</t>
  </si>
  <si>
    <t>Argon Weight Fraction:</t>
  </si>
  <si>
    <t>Potassium Weight Fraction:</t>
  </si>
  <si>
    <t>Calcium Weight Fraction:</t>
  </si>
  <si>
    <t>S-33</t>
  </si>
  <si>
    <t>Cl-35</t>
  </si>
  <si>
    <t>Ar-36</t>
  </si>
  <si>
    <t>K-39</t>
  </si>
  <si>
    <t>Ca-40</t>
  </si>
  <si>
    <t>S-34</t>
  </si>
  <si>
    <t>Cl-37</t>
  </si>
  <si>
    <t>Ar-38</t>
  </si>
  <si>
    <t>K-40</t>
  </si>
  <si>
    <t>Ca-42</t>
  </si>
  <si>
    <t>S-36</t>
  </si>
  <si>
    <t>Ar-40</t>
  </si>
  <si>
    <t>K-41</t>
  </si>
  <si>
    <t>Ca-43</t>
  </si>
  <si>
    <t>Vanadium Weight Fraction:</t>
  </si>
  <si>
    <t>Ca-44</t>
  </si>
  <si>
    <t>Source:</t>
  </si>
  <si>
    <t>here</t>
  </si>
  <si>
    <t>Titanium Weight Fraction:</t>
  </si>
  <si>
    <t>V-50</t>
  </si>
  <si>
    <t>Chromium Weight Fraction:</t>
  </si>
  <si>
    <t>Iron Weight Fraction:</t>
  </si>
  <si>
    <t>Ca-46</t>
  </si>
  <si>
    <t>Ti-46</t>
  </si>
  <si>
    <t>V-51</t>
  </si>
  <si>
    <t>Cr-50</t>
  </si>
  <si>
    <t>Fe-54</t>
  </si>
  <si>
    <t>Ca-48</t>
  </si>
  <si>
    <t>Ti-47</t>
  </si>
  <si>
    <t>Cr-52</t>
  </si>
  <si>
    <t>Fe-56</t>
  </si>
  <si>
    <t>Ti-48</t>
  </si>
  <si>
    <t>Zinc Weight Fraction:</t>
  </si>
  <si>
    <t>Cr-53</t>
  </si>
  <si>
    <t>Fe-57</t>
  </si>
  <si>
    <t>Nickel Weight Fraction:</t>
  </si>
  <si>
    <t>Ti-49</t>
  </si>
  <si>
    <t>Zn-64</t>
  </si>
  <si>
    <t>Cr-54</t>
  </si>
  <si>
    <t>Fe-58</t>
  </si>
  <si>
    <t>Ni-58</t>
  </si>
  <si>
    <t>Ti-50</t>
  </si>
  <si>
    <t>Zn-66</t>
  </si>
  <si>
    <t>Ni-60</t>
  </si>
  <si>
    <t>Zn-67</t>
  </si>
  <si>
    <t>Gallium Weight Fraction:</t>
  </si>
  <si>
    <t>Germanium Weight Fraction:</t>
  </si>
  <si>
    <t>Ni-61</t>
  </si>
  <si>
    <t>Copper Weight Fraction:</t>
  </si>
  <si>
    <t>Zn-68</t>
  </si>
  <si>
    <t>Ga-69</t>
  </si>
  <si>
    <t>Ge-70</t>
  </si>
  <si>
    <t>Ni-62</t>
  </si>
  <si>
    <t>Cu-63</t>
  </si>
  <si>
    <t>Zn-70</t>
  </si>
  <si>
    <t>Ga-71</t>
  </si>
  <si>
    <t>Ge-72</t>
  </si>
  <si>
    <t>Ni-64</t>
  </si>
  <si>
    <t>Cu-65</t>
  </si>
  <si>
    <t>Ge-73</t>
  </si>
  <si>
    <t>Krypton Weight Fraction:</t>
  </si>
  <si>
    <t>Rubidium Weight Fraction:</t>
  </si>
  <si>
    <t>Ge-74</t>
  </si>
  <si>
    <t>Selenium Weight Fraction:</t>
  </si>
  <si>
    <t>Bromine Weight Fraction:</t>
  </si>
  <si>
    <t>Kr-78</t>
  </si>
  <si>
    <t>Rb-85</t>
  </si>
  <si>
    <t>Ge-76</t>
  </si>
  <si>
    <t>Se-74</t>
  </si>
  <si>
    <t>Br-79</t>
  </si>
  <si>
    <t>Kr-80</t>
  </si>
  <si>
    <t>Rb-87</t>
  </si>
  <si>
    <t>Se-76</t>
  </si>
  <si>
    <t>Br-81</t>
  </si>
  <si>
    <t>Kr-82</t>
  </si>
  <si>
    <t>Ruthenium Weight Fraction:</t>
  </si>
  <si>
    <t>Se-77</t>
  </si>
  <si>
    <t>Kr-83</t>
  </si>
  <si>
    <t>Molybdenum Weight Fraction:</t>
  </si>
  <si>
    <t>Ru-96</t>
  </si>
  <si>
    <t>Se-78</t>
  </si>
  <si>
    <t>Zirconium Weight Fraction:</t>
  </si>
  <si>
    <t>Kr-84</t>
  </si>
  <si>
    <t>Mo-92</t>
  </si>
  <si>
    <t>Ru-98</t>
  </si>
  <si>
    <t>Se-80</t>
  </si>
  <si>
    <t>Zr-90</t>
  </si>
  <si>
    <t>Kr-86</t>
  </si>
  <si>
    <t>Mo-94</t>
  </si>
  <si>
    <t>Ru-99</t>
  </si>
  <si>
    <t>Se-82</t>
  </si>
  <si>
    <t>Zr-91</t>
  </si>
  <si>
    <t>Mo-95</t>
  </si>
  <si>
    <t>Ru-100</t>
  </si>
  <si>
    <t>Zr-92</t>
  </si>
  <si>
    <t>Palladium Weight Fraction:</t>
  </si>
  <si>
    <t>Mo-96</t>
  </si>
  <si>
    <t>Ru-101</t>
  </si>
  <si>
    <t>Strontium Weight Fraction:</t>
  </si>
  <si>
    <t>Zr-94</t>
  </si>
  <si>
    <t>Pd-102</t>
  </si>
  <si>
    <t>Mo-97</t>
  </si>
  <si>
    <t>Ru-102</t>
  </si>
  <si>
    <t>Sr-84</t>
  </si>
  <si>
    <t>Zr-96</t>
  </si>
  <si>
    <t>Pd-104</t>
  </si>
  <si>
    <t>Mo-98</t>
  </si>
  <si>
    <t>Ru-104</t>
  </si>
  <si>
    <t>Sr-86</t>
  </si>
  <si>
    <t>Pd-105</t>
  </si>
  <si>
    <t>Mo-100</t>
  </si>
  <si>
    <t>Sr-87</t>
  </si>
  <si>
    <t>Silver Weight Fraction:</t>
  </si>
  <si>
    <t>Pd-106</t>
  </si>
  <si>
    <t>Tin Weight Fraction:</t>
  </si>
  <si>
    <t>Sr-88</t>
  </si>
  <si>
    <t>Ag-107</t>
  </si>
  <si>
    <t>Pd-108</t>
  </si>
  <si>
    <t>Cadmium Weight Fraction:</t>
  </si>
  <si>
    <t>Sn-112</t>
  </si>
  <si>
    <t>Ag-109</t>
  </si>
  <si>
    <t>Pd-110</t>
  </si>
  <si>
    <t>Cd-106</t>
  </si>
  <si>
    <t>Sn-114</t>
  </si>
  <si>
    <t>Indium Weight Fraction:</t>
  </si>
  <si>
    <t>Cd-108</t>
  </si>
  <si>
    <t>Sn-115</t>
  </si>
  <si>
    <t>In-113</t>
  </si>
  <si>
    <t>Tellurium Weight Fraction:</t>
  </si>
  <si>
    <t>Xenon Weight Fraction:</t>
  </si>
  <si>
    <t>Cd-110</t>
  </si>
  <si>
    <t>Sn-116</t>
  </si>
  <si>
    <t>In-115</t>
  </si>
  <si>
    <t>Te-120</t>
  </si>
  <si>
    <t>Xe-124</t>
  </si>
  <si>
    <t>Cd-111</t>
  </si>
  <si>
    <t>Sn-117</t>
  </si>
  <si>
    <t>Te-122</t>
  </si>
  <si>
    <t>Xe-126</t>
  </si>
  <si>
    <t>Cd-112</t>
  </si>
  <si>
    <t>Sn-118</t>
  </si>
  <si>
    <t>Antimony Weight Fraction:</t>
  </si>
  <si>
    <t>Te-123</t>
  </si>
  <si>
    <t>Xe-128</t>
  </si>
  <si>
    <t>Cd-113</t>
  </si>
  <si>
    <t>Sn-119</t>
  </si>
  <si>
    <t>Sb-121</t>
  </si>
  <si>
    <t>Te-124</t>
  </si>
  <si>
    <t>Xe-129</t>
  </si>
  <si>
    <t>Cd-114</t>
  </si>
  <si>
    <t>Sn-120</t>
  </si>
  <si>
    <t>Sb-123</t>
  </si>
  <si>
    <t>Te-125</t>
  </si>
  <si>
    <t>Xe-130</t>
  </si>
  <si>
    <t>Cd-116</t>
  </si>
  <si>
    <t>Sn-122</t>
  </si>
  <si>
    <t>Te-126</t>
  </si>
  <si>
    <t>Xe-131</t>
  </si>
  <si>
    <t>Sn-124</t>
  </si>
  <si>
    <t>Lanthanum Weight Fraction:</t>
  </si>
  <si>
    <t>Te-128</t>
  </si>
  <si>
    <t>Xe-132</t>
  </si>
  <si>
    <t>Barium Weight Fraction:</t>
  </si>
  <si>
    <t>La-138</t>
  </si>
  <si>
    <t>Te-130</t>
  </si>
  <si>
    <t>Xe-134</t>
  </si>
  <si>
    <t>Ba-130</t>
  </si>
  <si>
    <t>Neodymium Weight Fraction:</t>
  </si>
  <si>
    <t>La-139</t>
  </si>
  <si>
    <t>Xe-136</t>
  </si>
  <si>
    <t>Ba-132</t>
  </si>
  <si>
    <t>Nd-142</t>
  </si>
  <si>
    <t>Samarium Weight Fraction:</t>
  </si>
  <si>
    <t>Ba-134</t>
  </si>
  <si>
    <t>Nd-143</t>
  </si>
  <si>
    <t>Cerium Weight Fraction:</t>
  </si>
  <si>
    <t>Sm-144</t>
  </si>
  <si>
    <t>Gadolinium Weight Fraction:</t>
  </si>
  <si>
    <t>Ba-135</t>
  </si>
  <si>
    <t>Nd-144</t>
  </si>
  <si>
    <t>Ce-136</t>
  </si>
  <si>
    <t>Sm-147</t>
  </si>
  <si>
    <t>Gd-152</t>
  </si>
  <si>
    <t>Ba-136</t>
  </si>
  <si>
    <t>Nd-145</t>
  </si>
  <si>
    <t>Ce-138</t>
  </si>
  <si>
    <t>Sm-148</t>
  </si>
  <si>
    <t>Gd-154</t>
  </si>
  <si>
    <t>Ba-137</t>
  </si>
  <si>
    <t>Nd-146</t>
  </si>
  <si>
    <t>Ce-140</t>
  </si>
  <si>
    <t>Sm-149</t>
  </si>
  <si>
    <t>Gd-155</t>
  </si>
  <si>
    <t>Ba-138</t>
  </si>
  <si>
    <t>Nd-148</t>
  </si>
  <si>
    <t>Ce-142</t>
  </si>
  <si>
    <t>Sm-150</t>
  </si>
  <si>
    <t>Gd-156</t>
  </si>
  <si>
    <t>Nd-150</t>
  </si>
  <si>
    <t>Sm-152</t>
  </si>
  <si>
    <t>Gd-157</t>
  </si>
  <si>
    <t>Dysprosium Weight Fraction:</t>
  </si>
  <si>
    <t>Ytterbium Weight Fraction:</t>
  </si>
  <si>
    <t>Sm-154</t>
  </si>
  <si>
    <t>Gd-158</t>
  </si>
  <si>
    <t>Dy-156</t>
  </si>
  <si>
    <t>Erbium Weight Fraction:</t>
  </si>
  <si>
    <t>Yb-168</t>
  </si>
  <si>
    <t>Gd-160</t>
  </si>
  <si>
    <t>Dy-158</t>
  </si>
  <si>
    <t>Er-162</t>
  </si>
  <si>
    <t>Yb-170</t>
  </si>
  <si>
    <t>Europium Weight Fraction:</t>
  </si>
  <si>
    <t>Dy-160</t>
  </si>
  <si>
    <t>Er-164</t>
  </si>
  <si>
    <t>Yb-171</t>
  </si>
  <si>
    <t>Eu-151</t>
  </si>
  <si>
    <t>Halfnium Weight Fraction:</t>
  </si>
  <si>
    <t>Dy-161</t>
  </si>
  <si>
    <t>Er-166</t>
  </si>
  <si>
    <t>Yb-172</t>
  </si>
  <si>
    <t>Eu-153</t>
  </si>
  <si>
    <t>Hf-174</t>
  </si>
  <si>
    <t>Dy-162</t>
  </si>
  <si>
    <t>Er-167</t>
  </si>
  <si>
    <t>Yb-173</t>
  </si>
  <si>
    <t>Hf-176</t>
  </si>
  <si>
    <t>Dy-163</t>
  </si>
  <si>
    <t>Er-168</t>
  </si>
  <si>
    <t>Yb-174</t>
  </si>
  <si>
    <t>Lutetium Weight Fraction:</t>
  </si>
  <si>
    <t>Hf-177</t>
  </si>
  <si>
    <t>Dy-164</t>
  </si>
  <si>
    <t>Er-170</t>
  </si>
  <si>
    <t>Yb-176</t>
  </si>
  <si>
    <t>Lu-175</t>
  </si>
  <si>
    <t>Hf-178</t>
  </si>
  <si>
    <t>Lu-176</t>
  </si>
  <si>
    <t>Hf-179</t>
  </si>
  <si>
    <t>Tantalum Weight Fraction:</t>
  </si>
  <si>
    <t>Rhenium Weight Fraction:</t>
  </si>
  <si>
    <t>Iridium Weight Fraction:</t>
  </si>
  <si>
    <t>Hf-180</t>
  </si>
  <si>
    <t>Ta-180</t>
  </si>
  <si>
    <t>Re-185</t>
  </si>
  <si>
    <t>Ir-191</t>
  </si>
  <si>
    <t>Osmium Weight Fraction:</t>
  </si>
  <si>
    <t>Ta-181</t>
  </si>
  <si>
    <t>Re-187</t>
  </si>
  <si>
    <t>Ir-193</t>
  </si>
  <si>
    <t>Os-184</t>
  </si>
  <si>
    <t>Tungsten Weight Fraction:</t>
  </si>
  <si>
    <t>Os-186</t>
  </si>
  <si>
    <t>W-180</t>
  </si>
  <si>
    <t>Platinum Weight Fraction:</t>
  </si>
  <si>
    <t>Mercury Weight Fraction:</t>
  </si>
  <si>
    <t>Thallium Weight Fraction:</t>
  </si>
  <si>
    <t>Os-187</t>
  </si>
  <si>
    <t>W-182</t>
  </si>
  <si>
    <t>Pt-190</t>
  </si>
  <si>
    <t>Hg-196</t>
  </si>
  <si>
    <t>Tl-203</t>
  </si>
  <si>
    <t>Os-188</t>
  </si>
  <si>
    <t>W-183</t>
  </si>
  <si>
    <t>Pt-192</t>
  </si>
  <si>
    <t>Hg-198</t>
  </si>
  <si>
    <t>Tl-205</t>
  </si>
  <si>
    <t>Os-189</t>
  </si>
  <si>
    <t>W-184</t>
  </si>
  <si>
    <t>Pt-194</t>
  </si>
  <si>
    <t>Hg-199</t>
  </si>
  <si>
    <t>Os-190</t>
  </si>
  <si>
    <t>W-186</t>
  </si>
  <si>
    <t>Pt-195</t>
  </si>
  <si>
    <t>Hg-200</t>
  </si>
  <si>
    <t>Lead Weight Fraction:</t>
  </si>
  <si>
    <t>Os-192</t>
  </si>
  <si>
    <t>Pt-196</t>
  </si>
  <si>
    <t>Hg-201</t>
  </si>
  <si>
    <t>Pb-204</t>
  </si>
  <si>
    <t>Uranium Weight Fraction:</t>
  </si>
  <si>
    <t>Pt-198</t>
  </si>
  <si>
    <t>Hg-202</t>
  </si>
  <si>
    <t>Pb-206</t>
  </si>
  <si>
    <t>Thorium Weight Fraction:</t>
  </si>
  <si>
    <t>U-234</t>
  </si>
  <si>
    <t>Hg-204</t>
  </si>
  <si>
    <t>Pb-207</t>
  </si>
  <si>
    <t>Th-230</t>
  </si>
  <si>
    <t>U-235</t>
  </si>
  <si>
    <t>Pb-208</t>
  </si>
  <si>
    <t>Th-232</t>
  </si>
  <si>
    <t>U-238</t>
  </si>
  <si>
    <t>Composition of 316 SS</t>
  </si>
  <si>
    <t>source</t>
  </si>
  <si>
    <t>C</t>
  </si>
  <si>
    <t>If a range was given I took an average for fractions</t>
  </si>
  <si>
    <t>Mn</t>
  </si>
  <si>
    <t>Si</t>
  </si>
  <si>
    <t>P</t>
  </si>
  <si>
    <t>S</t>
  </si>
  <si>
    <t>Cr</t>
  </si>
  <si>
    <t>Mo</t>
  </si>
  <si>
    <t>Ni</t>
  </si>
  <si>
    <t>N</t>
  </si>
  <si>
    <t>Fe</t>
  </si>
  <si>
    <t>Composition of Hastelloy C</t>
  </si>
  <si>
    <t>Co</t>
  </si>
  <si>
    <t>W</t>
  </si>
  <si>
    <t>V</t>
  </si>
  <si>
    <t>Cu</t>
  </si>
  <si>
    <t>Composition of Hastelloy N</t>
  </si>
  <si>
    <t>Al</t>
  </si>
  <si>
    <t>Ti</t>
  </si>
  <si>
    <t>atomic weights</t>
  </si>
  <si>
    <t>Ceramic Composition: [mole %]        source: "1964 S8ER hydrogen Coating" table 2</t>
  </si>
  <si>
    <t>SiO2</t>
  </si>
  <si>
    <t>LiO</t>
  </si>
  <si>
    <t>CaO</t>
  </si>
  <si>
    <t>TiO2</t>
  </si>
  <si>
    <t>MgO</t>
  </si>
  <si>
    <t>BaO</t>
  </si>
  <si>
    <t>SrO</t>
  </si>
  <si>
    <t>ZrO2</t>
  </si>
  <si>
    <t>MnO2</t>
  </si>
  <si>
    <t>total</t>
  </si>
  <si>
    <t>MM</t>
  </si>
  <si>
    <t>Mass:</t>
  </si>
  <si>
    <t>weight% total</t>
  </si>
  <si>
    <t>relative weight% O</t>
  </si>
  <si>
    <t>relative weight% other</t>
  </si>
  <si>
    <t>weight% element 1</t>
  </si>
  <si>
    <t>weight% O</t>
  </si>
  <si>
    <t>O</t>
  </si>
  <si>
    <t>Li</t>
  </si>
  <si>
    <t>Ca</t>
  </si>
  <si>
    <t>Mg</t>
  </si>
  <si>
    <t>Ba</t>
  </si>
  <si>
    <t>Sr</t>
  </si>
  <si>
    <t>Zr</t>
  </si>
  <si>
    <t>Material</t>
  </si>
  <si>
    <t>Be</t>
  </si>
  <si>
    <t>Na</t>
  </si>
  <si>
    <t>K</t>
  </si>
  <si>
    <t>Sm</t>
  </si>
  <si>
    <t>m per inch</t>
  </si>
  <si>
    <t>Av</t>
  </si>
  <si>
    <t>U g loading</t>
  </si>
  <si>
    <t>Fuel Elements</t>
  </si>
  <si>
    <t>U loading per fuel</t>
  </si>
  <si>
    <t>Fuel Rod Radius [in]</t>
  </si>
  <si>
    <t>Fuel Rod Length [in]</t>
  </si>
  <si>
    <t>Fuel Rod Radius [cm]</t>
  </si>
  <si>
    <t>Fuel Rod Length [cm]</t>
  </si>
  <si>
    <t>Fuel Rod Volume [cc^3]</t>
  </si>
  <si>
    <t>Uranium Density [g/cc^3]</t>
  </si>
  <si>
    <t>U-235 Density</t>
  </si>
  <si>
    <t>U-235 Atomic Density</t>
  </si>
  <si>
    <t>U-238 Density</t>
  </si>
  <si>
    <t>U-238 Atomic Density</t>
  </si>
  <si>
    <t>Fuel weight [g]</t>
  </si>
  <si>
    <t>Fuel Density [g/cm^3]</t>
  </si>
  <si>
    <t>Zr loading per fuel</t>
  </si>
  <si>
    <t>Zr Density [g/cm^3]</t>
  </si>
  <si>
    <t>Zr Atomic Density</t>
  </si>
  <si>
    <t>U-235 enrichment</t>
  </si>
  <si>
    <t>Hydrogen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</si>
</sst>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1"/>
    <xf numFmtId="0" fontId="0" fillId="0" borderId="1" xfId="0" applyBorder="1"/>
    <xf numFmtId="11" fontId="0" fillId="2" borderId="1" xfId="0" applyNumberFormat="1" applyFill="1" applyBorder="1"/>
    <xf numFmtId="11" fontId="0" fillId="0" borderId="1" xfId="0" applyNumberFormat="1" applyBorder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11" fontId="3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zom.com/article.aspx?ArticleID=863" TargetMode="External"/><Relationship Id="rId1" Type="http://schemas.openxmlformats.org/officeDocument/2006/relationships/hyperlink" Target="https://www.ciaaw.org/isotopic-abundances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ynesintl.com/docs/default-source/pdfs/new-alloy-brochures/corrosion-resistant-alloys/brochures/c-276.pdf?sfvrsn=6" TargetMode="External"/><Relationship Id="rId1" Type="http://schemas.openxmlformats.org/officeDocument/2006/relationships/hyperlink" Target="https://www.ciaaw.org/isotopic-abundances.ht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haynesintl.com/docs/default-source/pdfs/new-alloy-brochures/corrosion-resistant-alloys/brochures/n-brochure.pdf?sfvrsn=18" TargetMode="External"/><Relationship Id="rId1" Type="http://schemas.openxmlformats.org/officeDocument/2006/relationships/hyperlink" Target="https://www.ciaaw.org/isotopic-abundances.ht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iaaw.org/atomic-weights.htm" TargetMode="External"/><Relationship Id="rId1" Type="http://schemas.openxmlformats.org/officeDocument/2006/relationships/hyperlink" Target="https://www.ciaaw.org/isotopic-abundances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iaaw.org/isotopic-abundanc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601D1-7455-3644-BFFA-6CA9650CD7C9}">
  <dimension ref="A1:V79"/>
  <sheetViews>
    <sheetView zoomScale="90" zoomScaleNormal="90" workbookViewId="0">
      <selection activeCell="P1" sqref="P1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A15:B15"/>
    <mergeCell ref="E14:F14"/>
    <mergeCell ref="I15:J15"/>
    <mergeCell ref="M15:N15"/>
    <mergeCell ref="Q18:R18"/>
    <mergeCell ref="I29:J29"/>
    <mergeCell ref="M28:N28"/>
    <mergeCell ref="E33:F33"/>
    <mergeCell ref="A22:B22"/>
    <mergeCell ref="E18:F18"/>
    <mergeCell ref="I21:J21"/>
    <mergeCell ref="M21:N21"/>
    <mergeCell ref="A26:B26"/>
    <mergeCell ref="E25:F25"/>
    <mergeCell ref="I25:J25"/>
    <mergeCell ref="Q25:R25"/>
    <mergeCell ref="E52:F52"/>
    <mergeCell ref="A37:B37"/>
    <mergeCell ref="I38:J38"/>
    <mergeCell ref="Q39:R39"/>
    <mergeCell ref="M37:N37"/>
    <mergeCell ref="Q43:R43"/>
    <mergeCell ref="A41:B41"/>
    <mergeCell ref="E41:F41"/>
    <mergeCell ref="I48:J48"/>
    <mergeCell ref="Q47:R47"/>
    <mergeCell ref="Q51:R51"/>
    <mergeCell ref="M49:N49"/>
    <mergeCell ref="A51:B51"/>
    <mergeCell ref="Q33:R33"/>
    <mergeCell ref="A30:B30"/>
    <mergeCell ref="A60:B60"/>
    <mergeCell ref="I57:J57"/>
    <mergeCell ref="M58:N58"/>
    <mergeCell ref="Q57:R57"/>
    <mergeCell ref="A64:B64"/>
    <mergeCell ref="E61:F61"/>
    <mergeCell ref="Q74:R74"/>
    <mergeCell ref="A77:B77"/>
    <mergeCell ref="E76:F76"/>
    <mergeCell ref="I66:J66"/>
    <mergeCell ref="M66:N66"/>
    <mergeCell ref="E69:F69"/>
    <mergeCell ref="A68:B68"/>
    <mergeCell ref="Q66:R66"/>
    <mergeCell ref="I70:J70"/>
    <mergeCell ref="M70:N70"/>
    <mergeCell ref="Q70:R70"/>
  </mergeCells>
  <hyperlinks>
    <hyperlink ref="V14" r:id="rId1" xr:uid="{5D9C6971-0773-6946-8B2B-01CBE6DF6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0F03B-E73C-4470-825F-139433FF9C80}">
  <dimension ref="A1:V79"/>
  <sheetViews>
    <sheetView topLeftCell="F59" zoomScale="90" zoomScaleNormal="90" workbookViewId="0">
      <selection activeCell="O80" sqref="O80"/>
    </sheetView>
  </sheetViews>
  <sheetFormatPr defaultColWidth="11" defaultRowHeight="15.75" x14ac:dyDescent="0.5"/>
  <cols>
    <col min="1" max="2" width="13.875" customWidth="1"/>
    <col min="3" max="3" width="9" style="7"/>
    <col min="4" max="4" width="9"/>
    <col min="5" max="6" width="13.875" customWidth="1"/>
    <col min="7" max="7" width="9" style="7"/>
    <col min="8" max="8" width="9"/>
    <col min="9" max="10" width="13.875" customWidth="1"/>
    <col min="11" max="11" width="9" style="7"/>
    <col min="12" max="12" width="9"/>
    <col min="13" max="14" width="13.875" customWidth="1"/>
    <col min="15" max="15" width="9" style="7"/>
    <col min="16" max="16" width="9"/>
    <col min="17" max="18" width="13.875" customWidth="1"/>
    <col min="19" max="19" width="9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>
        <v>1</v>
      </c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1.5E-3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0.1004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0.1694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0.23139999999999999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0.13170000000000001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0.2974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6.8199999999999997E-2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E18:F18"/>
    <mergeCell ref="Q18:R18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FB83B665-EAEE-4430-AF79-47AAB54CBCF9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3340-D694-432E-B479-00996CA69675}">
  <dimension ref="A1:V111"/>
  <sheetViews>
    <sheetView topLeftCell="A82" zoomScale="90" zoomScaleNormal="90" workbookViewId="0">
      <selection activeCell="C95" sqref="C95"/>
    </sheetView>
  </sheetViews>
  <sheetFormatPr defaultColWidth="11" defaultRowHeight="15.75" x14ac:dyDescent="0.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5">
      <c r="A1" s="12" t="s">
        <v>0</v>
      </c>
      <c r="B1" s="12"/>
      <c r="C1" s="5">
        <f>6E+22/1E+24</f>
        <v>0.06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5.9991299999999997E-2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8.6999999999999997E-6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>
        <f>B105/1E+24</f>
        <v>3.6221200000000002E-2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1.8635807399999999E-2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4.06401864E-3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6.2119358000000012E-3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6.2952445600000006E-3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1.0141936E-3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3" spans="1:4" x14ac:dyDescent="0.5">
      <c r="A83" s="10" t="s">
        <v>387</v>
      </c>
      <c r="B83" s="10">
        <v>2.54</v>
      </c>
      <c r="C83" s="10" t="s">
        <v>388</v>
      </c>
      <c r="D83" s="11">
        <v>6.0221399999999997E+23</v>
      </c>
    </row>
    <row r="84" spans="1:4" x14ac:dyDescent="0.5">
      <c r="A84" s="10"/>
      <c r="B84" s="10"/>
      <c r="C84" s="10"/>
      <c r="D84" s="10"/>
    </row>
    <row r="85" spans="1:4" x14ac:dyDescent="0.5">
      <c r="A85" s="10" t="s">
        <v>389</v>
      </c>
      <c r="B85" s="10">
        <v>6560</v>
      </c>
      <c r="C85" s="10"/>
      <c r="D85" s="10"/>
    </row>
    <row r="86" spans="1:4" x14ac:dyDescent="0.5">
      <c r="A86" s="10" t="s">
        <v>390</v>
      </c>
      <c r="B86" s="10">
        <v>211</v>
      </c>
      <c r="C86" s="10"/>
      <c r="D86" s="10"/>
    </row>
    <row r="87" spans="1:4" x14ac:dyDescent="0.5">
      <c r="A87" s="10" t="s">
        <v>391</v>
      </c>
      <c r="B87" s="10">
        <v>31.090047389999999</v>
      </c>
      <c r="C87" s="10"/>
      <c r="D87" s="10"/>
    </row>
    <row r="88" spans="1:4" x14ac:dyDescent="0.5">
      <c r="A88" s="10" t="s">
        <v>392</v>
      </c>
      <c r="B88" s="10">
        <f>0.532/2</f>
        <v>0.26600000000000001</v>
      </c>
      <c r="C88" s="10"/>
      <c r="D88" s="10"/>
    </row>
    <row r="89" spans="1:4" x14ac:dyDescent="0.5">
      <c r="A89" s="10" t="s">
        <v>393</v>
      </c>
      <c r="B89" s="10">
        <v>14</v>
      </c>
      <c r="C89" s="10"/>
      <c r="D89" s="10"/>
    </row>
    <row r="90" spans="1:4" x14ac:dyDescent="0.5">
      <c r="A90" s="10" t="s">
        <v>394</v>
      </c>
      <c r="B90" s="10">
        <f>B88*B83</f>
        <v>0.67564000000000002</v>
      </c>
      <c r="C90" s="10"/>
      <c r="D90" s="10"/>
    </row>
    <row r="91" spans="1:4" x14ac:dyDescent="0.5">
      <c r="A91" s="10" t="s">
        <v>395</v>
      </c>
      <c r="B91" s="10">
        <f>B89*B83</f>
        <v>35.56</v>
      </c>
      <c r="C91" s="10"/>
      <c r="D91" s="10"/>
    </row>
    <row r="92" spans="1:4" x14ac:dyDescent="0.5">
      <c r="A92" s="10" t="s">
        <v>396</v>
      </c>
      <c r="B92" s="10">
        <f>PI()*B90^2*B91</f>
        <v>50.996730261790482</v>
      </c>
      <c r="D92" s="10"/>
    </row>
    <row r="93" spans="1:4" x14ac:dyDescent="0.5">
      <c r="A93" s="10"/>
      <c r="B93" s="10"/>
      <c r="C93" s="10"/>
      <c r="D93" s="10"/>
    </row>
    <row r="94" spans="1:4" x14ac:dyDescent="0.5">
      <c r="A94" s="10" t="s">
        <v>397</v>
      </c>
      <c r="B94" s="10">
        <v>0.60964785799999999</v>
      </c>
      <c r="C94" s="10"/>
      <c r="D94" s="10"/>
    </row>
    <row r="95" spans="1:4" x14ac:dyDescent="0.5">
      <c r="A95" s="10" t="s">
        <v>398</v>
      </c>
      <c r="B95" s="10">
        <v>0.56788698000000004</v>
      </c>
      <c r="C95" s="11"/>
      <c r="D95" s="10"/>
    </row>
    <row r="96" spans="1:4" x14ac:dyDescent="0.5">
      <c r="A96" s="10" t="s">
        <v>399</v>
      </c>
      <c r="B96" s="11">
        <f>1.45501E+21/1E+24</f>
        <v>1.4550099999999999E-3</v>
      </c>
      <c r="C96" s="10"/>
      <c r="D96" s="10"/>
    </row>
    <row r="97" spans="1:4" x14ac:dyDescent="0.5">
      <c r="A97" s="10" t="s">
        <v>400</v>
      </c>
      <c r="B97" s="10">
        <v>4.1760878000000001E-2</v>
      </c>
      <c r="C97" s="10"/>
      <c r="D97" s="10"/>
    </row>
    <row r="98" spans="1:4" x14ac:dyDescent="0.5">
      <c r="A98" s="10" t="s">
        <v>401</v>
      </c>
      <c r="B98" s="11">
        <f>105656000000000000000/1E+24</f>
        <v>1.0565600000000001E-4</v>
      </c>
      <c r="C98" s="10"/>
      <c r="D98" s="10"/>
    </row>
    <row r="99" spans="1:4" x14ac:dyDescent="0.5">
      <c r="A99" s="10"/>
      <c r="B99" s="10"/>
      <c r="C99" s="10"/>
      <c r="D99" s="10"/>
    </row>
    <row r="100" spans="1:4" x14ac:dyDescent="0.5">
      <c r="A100" s="10" t="s">
        <v>402</v>
      </c>
      <c r="B100" s="10">
        <v>310.90047390000001</v>
      </c>
      <c r="C100" s="10"/>
      <c r="D100" s="10"/>
    </row>
    <row r="101" spans="1:4" x14ac:dyDescent="0.5">
      <c r="A101" s="10" t="s">
        <v>403</v>
      </c>
      <c r="B101" s="10">
        <v>6.0964785849999998</v>
      </c>
      <c r="C101" s="10">
        <v>6096.4785849999998</v>
      </c>
      <c r="D101" s="10"/>
    </row>
    <row r="102" spans="1:4" x14ac:dyDescent="0.5">
      <c r="A102" s="10"/>
      <c r="B102" s="10"/>
      <c r="C102" s="10"/>
      <c r="D102" s="10"/>
    </row>
    <row r="103" spans="1:4" x14ac:dyDescent="0.5">
      <c r="A103" s="10" t="s">
        <v>404</v>
      </c>
      <c r="B103" s="10">
        <v>279.81042650000001</v>
      </c>
      <c r="C103" s="10"/>
      <c r="D103" s="10"/>
    </row>
    <row r="104" spans="1:4" x14ac:dyDescent="0.5">
      <c r="A104" s="10" t="s">
        <v>405</v>
      </c>
      <c r="B104" s="10">
        <v>5.486830726</v>
      </c>
      <c r="C104" s="10"/>
      <c r="D104" s="10"/>
    </row>
    <row r="105" spans="1:4" x14ac:dyDescent="0.5">
      <c r="A105" s="10" t="s">
        <v>406</v>
      </c>
      <c r="B105" s="11">
        <v>3.6221200000000002E+22</v>
      </c>
      <c r="C105" s="10"/>
      <c r="D105" s="10"/>
    </row>
    <row r="106" spans="1:4" x14ac:dyDescent="0.5">
      <c r="A106" s="10"/>
      <c r="B106" s="10"/>
      <c r="C106" s="10"/>
      <c r="D106" s="10"/>
    </row>
    <row r="107" spans="1:4" x14ac:dyDescent="0.5">
      <c r="A107" s="10" t="s">
        <v>128</v>
      </c>
      <c r="B107" s="11">
        <f>C31</f>
        <v>1.8635807399999999E-2</v>
      </c>
      <c r="C107" s="10"/>
      <c r="D107" s="10"/>
    </row>
    <row r="108" spans="1:4" x14ac:dyDescent="0.5">
      <c r="A108" s="10" t="s">
        <v>133</v>
      </c>
      <c r="B108" s="11">
        <f t="shared" ref="B108:B111" si="40">C32</f>
        <v>4.06401864E-3</v>
      </c>
      <c r="C108" s="10"/>
      <c r="D108" s="10"/>
    </row>
    <row r="109" spans="1:4" x14ac:dyDescent="0.5">
      <c r="A109" s="10" t="s">
        <v>136</v>
      </c>
      <c r="B109" s="11">
        <f t="shared" si="40"/>
        <v>6.2119358000000012E-3</v>
      </c>
      <c r="C109" s="10"/>
      <c r="D109" s="10"/>
    </row>
    <row r="110" spans="1:4" x14ac:dyDescent="0.5">
      <c r="A110" s="10" t="s">
        <v>141</v>
      </c>
      <c r="B110" s="11">
        <f t="shared" si="40"/>
        <v>6.2952445600000006E-3</v>
      </c>
      <c r="C110" s="10"/>
      <c r="D110" s="10"/>
    </row>
    <row r="111" spans="1:4" x14ac:dyDescent="0.5">
      <c r="A111" s="10" t="s">
        <v>146</v>
      </c>
      <c r="B111" s="11">
        <f t="shared" si="40"/>
        <v>1.0141936E-3</v>
      </c>
      <c r="C111" s="10"/>
      <c r="D111" s="10"/>
    </row>
  </sheetData>
  <mergeCells count="65">
    <mergeCell ref="E14:F14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Q10:R10"/>
    <mergeCell ref="M15:N15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8:F18"/>
    <mergeCell ref="Q18:R18"/>
    <mergeCell ref="A37:B37"/>
    <mergeCell ref="M37:N37"/>
    <mergeCell ref="I38:J38"/>
    <mergeCell ref="Q39:R39"/>
    <mergeCell ref="A41:B41"/>
    <mergeCell ref="E41:F41"/>
    <mergeCell ref="I57:J57"/>
    <mergeCell ref="Q57:R57"/>
    <mergeCell ref="M58:N58"/>
    <mergeCell ref="A51:B51"/>
    <mergeCell ref="Q51:R51"/>
    <mergeCell ref="Q43:R43"/>
    <mergeCell ref="Q47:R47"/>
    <mergeCell ref="I48:J48"/>
    <mergeCell ref="M49:N49"/>
    <mergeCell ref="E52:F52"/>
    <mergeCell ref="A60:B60"/>
    <mergeCell ref="A77:B77"/>
    <mergeCell ref="A64:B64"/>
    <mergeCell ref="I66:J66"/>
    <mergeCell ref="M66:N66"/>
    <mergeCell ref="E61:F61"/>
    <mergeCell ref="Q74:R74"/>
    <mergeCell ref="E76:F76"/>
    <mergeCell ref="Q66:R66"/>
    <mergeCell ref="A68:B68"/>
    <mergeCell ref="E69:F69"/>
    <mergeCell ref="I70:J70"/>
    <mergeCell ref="M70:N70"/>
    <mergeCell ref="Q70:R70"/>
  </mergeCells>
  <hyperlinks>
    <hyperlink ref="V14" r:id="rId1" xr:uid="{A065C4F7-CD72-4485-8975-75CE4B6795A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C4CA-7B60-46D5-A11D-F365F210965B}">
  <dimension ref="A1:V111"/>
  <sheetViews>
    <sheetView tabSelected="1" topLeftCell="A81" zoomScale="90" zoomScaleNormal="90" workbookViewId="0">
      <selection activeCell="B100" sqref="B100"/>
    </sheetView>
  </sheetViews>
  <sheetFormatPr defaultColWidth="11" defaultRowHeight="15.75" x14ac:dyDescent="0.5"/>
  <cols>
    <col min="1" max="1" width="20.5" bestFit="1" customWidth="1"/>
    <col min="2" max="2" width="13.875" customWidth="1"/>
    <col min="3" max="3" width="11" style="7"/>
    <col min="5" max="6" width="13.875" customWidth="1"/>
    <col min="7" max="7" width="11" style="7"/>
    <col min="9" max="10" width="13.875" customWidth="1"/>
    <col min="11" max="11" width="11" style="7"/>
    <col min="13" max="14" width="13.875" customWidth="1"/>
    <col min="15" max="15" width="11" style="7"/>
    <col min="17" max="18" width="13.875" customWidth="1"/>
    <col min="19" max="19" width="11" style="7"/>
  </cols>
  <sheetData>
    <row r="1" spans="1:22" x14ac:dyDescent="0.5">
      <c r="A1" s="12" t="s">
        <v>0</v>
      </c>
      <c r="B1" s="12"/>
      <c r="C1" s="5">
        <f>6.06E+22/1E+24</f>
        <v>6.0600000000000001E-2</v>
      </c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6.0591213000000005E-2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8.7870000000000007E-6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19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</row>
    <row r="18" spans="1:19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19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19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19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19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19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19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19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19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19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19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19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19" x14ac:dyDescent="0.5">
      <c r="A30" s="12" t="s">
        <v>123</v>
      </c>
      <c r="B30" s="12"/>
      <c r="C30" s="5">
        <f>B105</f>
        <v>3.5058823529411767E-2</v>
      </c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19" x14ac:dyDescent="0.5">
      <c r="A31" s="4" t="s">
        <v>128</v>
      </c>
      <c r="B31" s="4">
        <v>0.51449999999999996</v>
      </c>
      <c r="C31" s="6">
        <f>$C$30*B31</f>
        <v>1.8037764705882354E-2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19" x14ac:dyDescent="0.5">
      <c r="A32" s="4" t="s">
        <v>133</v>
      </c>
      <c r="B32" s="4">
        <v>0.11219999999999999</v>
      </c>
      <c r="C32" s="6">
        <f t="shared" ref="C32:C35" si="18">$C$30*B32</f>
        <v>3.9335999999999998E-3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6.0125882352941185E-3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6.0932235294117653E-3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9.8164705882352959E-4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  <row r="82" spans="1:4" x14ac:dyDescent="0.5">
      <c r="A82" t="s">
        <v>407</v>
      </c>
      <c r="B82">
        <f>0.9315</f>
        <v>0.93149999999999999</v>
      </c>
    </row>
    <row r="83" spans="1:4" x14ac:dyDescent="0.5">
      <c r="A83" s="10" t="s">
        <v>387</v>
      </c>
      <c r="B83" s="10">
        <v>2.54</v>
      </c>
      <c r="C83" s="10" t="s">
        <v>388</v>
      </c>
      <c r="D83" s="11">
        <v>6.0221399999999997E+23</v>
      </c>
    </row>
    <row r="84" spans="1:4" x14ac:dyDescent="0.5">
      <c r="A84" s="10"/>
      <c r="B84" s="10"/>
      <c r="C84" s="10"/>
      <c r="D84" s="10"/>
    </row>
    <row r="85" spans="1:4" x14ac:dyDescent="0.5">
      <c r="A85" s="10" t="s">
        <v>389</v>
      </c>
      <c r="B85" s="10">
        <f>6.44*1000</f>
        <v>6440</v>
      </c>
      <c r="C85" s="10"/>
      <c r="D85" s="10"/>
    </row>
    <row r="86" spans="1:4" x14ac:dyDescent="0.5">
      <c r="A86" s="10" t="s">
        <v>390</v>
      </c>
      <c r="B86" s="10">
        <v>211</v>
      </c>
      <c r="C86" s="10"/>
      <c r="D86" s="10"/>
    </row>
    <row r="87" spans="1:4" x14ac:dyDescent="0.5">
      <c r="A87" s="10" t="s">
        <v>391</v>
      </c>
      <c r="B87" s="10">
        <f>B85/211</f>
        <v>30.521327014218009</v>
      </c>
      <c r="C87" s="10"/>
      <c r="D87" s="10"/>
    </row>
    <row r="88" spans="1:4" x14ac:dyDescent="0.5">
      <c r="A88" s="10" t="s">
        <v>392</v>
      </c>
      <c r="B88" s="10">
        <f>0.532/2</f>
        <v>0.26600000000000001</v>
      </c>
      <c r="C88" s="10"/>
      <c r="D88" s="10"/>
    </row>
    <row r="89" spans="1:4" x14ac:dyDescent="0.5">
      <c r="A89" s="10" t="s">
        <v>393</v>
      </c>
      <c r="B89" s="10">
        <v>14</v>
      </c>
      <c r="C89" s="10"/>
      <c r="D89" s="10"/>
    </row>
    <row r="90" spans="1:4" x14ac:dyDescent="0.5">
      <c r="A90" s="10" t="s">
        <v>394</v>
      </c>
      <c r="B90" s="10">
        <f>B88*B83</f>
        <v>0.67564000000000002</v>
      </c>
      <c r="C90" s="10"/>
      <c r="D90" s="10"/>
    </row>
    <row r="91" spans="1:4" x14ac:dyDescent="0.5">
      <c r="A91" s="10" t="s">
        <v>395</v>
      </c>
      <c r="B91" s="10">
        <f>B89*B83</f>
        <v>35.56</v>
      </c>
      <c r="C91" s="10"/>
      <c r="D91" s="10"/>
    </row>
    <row r="92" spans="1:4" x14ac:dyDescent="0.5">
      <c r="A92" s="10" t="s">
        <v>396</v>
      </c>
      <c r="B92" s="10">
        <f>PI()*B90^2*B91</f>
        <v>50.996730261790482</v>
      </c>
      <c r="D92" s="10"/>
    </row>
    <row r="93" spans="1:4" x14ac:dyDescent="0.5">
      <c r="A93" s="10"/>
      <c r="B93" s="10"/>
      <c r="C93" s="10"/>
      <c r="D93" s="10"/>
    </row>
    <row r="94" spans="1:4" x14ac:dyDescent="0.5">
      <c r="A94" s="10" t="s">
        <v>397</v>
      </c>
      <c r="B94" s="10">
        <f>B87/B92</f>
        <v>0.59849576350361122</v>
      </c>
      <c r="C94" s="10"/>
      <c r="D94" s="10"/>
    </row>
    <row r="95" spans="1:4" x14ac:dyDescent="0.5">
      <c r="A95" s="10" t="s">
        <v>398</v>
      </c>
      <c r="B95" s="10">
        <f>B94*B82</f>
        <v>0.55749880370361382</v>
      </c>
      <c r="C95" s="11"/>
      <c r="D95" s="10"/>
    </row>
    <row r="96" spans="1:4" x14ac:dyDescent="0.5">
      <c r="A96" s="10" t="s">
        <v>399</v>
      </c>
      <c r="B96" s="11">
        <f>B95*D83/235.043928/1E+24</f>
        <v>1.4283865464227951E-3</v>
      </c>
      <c r="D96" s="10"/>
    </row>
    <row r="97" spans="1:4" x14ac:dyDescent="0.5">
      <c r="A97" s="10" t="s">
        <v>400</v>
      </c>
      <c r="B97" s="10">
        <f>(1-B82)*B94</f>
        <v>4.0996959799997373E-2</v>
      </c>
      <c r="C97" s="10"/>
      <c r="D97" s="10"/>
    </row>
    <row r="98" spans="1:4" x14ac:dyDescent="0.5">
      <c r="A98" s="10" t="s">
        <v>401</v>
      </c>
      <c r="B98" s="11">
        <f>B97*D83/238/1E+24</f>
        <v>1.0373505524788076E-4</v>
      </c>
      <c r="C98" s="10"/>
      <c r="D98" s="10"/>
    </row>
    <row r="99" spans="1:4" x14ac:dyDescent="0.5">
      <c r="A99" s="10" t="s">
        <v>408</v>
      </c>
      <c r="B99" s="11">
        <v>5.96E-2</v>
      </c>
      <c r="C99" s="10"/>
      <c r="D99" s="10"/>
    </row>
    <row r="100" spans="1:4" x14ac:dyDescent="0.5">
      <c r="A100" s="10" t="s">
        <v>402</v>
      </c>
      <c r="B100" s="10">
        <v>310.90047390000001</v>
      </c>
      <c r="C100" s="10"/>
      <c r="D100" s="10"/>
    </row>
    <row r="101" spans="1:4" x14ac:dyDescent="0.5">
      <c r="A101" s="10" t="s">
        <v>403</v>
      </c>
      <c r="B101" s="10">
        <v>6.06</v>
      </c>
      <c r="C101" s="10"/>
      <c r="D101" s="10"/>
    </row>
    <row r="102" spans="1:4" x14ac:dyDescent="0.5">
      <c r="A102" s="10"/>
      <c r="B102" s="10"/>
      <c r="C102" s="10"/>
      <c r="D102" s="10"/>
    </row>
    <row r="103" spans="1:4" x14ac:dyDescent="0.5">
      <c r="A103" s="10" t="s">
        <v>404</v>
      </c>
      <c r="B103" s="10">
        <v>279.81042650000001</v>
      </c>
      <c r="C103" s="10"/>
      <c r="D103" s="10"/>
    </row>
    <row r="104" spans="1:4" x14ac:dyDescent="0.5">
      <c r="A104" s="10" t="s">
        <v>405</v>
      </c>
      <c r="B104" s="10">
        <v>5.486830726</v>
      </c>
      <c r="C104" s="10"/>
      <c r="D104" s="10"/>
    </row>
    <row r="105" spans="1:4" x14ac:dyDescent="0.5">
      <c r="A105" s="10" t="s">
        <v>406</v>
      </c>
      <c r="B105" s="11">
        <f>B99/1.7</f>
        <v>3.5058823529411767E-2</v>
      </c>
      <c r="C105" s="10"/>
      <c r="D105" s="10"/>
    </row>
    <row r="106" spans="1:4" x14ac:dyDescent="0.5">
      <c r="A106" s="10"/>
      <c r="B106" s="10"/>
      <c r="C106" s="10"/>
      <c r="D106" s="10"/>
    </row>
    <row r="107" spans="1:4" x14ac:dyDescent="0.5">
      <c r="A107" s="10" t="s">
        <v>128</v>
      </c>
      <c r="B107" s="11">
        <f>C31</f>
        <v>1.8037764705882354E-2</v>
      </c>
      <c r="C107" s="10"/>
      <c r="D107" s="10"/>
    </row>
    <row r="108" spans="1:4" x14ac:dyDescent="0.5">
      <c r="A108" s="10" t="s">
        <v>133</v>
      </c>
      <c r="B108" s="11">
        <f t="shared" ref="B108:B111" si="40">C32</f>
        <v>3.9335999999999998E-3</v>
      </c>
      <c r="C108" s="10"/>
      <c r="D108" s="10"/>
    </row>
    <row r="109" spans="1:4" x14ac:dyDescent="0.5">
      <c r="A109" s="10" t="s">
        <v>136</v>
      </c>
      <c r="B109" s="11">
        <f t="shared" si="40"/>
        <v>6.0125882352941185E-3</v>
      </c>
      <c r="C109" s="10"/>
      <c r="D109" s="10"/>
    </row>
    <row r="110" spans="1:4" x14ac:dyDescent="0.5">
      <c r="A110" s="10" t="s">
        <v>141</v>
      </c>
      <c r="B110" s="11">
        <f t="shared" si="40"/>
        <v>6.0932235294117653E-3</v>
      </c>
      <c r="C110" s="10"/>
      <c r="D110" s="10"/>
    </row>
    <row r="111" spans="1:4" x14ac:dyDescent="0.5">
      <c r="A111" s="10" t="s">
        <v>146</v>
      </c>
      <c r="B111" s="11">
        <f t="shared" si="40"/>
        <v>9.8164705882352959E-4</v>
      </c>
      <c r="C111" s="10"/>
      <c r="D111" s="10"/>
    </row>
  </sheetData>
  <mergeCells count="65">
    <mergeCell ref="I70:J70"/>
    <mergeCell ref="M70:N70"/>
    <mergeCell ref="Q70:R7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52:F52"/>
    <mergeCell ref="I57:J57"/>
    <mergeCell ref="Q57:R57"/>
    <mergeCell ref="M58:N58"/>
    <mergeCell ref="A60:B60"/>
    <mergeCell ref="E61:F61"/>
    <mergeCell ref="Q43:R43"/>
    <mergeCell ref="Q47:R47"/>
    <mergeCell ref="I48:J48"/>
    <mergeCell ref="M49:N49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Q33:R33"/>
    <mergeCell ref="I21:J21"/>
    <mergeCell ref="M21:N21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A1:B1"/>
    <mergeCell ref="E1:F1"/>
    <mergeCell ref="I1:J1"/>
    <mergeCell ref="M1:N1"/>
    <mergeCell ref="Q1:R1"/>
    <mergeCell ref="U1:V1"/>
  </mergeCells>
  <hyperlinks>
    <hyperlink ref="V14" r:id="rId1" xr:uid="{590030E3-C498-4081-9F42-8BA75C8D0D6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D7EF-BF6D-0048-AF90-B3F59DE373AB}">
  <dimension ref="A1:Y79"/>
  <sheetViews>
    <sheetView zoomScale="90" zoomScaleNormal="90" workbookViewId="0">
      <selection activeCell="U16" sqref="U16:V16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V17</f>
        <v>8.0000000000000004E-4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7.9151999999999998E-4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8.4799999999999984E-6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>
        <f>V25</f>
        <v>1E-3</v>
      </c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V19</f>
        <v>7.4999999999999997E-3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9.9620500000000001E-4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6.9238499999999996E-3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3.7949999999999997E-6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3.48375E-4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2.2777499999999999E-4</v>
      </c>
      <c r="U8" s="14"/>
      <c r="V8" s="14"/>
    </row>
    <row r="9" spans="1:23" x14ac:dyDescent="0.5">
      <c r="A9" s="12" t="s">
        <v>36</v>
      </c>
      <c r="B9" s="12"/>
      <c r="C9" s="5">
        <f>V21</f>
        <v>2.9999999999999997E-4</v>
      </c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2.8586999999999997E-4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2.1959999999999998E-6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1.1894999999999999E-5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3.8999999999999992E-8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>
        <f>V22</f>
        <v>0.17</v>
      </c>
      <c r="M15" s="12" t="s">
        <v>63</v>
      </c>
      <c r="N15" s="12"/>
      <c r="O15" s="5">
        <f>V26</f>
        <v>0.65517500000000006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7.3865000000000007E-3</v>
      </c>
      <c r="M16" s="4" t="s">
        <v>68</v>
      </c>
      <c r="N16" s="4">
        <v>5.8450000000000002E-2</v>
      </c>
      <c r="O16" s="6">
        <f>$O$15*N16</f>
        <v>3.8294978750000007E-2</v>
      </c>
      <c r="Q16" s="4" t="s">
        <v>69</v>
      </c>
      <c r="R16" s="4">
        <v>1.8699999999999999E-3</v>
      </c>
      <c r="S16" s="6">
        <f t="shared" si="7"/>
        <v>0</v>
      </c>
      <c r="U16" s="15" t="s">
        <v>335</v>
      </c>
      <c r="V16" s="15"/>
      <c r="W16" s="3" t="s">
        <v>336</v>
      </c>
    </row>
    <row r="17" spans="1:25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0.14244130000000002</v>
      </c>
      <c r="M17" s="4" t="s">
        <v>72</v>
      </c>
      <c r="N17" s="4">
        <v>0.91754000000000002</v>
      </c>
      <c r="O17" s="6">
        <f t="shared" ref="O17:O19" si="10">$O$15*N17</f>
        <v>0.60114926950000003</v>
      </c>
      <c r="U17" t="s">
        <v>337</v>
      </c>
      <c r="V17" s="7">
        <v>8.0000000000000004E-4</v>
      </c>
      <c r="X17" s="16" t="s">
        <v>338</v>
      </c>
      <c r="Y17" s="16"/>
    </row>
    <row r="18" spans="1:25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1.6151700000000001E-2</v>
      </c>
      <c r="M18" s="4" t="s">
        <v>76</v>
      </c>
      <c r="N18" s="4">
        <v>2.1190000000000001E-2</v>
      </c>
      <c r="O18" s="6">
        <f t="shared" si="10"/>
        <v>1.3883158250000001E-2</v>
      </c>
      <c r="Q18" s="12" t="s">
        <v>77</v>
      </c>
      <c r="R18" s="12"/>
      <c r="S18" s="5">
        <f>V24</f>
        <v>0.12</v>
      </c>
      <c r="U18" t="s">
        <v>339</v>
      </c>
      <c r="V18" s="7">
        <v>0.02</v>
      </c>
      <c r="X18" s="16"/>
      <c r="Y18" s="16"/>
    </row>
    <row r="19" spans="1:25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4.0205000000000006E-3</v>
      </c>
      <c r="M19" s="4" t="s">
        <v>81</v>
      </c>
      <c r="N19" s="4">
        <v>2.82E-3</v>
      </c>
      <c r="O19" s="6">
        <f t="shared" si="10"/>
        <v>1.8475935000000002E-3</v>
      </c>
      <c r="Q19" s="4" t="s">
        <v>82</v>
      </c>
      <c r="R19" s="4">
        <v>0.68076899999999996</v>
      </c>
      <c r="S19" s="6">
        <f>$S$18*R19</f>
        <v>8.1692279999999992E-2</v>
      </c>
      <c r="U19" t="s">
        <v>340</v>
      </c>
      <c r="V19" s="7">
        <v>7.4999999999999997E-3</v>
      </c>
    </row>
    <row r="20" spans="1:25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3.1467719999999998E-2</v>
      </c>
      <c r="U20" t="s">
        <v>341</v>
      </c>
      <c r="V20" s="7">
        <f>AVERAGE(0,0.00045)</f>
        <v>2.2499999999999999E-4</v>
      </c>
    </row>
    <row r="21" spans="1:25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1.3678799999999999E-3</v>
      </c>
      <c r="U21" t="s">
        <v>342</v>
      </c>
      <c r="V21" s="7">
        <v>2.9999999999999997E-4</v>
      </c>
    </row>
    <row r="22" spans="1:25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4.3614000000000005E-3</v>
      </c>
      <c r="U22" t="s">
        <v>343</v>
      </c>
      <c r="V22" s="7">
        <v>0.17</v>
      </c>
    </row>
    <row r="23" spans="1:25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1.1107199999999999E-3</v>
      </c>
      <c r="U23" t="s">
        <v>344</v>
      </c>
      <c r="V23" s="7">
        <v>2.5000000000000001E-2</v>
      </c>
    </row>
    <row r="24" spans="1:25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  <c r="U24" t="s">
        <v>345</v>
      </c>
      <c r="V24" s="7">
        <v>0.12</v>
      </c>
    </row>
    <row r="25" spans="1:25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346</v>
      </c>
      <c r="V25" s="7">
        <v>1E-3</v>
      </c>
    </row>
    <row r="26" spans="1:25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347</v>
      </c>
      <c r="V26" s="7">
        <f>1-SUM(V17:V25)</f>
        <v>0.65517500000000006</v>
      </c>
    </row>
    <row r="27" spans="1:25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V27" s="7"/>
    </row>
    <row r="28" spans="1:25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5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V23</f>
        <v>2.5000000000000001E-2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5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3.6622500000000006E-3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5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2.2945000000000001E-3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5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3.9682500000000004E-3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4.1682500000000001E-3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2.3955000000000001E-3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6.0730000000000003E-3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2.4360000000000002E-3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7">
    <mergeCell ref="U16:V16"/>
    <mergeCell ref="X17:Y18"/>
    <mergeCell ref="I70:J70"/>
    <mergeCell ref="M70:N70"/>
    <mergeCell ref="Q70:R70"/>
    <mergeCell ref="Q33:R33"/>
    <mergeCell ref="I21:J21"/>
    <mergeCell ref="M21:N21"/>
    <mergeCell ref="Q43:R43"/>
    <mergeCell ref="Q47:R47"/>
    <mergeCell ref="I48:J48"/>
    <mergeCell ref="M49:N49"/>
    <mergeCell ref="A60:B60"/>
    <mergeCell ref="Q74:R74"/>
    <mergeCell ref="E76:F76"/>
    <mergeCell ref="A77:B77"/>
    <mergeCell ref="A64:B64"/>
    <mergeCell ref="I66:J66"/>
    <mergeCell ref="M66:N66"/>
    <mergeCell ref="Q66:R66"/>
    <mergeCell ref="A68:B68"/>
    <mergeCell ref="E69:F69"/>
    <mergeCell ref="E61:F61"/>
    <mergeCell ref="E52:F52"/>
    <mergeCell ref="I57:J57"/>
    <mergeCell ref="Q57:R57"/>
    <mergeCell ref="M58:N58"/>
    <mergeCell ref="A51:B51"/>
    <mergeCell ref="Q51:R51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9383D76D-3A59-9E44-88FB-6187ABC5EFE8}"/>
    <hyperlink ref="W16" r:id="rId2" xr:uid="{21C01C60-E39B-AA43-A25C-2F1BC4A1AD2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9154-5A48-D54C-8F48-73CBC77C00AC}">
  <dimension ref="A1:W79"/>
  <sheetViews>
    <sheetView zoomScale="90" zoomScaleNormal="90" workbookViewId="0">
      <selection activeCell="C23" sqref="C23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V26</f>
        <v>1E-4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9.8939999999999998E-5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1.0599999999999998E-6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V25</f>
        <v>8.0000000000000004E-4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7.3854400000000005E-4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3.7160000000000003E-5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2.4296000000000003E-5</v>
      </c>
      <c r="U8" s="14"/>
      <c r="V8" s="14"/>
    </row>
    <row r="9" spans="1:23" x14ac:dyDescent="0.5">
      <c r="A9" s="12" t="s">
        <v>36</v>
      </c>
      <c r="B9" s="12"/>
      <c r="C9" s="5"/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>
        <f>V24</f>
        <v>3.5000000000000001E-3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8.7500000000000009E-6</v>
      </c>
      <c r="I15" s="12" t="s">
        <v>62</v>
      </c>
      <c r="J15" s="12"/>
      <c r="K15" s="5">
        <f>V19</f>
        <v>0.16</v>
      </c>
      <c r="M15" s="12" t="s">
        <v>63</v>
      </c>
      <c r="N15" s="12"/>
      <c r="O15" s="5">
        <f>V21</f>
        <v>0.05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3.4912500000000004E-3</v>
      </c>
      <c r="I16" s="4" t="s">
        <v>67</v>
      </c>
      <c r="J16" s="4">
        <v>4.3450000000000003E-2</v>
      </c>
      <c r="K16" s="6">
        <f>$K$15*J16</f>
        <v>6.9520000000000007E-3</v>
      </c>
      <c r="M16" s="4" t="s">
        <v>68</v>
      </c>
      <c r="N16" s="4">
        <v>5.8450000000000002E-2</v>
      </c>
      <c r="O16" s="6">
        <f>$O$15*N16</f>
        <v>2.9225000000000002E-3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348</v>
      </c>
      <c r="V16" s="15"/>
      <c r="W16" s="3" t="s">
        <v>336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0.1340624</v>
      </c>
      <c r="M17" s="4" t="s">
        <v>72</v>
      </c>
      <c r="N17" s="4">
        <v>0.91754000000000002</v>
      </c>
      <c r="O17" s="6">
        <f t="shared" ref="O17:O19" si="10">$O$15*N17</f>
        <v>4.5877000000000001E-2</v>
      </c>
      <c r="U17" t="s">
        <v>345</v>
      </c>
      <c r="V17">
        <f>1-SUM(V18:V27)</f>
        <v>0.54560000000000008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1.5201599999999999E-2</v>
      </c>
      <c r="M18" s="4" t="s">
        <v>76</v>
      </c>
      <c r="N18" s="4">
        <v>2.1190000000000001E-2</v>
      </c>
      <c r="O18" s="6">
        <f t="shared" si="10"/>
        <v>1.0595000000000001E-3</v>
      </c>
      <c r="Q18" s="12" t="s">
        <v>77</v>
      </c>
      <c r="R18" s="12"/>
      <c r="S18" s="5">
        <f>V17</f>
        <v>0.54560000000000008</v>
      </c>
      <c r="U18" t="s">
        <v>349</v>
      </c>
      <c r="V18">
        <v>2.5000000000000001E-2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3.784E-3</v>
      </c>
      <c r="M19" s="4" t="s">
        <v>81</v>
      </c>
      <c r="N19" s="4">
        <v>2.82E-3</v>
      </c>
      <c r="O19" s="6">
        <f t="shared" si="10"/>
        <v>1.4100000000000001E-4</v>
      </c>
      <c r="Q19" s="4" t="s">
        <v>82</v>
      </c>
      <c r="R19" s="4">
        <v>0.68076899999999996</v>
      </c>
      <c r="S19" s="6">
        <f>$S$18*R19</f>
        <v>0.37142756640000002</v>
      </c>
      <c r="U19" t="s">
        <v>343</v>
      </c>
      <c r="V19">
        <v>0.16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0.14307323360000002</v>
      </c>
      <c r="U20" t="s">
        <v>344</v>
      </c>
      <c r="V20">
        <v>0.16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6.2192944000000003E-3</v>
      </c>
      <c r="U21" t="s">
        <v>347</v>
      </c>
      <c r="V21">
        <v>0.05</v>
      </c>
    </row>
    <row r="22" spans="1:22" x14ac:dyDescent="0.5">
      <c r="A22" s="12" t="s">
        <v>90</v>
      </c>
      <c r="B22" s="12"/>
      <c r="C22" s="5">
        <f>V27</f>
        <v>5.0000000000000001E-3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1.9829832000000006E-2</v>
      </c>
      <c r="U22" t="s">
        <v>350</v>
      </c>
      <c r="V22">
        <v>0.04</v>
      </c>
    </row>
    <row r="23" spans="1:22" x14ac:dyDescent="0.5">
      <c r="A23" s="4" t="s">
        <v>95</v>
      </c>
      <c r="B23" s="4">
        <v>0.6915</v>
      </c>
      <c r="C23" s="6">
        <f>$C$22*B23</f>
        <v>3.4575000000000001E-3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5.0500736000000006E-3</v>
      </c>
      <c r="U23" t="s">
        <v>339</v>
      </c>
      <c r="V23">
        <v>0.01</v>
      </c>
    </row>
    <row r="24" spans="1:22" x14ac:dyDescent="0.5">
      <c r="A24" s="4" t="s">
        <v>100</v>
      </c>
      <c r="B24" s="4">
        <v>0.3085</v>
      </c>
      <c r="C24" s="6">
        <f>$C$22*B24</f>
        <v>1.5425E-3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3.5000000000000001E-3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340</v>
      </c>
      <c r="V25">
        <v>8.0000000000000004E-4</v>
      </c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337</v>
      </c>
      <c r="V26">
        <v>1E-4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352</v>
      </c>
      <c r="V27">
        <v>5.0000000000000001E-3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V20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V22</f>
        <v>0.04</v>
      </c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4.7999999999999994E-5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1.06E-2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5.7239999999999999E-3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1.2256000000000001E-2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1.1372E-2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5B3641FE-3BE4-D442-AB4B-298D06E4291D}"/>
    <hyperlink ref="W16" r:id="rId2" xr:uid="{7B42DFD1-52FA-B74F-917F-B46C79815AF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0D3CF-C5D8-2647-8B7B-1143C8DCB475}">
  <dimension ref="A1:W79"/>
  <sheetViews>
    <sheetView zoomScale="90" zoomScaleNormal="90" workbookViewId="0">
      <selection activeCell="S2" sqref="S2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1" max="22" width="11.875" customWidth="1"/>
  </cols>
  <sheetData>
    <row r="1" spans="1:23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>
        <f>V27</f>
        <v>5.9999999999999995E-4</v>
      </c>
      <c r="U1" s="15" t="s">
        <v>5</v>
      </c>
      <c r="V1" s="15"/>
    </row>
    <row r="2" spans="1:23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5.9363999999999988E-4</v>
      </c>
      <c r="U2" s="14" t="s">
        <v>11</v>
      </c>
      <c r="V2" s="14"/>
    </row>
    <row r="3" spans="1:23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6.3599999999999984E-6</v>
      </c>
      <c r="U3" s="14"/>
      <c r="V3" s="14"/>
    </row>
    <row r="4" spans="1:23" x14ac:dyDescent="0.5">
      <c r="U4" s="14"/>
      <c r="V4" s="14"/>
    </row>
    <row r="5" spans="1:23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>
        <f>V21</f>
        <v>0.01</v>
      </c>
      <c r="U5" s="14"/>
      <c r="V5" s="14"/>
    </row>
    <row r="6" spans="1:23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9.2318000000000001E-3</v>
      </c>
      <c r="U6" s="14"/>
      <c r="V6" s="14"/>
    </row>
    <row r="7" spans="1:23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4.6450000000000001E-4</v>
      </c>
      <c r="U7" s="14"/>
      <c r="V7" s="14"/>
    </row>
    <row r="8" spans="1:23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3.0370000000000001E-4</v>
      </c>
      <c r="U8" s="14"/>
      <c r="V8" s="14"/>
    </row>
    <row r="9" spans="1:23" x14ac:dyDescent="0.5">
      <c r="A9" s="12" t="s">
        <v>36</v>
      </c>
      <c r="B9" s="12"/>
      <c r="C9" s="5"/>
      <c r="U9" s="14"/>
      <c r="V9" s="14"/>
    </row>
    <row r="10" spans="1:23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3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3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3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3" x14ac:dyDescent="0.5">
      <c r="E14" s="12" t="s">
        <v>56</v>
      </c>
      <c r="F14" s="12"/>
      <c r="G14" s="5">
        <f>V24</f>
        <v>5.0000000000000001E-3</v>
      </c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3" x14ac:dyDescent="0.5">
      <c r="A15" s="12" t="s">
        <v>60</v>
      </c>
      <c r="B15" s="12"/>
      <c r="C15" s="5">
        <f>V29</f>
        <v>2.5000000000000001E-3</v>
      </c>
      <c r="E15" s="4" t="s">
        <v>61</v>
      </c>
      <c r="F15" s="4">
        <v>2.5000000000000001E-3</v>
      </c>
      <c r="G15" s="6">
        <f>$G$14*F15</f>
        <v>1.2500000000000001E-5</v>
      </c>
      <c r="I15" s="12" t="s">
        <v>62</v>
      </c>
      <c r="J15" s="12"/>
      <c r="K15" s="5">
        <f>V19</f>
        <v>7.0000000000000007E-2</v>
      </c>
      <c r="M15" s="12" t="s">
        <v>63</v>
      </c>
      <c r="N15" s="12"/>
      <c r="O15" s="5">
        <f>V20</f>
        <v>0.04</v>
      </c>
      <c r="Q15" s="4" t="s">
        <v>64</v>
      </c>
      <c r="R15" s="4">
        <v>4.0000000000000003E-5</v>
      </c>
      <c r="S15" s="6">
        <f t="shared" si="7"/>
        <v>0</v>
      </c>
    </row>
    <row r="16" spans="1:23" x14ac:dyDescent="0.5">
      <c r="A16" s="4" t="s">
        <v>65</v>
      </c>
      <c r="B16" s="4">
        <v>8.2500000000000004E-2</v>
      </c>
      <c r="C16" s="6">
        <f>$C$15*B16</f>
        <v>2.0625000000000003E-4</v>
      </c>
      <c r="E16" s="4" t="s">
        <v>66</v>
      </c>
      <c r="F16" s="4">
        <v>0.99750000000000005</v>
      </c>
      <c r="G16" s="6">
        <f>$G$14*F16</f>
        <v>4.9875000000000006E-3</v>
      </c>
      <c r="I16" s="4" t="s">
        <v>67</v>
      </c>
      <c r="J16" s="4">
        <v>4.3450000000000003E-2</v>
      </c>
      <c r="K16" s="6">
        <f>$K$15*J16</f>
        <v>3.0415000000000004E-3</v>
      </c>
      <c r="M16" s="4" t="s">
        <v>68</v>
      </c>
      <c r="N16" s="4">
        <v>5.8450000000000002E-2</v>
      </c>
      <c r="O16" s="6">
        <f>$O$15*N16</f>
        <v>2.3380000000000002E-3</v>
      </c>
      <c r="Q16" s="4" t="s">
        <v>69</v>
      </c>
      <c r="R16" s="4">
        <v>1.8699999999999999E-3</v>
      </c>
      <c r="S16" s="6">
        <f t="shared" si="7"/>
        <v>0</v>
      </c>
      <c r="U16" s="15" t="s">
        <v>353</v>
      </c>
      <c r="V16" s="15"/>
      <c r="W16" s="3" t="s">
        <v>336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1.8599999999999999E-4</v>
      </c>
      <c r="I17" s="4" t="s">
        <v>71</v>
      </c>
      <c r="J17" s="4">
        <v>0.83789000000000002</v>
      </c>
      <c r="K17" s="6">
        <f t="shared" ref="K17:K19" si="9">$K$15*J17</f>
        <v>5.8652300000000004E-2</v>
      </c>
      <c r="M17" s="4" t="s">
        <v>72</v>
      </c>
      <c r="N17" s="4">
        <v>0.91754000000000002</v>
      </c>
      <c r="O17" s="6">
        <f t="shared" ref="O17:O19" si="10">$O$15*N17</f>
        <v>3.6701600000000001E-2</v>
      </c>
      <c r="U17" t="s">
        <v>345</v>
      </c>
      <c r="V17">
        <f>1-SUM(V18:V29)</f>
        <v>0.69089999999999996</v>
      </c>
    </row>
    <row r="18" spans="1:22" x14ac:dyDescent="0.5">
      <c r="A18" s="4" t="s">
        <v>73</v>
      </c>
      <c r="B18" s="4">
        <v>0.73719999999999997</v>
      </c>
      <c r="C18" s="6">
        <f t="shared" si="8"/>
        <v>1.843E-3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6.6507000000000007E-3</v>
      </c>
      <c r="M18" s="4" t="s">
        <v>76</v>
      </c>
      <c r="N18" s="4">
        <v>2.1190000000000001E-2</v>
      </c>
      <c r="O18" s="6">
        <f t="shared" si="10"/>
        <v>8.476E-4</v>
      </c>
      <c r="Q18" s="12" t="s">
        <v>77</v>
      </c>
      <c r="R18" s="12"/>
      <c r="S18" s="5">
        <f>V17</f>
        <v>0.69089999999999996</v>
      </c>
      <c r="U18" t="s">
        <v>344</v>
      </c>
      <c r="V18">
        <v>0.16</v>
      </c>
    </row>
    <row r="19" spans="1:22" x14ac:dyDescent="0.5">
      <c r="A19" s="4" t="s">
        <v>78</v>
      </c>
      <c r="B19" s="4">
        <v>5.4100000000000002E-2</v>
      </c>
      <c r="C19" s="6">
        <f t="shared" si="8"/>
        <v>1.3525000000000001E-4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1.6555000000000003E-3</v>
      </c>
      <c r="M19" s="4" t="s">
        <v>81</v>
      </c>
      <c r="N19" s="4">
        <v>2.82E-3</v>
      </c>
      <c r="O19" s="6">
        <f t="shared" si="10"/>
        <v>1.128E-4</v>
      </c>
      <c r="Q19" s="4" t="s">
        <v>82</v>
      </c>
      <c r="R19" s="4">
        <v>0.68076899999999996</v>
      </c>
      <c r="S19" s="6">
        <f>$S$18*R19</f>
        <v>0.47034330209999992</v>
      </c>
      <c r="U19" t="s">
        <v>343</v>
      </c>
      <c r="V19">
        <v>7.0000000000000007E-2</v>
      </c>
    </row>
    <row r="20" spans="1:22" x14ac:dyDescent="0.5">
      <c r="A20" s="4" t="s">
        <v>83</v>
      </c>
      <c r="B20" s="4">
        <v>5.1799999999999999E-2</v>
      </c>
      <c r="C20" s="6">
        <f t="shared" si="8"/>
        <v>1.295E-4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0.18117539789999998</v>
      </c>
      <c r="U20" t="s">
        <v>347</v>
      </c>
      <c r="V20">
        <v>0.04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7.8755690999999985E-3</v>
      </c>
      <c r="U21" t="s">
        <v>340</v>
      </c>
      <c r="V21">
        <v>0.01</v>
      </c>
    </row>
    <row r="22" spans="1:22" x14ac:dyDescent="0.5">
      <c r="A22" s="12" t="s">
        <v>90</v>
      </c>
      <c r="B22" s="12"/>
      <c r="C22" s="5">
        <f>V26</f>
        <v>2E-3</v>
      </c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2.5110760499999999E-2</v>
      </c>
      <c r="U22" t="s">
        <v>339</v>
      </c>
      <c r="V22">
        <v>8.0000000000000002E-3</v>
      </c>
    </row>
    <row r="23" spans="1:22" x14ac:dyDescent="0.5">
      <c r="A23" s="4" t="s">
        <v>95</v>
      </c>
      <c r="B23" s="4">
        <v>0.6915</v>
      </c>
      <c r="C23" s="6">
        <f>$C$22*B23</f>
        <v>1.3830000000000001E-3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6.3949704E-3</v>
      </c>
      <c r="U23" t="s">
        <v>350</v>
      </c>
      <c r="V23">
        <v>5.0000000000000001E-3</v>
      </c>
    </row>
    <row r="24" spans="1:22" x14ac:dyDescent="0.5">
      <c r="A24" s="4" t="s">
        <v>100</v>
      </c>
      <c r="B24" s="4">
        <v>0.3085</v>
      </c>
      <c r="C24" s="6">
        <f>$C$22*B24</f>
        <v>6.1700000000000004E-4</v>
      </c>
      <c r="M24" s="4" t="s">
        <v>101</v>
      </c>
      <c r="N24" s="4">
        <v>7.7600000000000002E-2</v>
      </c>
      <c r="O24" s="6">
        <f t="shared" si="13"/>
        <v>0</v>
      </c>
      <c r="U24" t="s">
        <v>351</v>
      </c>
      <c r="V24">
        <v>5.0000000000000001E-3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  <c r="U25" t="s">
        <v>352</v>
      </c>
      <c r="V25">
        <v>3.5000000000000001E-3</v>
      </c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  <c r="U26" t="s">
        <v>349</v>
      </c>
      <c r="V26">
        <v>2E-3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  <c r="U27" t="s">
        <v>337</v>
      </c>
      <c r="V27">
        <v>5.9999999999999995E-4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  <c r="U28" t="s">
        <v>354</v>
      </c>
      <c r="V28">
        <v>2.5000000000000001E-3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>
        <f>V18</f>
        <v>0.16</v>
      </c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  <c r="U29" t="s">
        <v>355</v>
      </c>
      <c r="V29">
        <v>2.5000000000000001E-3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2.3438400000000002E-2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1.46848E-2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2.5396800000000001E-2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2.6676800000000001E-2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1.5331200000000001E-2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3.8867199999999998E-2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1.5590400000000001E-2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>
        <f>V23</f>
        <v>5.0000000000000001E-3</v>
      </c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5.9999999999999993E-6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1.325E-3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7.1549999999999999E-4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1.5320000000000002E-3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1.4215E-3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Q51:R51"/>
    <mergeCell ref="I38:J38"/>
    <mergeCell ref="Q39:R39"/>
    <mergeCell ref="U16:V16"/>
    <mergeCell ref="I70:J70"/>
    <mergeCell ref="M70:N70"/>
    <mergeCell ref="Q70:R70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A37:B37"/>
    <mergeCell ref="M37:N37"/>
    <mergeCell ref="E76:F76"/>
    <mergeCell ref="A77:B77"/>
    <mergeCell ref="A64:B64"/>
    <mergeCell ref="I66:J66"/>
    <mergeCell ref="E61:F61"/>
    <mergeCell ref="A68:B68"/>
    <mergeCell ref="E69:F6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U2:V12"/>
    <mergeCell ref="A5:B5"/>
    <mergeCell ref="E5:F5"/>
    <mergeCell ref="I5:J5"/>
    <mergeCell ref="M5:N5"/>
    <mergeCell ref="Q5:R5"/>
    <mergeCell ref="A9:B9"/>
    <mergeCell ref="E10:F10"/>
    <mergeCell ref="I10:J10"/>
    <mergeCell ref="M10:N10"/>
    <mergeCell ref="U1:V1"/>
    <mergeCell ref="A1:B1"/>
    <mergeCell ref="E1:F1"/>
    <mergeCell ref="I1:J1"/>
    <mergeCell ref="M1:N1"/>
    <mergeCell ref="Q1:R1"/>
  </mergeCells>
  <hyperlinks>
    <hyperlink ref="V14" r:id="rId1" xr:uid="{1FAE58F6-3708-8D44-BFBB-146211AF520E}"/>
    <hyperlink ref="W16" r:id="rId2" xr:uid="{85D015C3-2C48-264C-A399-28B17D9AD4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BB53F-8C6C-4F42-9260-454115A99C13}">
  <dimension ref="A1:AH79"/>
  <sheetViews>
    <sheetView zoomScale="90" zoomScaleNormal="90" workbookViewId="0">
      <selection activeCell="S34" sqref="S34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  <col min="24" max="24" width="21.125" customWidth="1"/>
  </cols>
  <sheetData>
    <row r="1" spans="1:34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>
        <f>V17</f>
        <v>5.2840778361997066E-3</v>
      </c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  <c r="W1" s="1"/>
      <c r="X1" s="3" t="s">
        <v>356</v>
      </c>
    </row>
    <row r="2" spans="1:34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2.5627777505568577E-4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  <c r="W2" s="2"/>
      <c r="Y2" s="17" t="s">
        <v>357</v>
      </c>
      <c r="Z2" s="17"/>
      <c r="AA2" s="17"/>
      <c r="AB2" s="17"/>
      <c r="AC2" s="17"/>
      <c r="AD2" s="17"/>
      <c r="AE2" s="17"/>
      <c r="AF2" s="17"/>
      <c r="AG2" s="17"/>
    </row>
    <row r="3" spans="1:34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5.0278000611440211E-3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  <c r="W3" s="2"/>
      <c r="Y3" s="17"/>
      <c r="Z3" s="17"/>
      <c r="AA3" s="17"/>
      <c r="AB3" s="17"/>
      <c r="AC3" s="17"/>
      <c r="AD3" s="17"/>
      <c r="AE3" s="17"/>
      <c r="AF3" s="17"/>
      <c r="AG3" s="17"/>
    </row>
    <row r="4" spans="1:34" x14ac:dyDescent="0.5">
      <c r="U4" s="14"/>
      <c r="V4" s="14"/>
      <c r="W4" s="2"/>
      <c r="Y4" s="9" t="s">
        <v>358</v>
      </c>
      <c r="Z4" s="9" t="s">
        <v>359</v>
      </c>
      <c r="AA4" s="9" t="s">
        <v>360</v>
      </c>
      <c r="AB4" s="9" t="s">
        <v>361</v>
      </c>
      <c r="AC4" s="9" t="s">
        <v>362</v>
      </c>
      <c r="AD4" s="9" t="s">
        <v>363</v>
      </c>
      <c r="AE4" s="9" t="s">
        <v>364</v>
      </c>
      <c r="AF4" s="9" t="s">
        <v>365</v>
      </c>
      <c r="AG4" s="9" t="s">
        <v>366</v>
      </c>
      <c r="AH4" s="9" t="s">
        <v>367</v>
      </c>
    </row>
    <row r="5" spans="1:34" x14ac:dyDescent="0.5">
      <c r="A5" s="12" t="s">
        <v>17</v>
      </c>
      <c r="B5" s="12"/>
      <c r="C5" s="5"/>
      <c r="E5" s="12" t="s">
        <v>18</v>
      </c>
      <c r="F5" s="13"/>
      <c r="G5" s="5">
        <f>V15</f>
        <v>0.36233529357985322</v>
      </c>
      <c r="I5" s="12" t="s">
        <v>19</v>
      </c>
      <c r="J5" s="12"/>
      <c r="K5" s="5"/>
      <c r="M5" s="12" t="s">
        <v>20</v>
      </c>
      <c r="N5" s="12"/>
      <c r="O5" s="5">
        <f>V20</f>
        <v>1.5754728620702579E-3</v>
      </c>
      <c r="Q5" s="12" t="s">
        <v>21</v>
      </c>
      <c r="R5" s="12"/>
      <c r="S5" s="5">
        <f>V16</f>
        <v>0.22218134963093683</v>
      </c>
      <c r="U5" s="14"/>
      <c r="V5" s="14"/>
      <c r="W5" s="2"/>
      <c r="Y5">
        <v>0.61</v>
      </c>
      <c r="Z5">
        <v>5.8500000000000003E-2</v>
      </c>
      <c r="AA5">
        <v>2.1000000000000001E-2</v>
      </c>
      <c r="AB5">
        <v>9.6299999999999997E-2</v>
      </c>
      <c r="AC5">
        <v>5.0000000000000001E-3</v>
      </c>
      <c r="AD5">
        <v>0.16</v>
      </c>
      <c r="AE5">
        <v>8.0000000000000002E-3</v>
      </c>
      <c r="AF5">
        <v>3.1199999999999999E-2</v>
      </c>
      <c r="AG5">
        <v>0.01</v>
      </c>
    </row>
    <row r="6" spans="1:34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0.36152366252223433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1.2427329936010193E-3</v>
      </c>
      <c r="Q6" s="4" t="s">
        <v>26</v>
      </c>
      <c r="R6" s="4">
        <v>0.92318</v>
      </c>
      <c r="S6" s="6">
        <f>$S$5*R6</f>
        <v>0.20511337835228827</v>
      </c>
      <c r="U6" s="14"/>
      <c r="V6" s="14"/>
      <c r="W6" s="2"/>
      <c r="X6" t="s">
        <v>368</v>
      </c>
      <c r="Y6">
        <f>2*15.9994+28.085</f>
        <v>60.083799999999997</v>
      </c>
      <c r="Z6">
        <f>15.994+6.9675</f>
        <v>22.961500000000001</v>
      </c>
      <c r="AA6">
        <f>15.994+40.078</f>
        <v>56.072000000000003</v>
      </c>
      <c r="AB6">
        <f>15.994*2+47.867</f>
        <v>79.85499999999999</v>
      </c>
      <c r="AC6">
        <f>15.994+24.3055</f>
        <v>40.299499999999995</v>
      </c>
      <c r="AD6">
        <f>15.994+137.327</f>
        <v>153.321</v>
      </c>
      <c r="AE6">
        <f>15.994+87.62</f>
        <v>103.614</v>
      </c>
      <c r="AF6">
        <f>15.994*2+91.224</f>
        <v>123.212</v>
      </c>
      <c r="AG6">
        <f>15.994*2+54.938043</f>
        <v>86.926042999999993</v>
      </c>
    </row>
    <row r="7" spans="1:34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1.3406405862454568E-4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1.5801992806564687E-4</v>
      </c>
      <c r="Q7" s="4" t="s">
        <v>31</v>
      </c>
      <c r="R7" s="4">
        <v>4.6449999999999998E-2</v>
      </c>
      <c r="S7" s="6">
        <f t="shared" ref="S7:S8" si="3">$S$5*R7</f>
        <v>1.0320323690357016E-2</v>
      </c>
      <c r="U7" s="14"/>
      <c r="V7" s="14"/>
      <c r="W7" s="2"/>
      <c r="X7" t="s">
        <v>369</v>
      </c>
      <c r="Y7">
        <f>Y5*Y6</f>
        <v>36.651117999999997</v>
      </c>
      <c r="Z7">
        <f t="shared" ref="Z7:AG7" si="4">Z5*Z6</f>
        <v>1.3432477500000002</v>
      </c>
      <c r="AA7">
        <f t="shared" si="4"/>
        <v>1.1775120000000001</v>
      </c>
      <c r="AB7">
        <f t="shared" si="4"/>
        <v>7.6900364999999988</v>
      </c>
      <c r="AC7">
        <f t="shared" si="4"/>
        <v>0.20149749999999997</v>
      </c>
      <c r="AD7">
        <f t="shared" si="4"/>
        <v>24.531359999999999</v>
      </c>
      <c r="AE7">
        <f t="shared" si="4"/>
        <v>0.82891200000000009</v>
      </c>
      <c r="AF7">
        <f t="shared" si="4"/>
        <v>3.8442143999999998</v>
      </c>
      <c r="AG7">
        <f t="shared" si="4"/>
        <v>0.86926042999999997</v>
      </c>
      <c r="AH7">
        <f>SUM(Y7:AG7)</f>
        <v>77.137158580000005</v>
      </c>
    </row>
    <row r="8" spans="1:34" x14ac:dyDescent="0.5">
      <c r="E8" s="4" t="s">
        <v>32</v>
      </c>
      <c r="F8" s="4">
        <v>1.8699999999999999E-3</v>
      </c>
      <c r="G8" s="6">
        <f t="shared" si="0"/>
        <v>6.7756699899432552E-4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1.7471994040359161E-4</v>
      </c>
      <c r="Q8" s="4" t="s">
        <v>35</v>
      </c>
      <c r="R8" s="4">
        <v>3.0370000000000001E-2</v>
      </c>
      <c r="S8" s="6">
        <f t="shared" si="3"/>
        <v>6.7476475882915516E-3</v>
      </c>
      <c r="U8" s="14"/>
      <c r="V8" s="14"/>
      <c r="W8" s="2"/>
      <c r="X8" t="s">
        <v>370</v>
      </c>
      <c r="Y8">
        <f>Y7/$AH$7</f>
        <v>0.47514218406150677</v>
      </c>
      <c r="Z8">
        <f t="shared" ref="Z8:AG8" si="5">Z7/$AH$7</f>
        <v>1.7413757192091792E-2</v>
      </c>
      <c r="AA8">
        <f t="shared" si="5"/>
        <v>1.5265172086664124E-2</v>
      </c>
      <c r="AB8">
        <f t="shared" si="5"/>
        <v>9.9693022682765225E-2</v>
      </c>
      <c r="AC8">
        <f t="shared" si="5"/>
        <v>2.6121975933430857E-3</v>
      </c>
      <c r="AD8">
        <f t="shared" si="5"/>
        <v>0.31802260352328365</v>
      </c>
      <c r="AE8">
        <f t="shared" si="5"/>
        <v>1.0745949361620885E-2</v>
      </c>
      <c r="AF8">
        <f t="shared" si="5"/>
        <v>4.9836090293799352E-2</v>
      </c>
      <c r="AG8">
        <f t="shared" si="5"/>
        <v>1.1269023204925005E-2</v>
      </c>
      <c r="AH8">
        <f t="shared" ref="AH8:AH12" si="6">SUM(Y8:AG8)</f>
        <v>0.99999999999999989</v>
      </c>
    </row>
    <row r="9" spans="1:34" x14ac:dyDescent="0.5">
      <c r="A9" s="12" t="s">
        <v>36</v>
      </c>
      <c r="B9" s="12"/>
      <c r="C9" s="5"/>
      <c r="U9" s="14"/>
      <c r="V9" s="14"/>
      <c r="W9" s="2"/>
      <c r="X9" t="s">
        <v>371</v>
      </c>
      <c r="Y9">
        <f>15.994*2/Y6</f>
        <v>0.5323897622986562</v>
      </c>
      <c r="Z9">
        <f t="shared" ref="Z9:AE9" si="7">15.994/Z6</f>
        <v>0.69655728066546174</v>
      </c>
      <c r="AA9">
        <f t="shared" si="7"/>
        <v>0.28524040519332283</v>
      </c>
      <c r="AB9">
        <f>15.994*2/AB6</f>
        <v>0.40057604407989483</v>
      </c>
      <c r="AC9">
        <f t="shared" si="7"/>
        <v>0.39687837318080876</v>
      </c>
      <c r="AD9">
        <f t="shared" si="7"/>
        <v>0.1043170863743388</v>
      </c>
      <c r="AE9">
        <f t="shared" si="7"/>
        <v>0.15436137973632905</v>
      </c>
      <c r="AF9">
        <f>15.994*2/AF6</f>
        <v>0.25961756971723532</v>
      </c>
      <c r="AG9">
        <f>15.994*2/AG6</f>
        <v>0.36799098286344406</v>
      </c>
    </row>
    <row r="10" spans="1:34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>
        <f>V18</f>
        <v>1.0910928215318248E-2</v>
      </c>
      <c r="U10" s="14"/>
      <c r="V10" s="14"/>
      <c r="W10" s="2"/>
      <c r="X10" t="s">
        <v>372</v>
      </c>
      <c r="Y10">
        <f>1-Y9</f>
        <v>0.4676102377013438</v>
      </c>
      <c r="Z10">
        <f t="shared" ref="Z10:AG10" si="8">1-Z9</f>
        <v>0.30344271933453826</v>
      </c>
      <c r="AA10">
        <f t="shared" si="8"/>
        <v>0.71475959480667717</v>
      </c>
      <c r="AB10">
        <f t="shared" si="8"/>
        <v>0.59942395592010511</v>
      </c>
      <c r="AC10">
        <f t="shared" si="8"/>
        <v>0.60312162681919124</v>
      </c>
      <c r="AD10">
        <f t="shared" si="8"/>
        <v>0.89568291362566121</v>
      </c>
      <c r="AE10">
        <f t="shared" si="8"/>
        <v>0.84563862026367098</v>
      </c>
      <c r="AF10">
        <f t="shared" si="8"/>
        <v>0.74038243028276463</v>
      </c>
      <c r="AG10">
        <f t="shared" si="8"/>
        <v>0.632009017136556</v>
      </c>
    </row>
    <row r="11" spans="1:34" x14ac:dyDescent="0.5">
      <c r="A11" s="4" t="s">
        <v>42</v>
      </c>
      <c r="B11" s="4">
        <v>7.3200000000000001E-3</v>
      </c>
      <c r="C11" s="6">
        <f t="shared" ref="C11:C13" si="9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1.0577162921211662E-2</v>
      </c>
      <c r="U11" s="14"/>
      <c r="V11" s="14"/>
      <c r="W11" s="2"/>
      <c r="X11" t="s">
        <v>373</v>
      </c>
      <c r="Y11">
        <f>Y10*Y8</f>
        <v>0.22218134963093683</v>
      </c>
      <c r="Z11">
        <f t="shared" ref="Z11:AG11" si="10">Z10*Z8</f>
        <v>5.2840778361997066E-3</v>
      </c>
      <c r="AA11">
        <f t="shared" si="10"/>
        <v>1.0910928215318248E-2</v>
      </c>
      <c r="AB11">
        <f t="shared" si="10"/>
        <v>5.9758386034135899E-2</v>
      </c>
      <c r="AC11">
        <f t="shared" si="10"/>
        <v>1.5754728620702579E-3</v>
      </c>
      <c r="AD11">
        <f t="shared" si="10"/>
        <v>0.28484741212255316</v>
      </c>
      <c r="AE11">
        <f t="shared" si="10"/>
        <v>9.0871897915843613E-3</v>
      </c>
      <c r="AF11">
        <f t="shared" si="10"/>
        <v>3.6897765647514465E-2</v>
      </c>
      <c r="AG11">
        <f t="shared" si="10"/>
        <v>7.1221242798336949E-3</v>
      </c>
      <c r="AH11">
        <f t="shared" si="6"/>
        <v>0.63766470642014672</v>
      </c>
    </row>
    <row r="12" spans="1:34" x14ac:dyDescent="0.5">
      <c r="A12" s="4" t="s">
        <v>47</v>
      </c>
      <c r="B12" s="4">
        <v>3.9649999999999998E-2</v>
      </c>
      <c r="C12" s="6">
        <f t="shared" si="9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11">$K$10*J12</f>
        <v>0</v>
      </c>
      <c r="M12" s="4" t="s">
        <v>50</v>
      </c>
      <c r="N12" s="4">
        <v>1.17E-4</v>
      </c>
      <c r="O12" s="6">
        <f t="shared" ref="O12:O13" si="12">$O$10*N12</f>
        <v>0</v>
      </c>
      <c r="Q12" s="4" t="s">
        <v>51</v>
      </c>
      <c r="R12" s="4">
        <v>6.4700000000000001E-3</v>
      </c>
      <c r="S12" s="6">
        <f t="shared" ref="S12:S16" si="13">$S$10*R12</f>
        <v>7.0593705553109067E-5</v>
      </c>
      <c r="U12" s="14"/>
      <c r="V12" s="14"/>
      <c r="W12" s="2"/>
      <c r="X12" t="s">
        <v>374</v>
      </c>
      <c r="Y12">
        <f>Y9*Y8</f>
        <v>0.25296083443056994</v>
      </c>
      <c r="Z12">
        <f t="shared" ref="Z12:AG12" si="14">Z9*Z8</f>
        <v>1.2129679355892086E-2</v>
      </c>
      <c r="AA12">
        <f t="shared" si="14"/>
        <v>4.3542438713458764E-3</v>
      </c>
      <c r="AB12">
        <f t="shared" si="14"/>
        <v>3.9934636648629319E-2</v>
      </c>
      <c r="AC12">
        <f t="shared" si="14"/>
        <v>1.0367247312728278E-3</v>
      </c>
      <c r="AD12">
        <f t="shared" si="14"/>
        <v>3.3175191400730483E-2</v>
      </c>
      <c r="AE12">
        <f t="shared" si="14"/>
        <v>1.6587595700365242E-3</v>
      </c>
      <c r="AF12">
        <f t="shared" si="14"/>
        <v>1.2938324646284888E-2</v>
      </c>
      <c r="AG12">
        <f t="shared" si="14"/>
        <v>4.1468989250913113E-3</v>
      </c>
      <c r="AH12">
        <f t="shared" si="6"/>
        <v>0.36233529357985322</v>
      </c>
    </row>
    <row r="13" spans="1:34" x14ac:dyDescent="0.5">
      <c r="A13" s="4" t="s">
        <v>52</v>
      </c>
      <c r="B13" s="4">
        <v>1.2999999999999999E-4</v>
      </c>
      <c r="C13" s="6">
        <f t="shared" si="9"/>
        <v>0</v>
      </c>
      <c r="I13" s="4" t="s">
        <v>53</v>
      </c>
      <c r="J13" s="4">
        <v>0.93630000000000002</v>
      </c>
      <c r="K13" s="6">
        <f t="shared" si="11"/>
        <v>0</v>
      </c>
      <c r="M13" s="4" t="s">
        <v>54</v>
      </c>
      <c r="N13" s="4">
        <v>6.7302000000000001E-2</v>
      </c>
      <c r="O13" s="6">
        <f t="shared" si="12"/>
        <v>0</v>
      </c>
      <c r="Q13" s="4" t="s">
        <v>55</v>
      </c>
      <c r="R13" s="4">
        <v>1.3500000000000001E-3</v>
      </c>
      <c r="S13" s="6">
        <f t="shared" si="13"/>
        <v>1.4729753090679636E-5</v>
      </c>
    </row>
    <row r="14" spans="1:34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13"/>
        <v>2.2760196257153866E-4</v>
      </c>
      <c r="U14" t="s">
        <v>58</v>
      </c>
      <c r="V14" s="3" t="s">
        <v>59</v>
      </c>
      <c r="W14" s="3"/>
    </row>
    <row r="15" spans="1:34" x14ac:dyDescent="0.5">
      <c r="A15" s="12" t="s">
        <v>60</v>
      </c>
      <c r="B15" s="12"/>
      <c r="C15" s="5">
        <f>V19</f>
        <v>5.9758386034135899E-2</v>
      </c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13"/>
        <v>4.3643712861272994E-7</v>
      </c>
      <c r="U15" t="s">
        <v>375</v>
      </c>
      <c r="V15">
        <f>AH12</f>
        <v>0.36233529357985322</v>
      </c>
    </row>
    <row r="16" spans="1:34" x14ac:dyDescent="0.5">
      <c r="A16" s="4" t="s">
        <v>65</v>
      </c>
      <c r="B16" s="4">
        <v>8.2500000000000004E-2</v>
      </c>
      <c r="C16" s="6">
        <f>$C$15*B16</f>
        <v>4.9300668478162116E-3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13"/>
        <v>2.0403435762645122E-5</v>
      </c>
      <c r="U16" t="s">
        <v>340</v>
      </c>
      <c r="V16">
        <f>Y11</f>
        <v>0.22218134963093683</v>
      </c>
    </row>
    <row r="17" spans="1:22" x14ac:dyDescent="0.5">
      <c r="A17" s="4" t="s">
        <v>70</v>
      </c>
      <c r="B17" s="4">
        <v>7.4399999999999994E-2</v>
      </c>
      <c r="C17" s="6">
        <f t="shared" ref="C17:C20" si="15">$C$15*B17</f>
        <v>4.4460239209397102E-3</v>
      </c>
      <c r="I17" s="4" t="s">
        <v>71</v>
      </c>
      <c r="J17" s="4">
        <v>0.83789000000000002</v>
      </c>
      <c r="K17" s="6">
        <f t="shared" ref="K17:K19" si="16">$K$15*J17</f>
        <v>0</v>
      </c>
      <c r="M17" s="4" t="s">
        <v>72</v>
      </c>
      <c r="N17" s="4">
        <v>0.91754000000000002</v>
      </c>
      <c r="O17" s="6">
        <f t="shared" ref="O17:O19" si="17">$O$15*N17</f>
        <v>0</v>
      </c>
      <c r="U17" t="s">
        <v>376</v>
      </c>
      <c r="V17">
        <f>Z11</f>
        <v>5.2840778361997066E-3</v>
      </c>
    </row>
    <row r="18" spans="1:22" x14ac:dyDescent="0.5">
      <c r="A18" s="4" t="s">
        <v>73</v>
      </c>
      <c r="B18" s="4">
        <v>0.73719999999999997</v>
      </c>
      <c r="C18" s="6">
        <f t="shared" si="15"/>
        <v>4.4053882184364984E-2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16"/>
        <v>0</v>
      </c>
      <c r="M18" s="4" t="s">
        <v>76</v>
      </c>
      <c r="N18" s="4">
        <v>2.1190000000000001E-2</v>
      </c>
      <c r="O18" s="6">
        <f t="shared" si="17"/>
        <v>0</v>
      </c>
      <c r="Q18" s="12" t="s">
        <v>77</v>
      </c>
      <c r="R18" s="12"/>
      <c r="S18" s="5"/>
      <c r="U18" t="s">
        <v>377</v>
      </c>
      <c r="V18">
        <f>AA11</f>
        <v>1.0910928215318248E-2</v>
      </c>
    </row>
    <row r="19" spans="1:22" x14ac:dyDescent="0.5">
      <c r="A19" s="4" t="s">
        <v>78</v>
      </c>
      <c r="B19" s="4">
        <v>5.4100000000000002E-2</v>
      </c>
      <c r="C19" s="6">
        <f t="shared" si="15"/>
        <v>3.2329286844467522E-3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16"/>
        <v>0</v>
      </c>
      <c r="M19" s="4" t="s">
        <v>81</v>
      </c>
      <c r="N19" s="4">
        <v>2.82E-3</v>
      </c>
      <c r="O19" s="6">
        <f t="shared" si="17"/>
        <v>0</v>
      </c>
      <c r="Q19" s="4" t="s">
        <v>82</v>
      </c>
      <c r="R19" s="4">
        <v>0.68076899999999996</v>
      </c>
      <c r="S19" s="6">
        <f>$S$18*R19</f>
        <v>0</v>
      </c>
      <c r="U19" t="s">
        <v>355</v>
      </c>
      <c r="V19">
        <f>AB11</f>
        <v>5.9758386034135899E-2</v>
      </c>
    </row>
    <row r="20" spans="1:22" x14ac:dyDescent="0.5">
      <c r="A20" s="4" t="s">
        <v>83</v>
      </c>
      <c r="B20" s="4">
        <v>5.1799999999999999E-2</v>
      </c>
      <c r="C20" s="6">
        <f t="shared" si="15"/>
        <v>3.0954843965682395E-3</v>
      </c>
      <c r="E20" s="4" t="s">
        <v>84</v>
      </c>
      <c r="F20" s="4">
        <v>0.27729999999999999</v>
      </c>
      <c r="G20" s="6">
        <f t="shared" ref="G20:G23" si="18">$G$18*F20</f>
        <v>0</v>
      </c>
      <c r="Q20" s="4" t="s">
        <v>85</v>
      </c>
      <c r="R20" s="4">
        <v>0.26223099999999999</v>
      </c>
      <c r="S20" s="6">
        <f t="shared" ref="S20:S23" si="19">$S$18*R20</f>
        <v>0</v>
      </c>
      <c r="U20" t="s">
        <v>378</v>
      </c>
      <c r="V20">
        <f>AC11</f>
        <v>1.5754728620702579E-3</v>
      </c>
    </row>
    <row r="21" spans="1:22" x14ac:dyDescent="0.5">
      <c r="E21" s="4" t="s">
        <v>86</v>
      </c>
      <c r="F21" s="4">
        <v>4.0399999999999998E-2</v>
      </c>
      <c r="G21" s="6">
        <f t="shared" si="18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9"/>
        <v>0</v>
      </c>
      <c r="U21" t="s">
        <v>379</v>
      </c>
      <c r="V21">
        <f>AD11</f>
        <v>0.28484741212255316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8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9"/>
        <v>0</v>
      </c>
      <c r="U22" t="s">
        <v>380</v>
      </c>
      <c r="V22">
        <f>AE11</f>
        <v>9.0871897915843613E-3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8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20">$O$21*N23</f>
        <v>0</v>
      </c>
      <c r="Q23" s="4" t="s">
        <v>99</v>
      </c>
      <c r="R23" s="4">
        <v>9.2560000000000003E-3</v>
      </c>
      <c r="S23" s="6">
        <f t="shared" si="19"/>
        <v>0</v>
      </c>
      <c r="U23" t="s">
        <v>381</v>
      </c>
      <c r="V23">
        <f>AF11</f>
        <v>3.6897765647514465E-2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20"/>
        <v>0</v>
      </c>
      <c r="U24" t="s">
        <v>339</v>
      </c>
      <c r="V24">
        <f>AG11</f>
        <v>7.1221242798336949E-3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20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20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21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22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21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22"/>
        <v>0</v>
      </c>
    </row>
    <row r="29" spans="1:22" x14ac:dyDescent="0.5">
      <c r="E29" s="4" t="s">
        <v>119</v>
      </c>
      <c r="F29" s="4">
        <v>0.115</v>
      </c>
      <c r="G29" s="6">
        <f t="shared" si="21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22"/>
        <v>0</v>
      </c>
    </row>
    <row r="30" spans="1:22" x14ac:dyDescent="0.5">
      <c r="A30" s="12" t="s">
        <v>123</v>
      </c>
      <c r="B30" s="12"/>
      <c r="C30" s="5">
        <f>V23</f>
        <v>3.6897765647514465E-2</v>
      </c>
      <c r="E30" s="4" t="s">
        <v>124</v>
      </c>
      <c r="F30" s="4">
        <v>0.56986999999999999</v>
      </c>
      <c r="G30" s="6">
        <f t="shared" si="21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23">$O$28*N30</f>
        <v>0</v>
      </c>
      <c r="Q30" s="4" t="s">
        <v>127</v>
      </c>
      <c r="R30" s="4">
        <v>0.498</v>
      </c>
      <c r="S30" s="6">
        <f t="shared" si="22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1.898390042564619E-2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24">$K$29*J31</f>
        <v>0</v>
      </c>
      <c r="M31" s="4" t="s">
        <v>131</v>
      </c>
      <c r="N31" s="4">
        <v>0.12759999999999999</v>
      </c>
      <c r="O31" s="6">
        <f t="shared" si="23"/>
        <v>0</v>
      </c>
      <c r="Q31" s="4" t="s">
        <v>132</v>
      </c>
      <c r="R31" s="4">
        <v>8.8200000000000001E-2</v>
      </c>
      <c r="S31" s="6">
        <f t="shared" si="22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25">$C$30*B32</f>
        <v>4.139929305651123E-3</v>
      </c>
      <c r="I32" s="4" t="s">
        <v>134</v>
      </c>
      <c r="J32" s="4">
        <v>0.15873000000000001</v>
      </c>
      <c r="K32" s="6">
        <f t="shared" si="24"/>
        <v>0</v>
      </c>
      <c r="M32" s="4" t="s">
        <v>135</v>
      </c>
      <c r="N32" s="4">
        <v>0.126</v>
      </c>
      <c r="O32" s="6">
        <f t="shared" si="23"/>
        <v>0</v>
      </c>
    </row>
    <row r="33" spans="1:19" x14ac:dyDescent="0.5">
      <c r="A33" s="4" t="s">
        <v>136</v>
      </c>
      <c r="B33" s="4">
        <v>0.17150000000000001</v>
      </c>
      <c r="C33" s="6">
        <f t="shared" si="25"/>
        <v>6.3279668085487314E-3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24"/>
        <v>0</v>
      </c>
      <c r="M33" s="4" t="s">
        <v>139</v>
      </c>
      <c r="N33" s="4">
        <v>0.1706</v>
      </c>
      <c r="O33" s="6">
        <f t="shared" si="23"/>
        <v>0</v>
      </c>
      <c r="Q33" s="12" t="s">
        <v>140</v>
      </c>
      <c r="R33" s="12"/>
      <c r="S33" s="5">
        <f>V22</f>
        <v>9.0871897915843613E-3</v>
      </c>
    </row>
    <row r="34" spans="1:19" x14ac:dyDescent="0.5">
      <c r="A34" s="4" t="s">
        <v>141</v>
      </c>
      <c r="B34" s="4">
        <v>0.17380000000000001</v>
      </c>
      <c r="C34" s="6">
        <f t="shared" si="25"/>
        <v>6.4128316695380144E-3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24"/>
        <v>0</v>
      </c>
      <c r="M34" s="4" t="s">
        <v>144</v>
      </c>
      <c r="N34" s="4">
        <v>0.3155</v>
      </c>
      <c r="O34" s="6">
        <f t="shared" si="23"/>
        <v>0</v>
      </c>
      <c r="Q34" s="4" t="s">
        <v>145</v>
      </c>
      <c r="R34" s="4">
        <v>5.5999999999999999E-3</v>
      </c>
      <c r="S34" s="6">
        <f>$S$33*R34</f>
        <v>5.0888262832872421E-5</v>
      </c>
    </row>
    <row r="35" spans="1:19" x14ac:dyDescent="0.5">
      <c r="A35" s="4" t="s">
        <v>146</v>
      </c>
      <c r="B35" s="4">
        <v>2.8000000000000001E-2</v>
      </c>
      <c r="C35" s="6">
        <f t="shared" si="25"/>
        <v>1.0331374381304049E-3</v>
      </c>
      <c r="E35" s="4" t="s">
        <v>147</v>
      </c>
      <c r="F35" s="4">
        <v>0.1114</v>
      </c>
      <c r="G35" s="6">
        <f t="shared" ref="G35:G39" si="26">$G$33*F35</f>
        <v>0</v>
      </c>
      <c r="I35" s="4" t="s">
        <v>148</v>
      </c>
      <c r="J35" s="4">
        <v>0.24292</v>
      </c>
      <c r="K35" s="6">
        <f t="shared" si="24"/>
        <v>0</v>
      </c>
      <c r="M35" s="4" t="s">
        <v>149</v>
      </c>
      <c r="N35" s="4">
        <v>0.1862</v>
      </c>
      <c r="O35" s="6">
        <f t="shared" si="23"/>
        <v>0</v>
      </c>
      <c r="Q35" s="4" t="s">
        <v>150</v>
      </c>
      <c r="R35" s="4">
        <v>9.8599999999999993E-2</v>
      </c>
      <c r="S35" s="6">
        <f t="shared" ref="S35:S37" si="27">$S$33*R35</f>
        <v>8.9599691345021795E-4</v>
      </c>
    </row>
    <row r="36" spans="1:19" x14ac:dyDescent="0.5">
      <c r="E36" s="4" t="s">
        <v>151</v>
      </c>
      <c r="F36" s="4">
        <v>0.2233</v>
      </c>
      <c r="G36" s="6">
        <f t="shared" si="26"/>
        <v>0</v>
      </c>
      <c r="I36" s="4" t="s">
        <v>152</v>
      </c>
      <c r="J36" s="4">
        <v>9.7439999999999999E-2</v>
      </c>
      <c r="K36" s="6">
        <f t="shared" si="24"/>
        <v>0</v>
      </c>
      <c r="Q36" s="4" t="s">
        <v>153</v>
      </c>
      <c r="R36" s="4">
        <v>7.0000000000000007E-2</v>
      </c>
      <c r="S36" s="6">
        <f t="shared" si="27"/>
        <v>6.3610328541090536E-4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26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7"/>
        <v>7.5042013298903653E-3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26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26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8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9">$K$38*J40</f>
        <v>0</v>
      </c>
      <c r="M40" s="4" t="s">
        <v>168</v>
      </c>
      <c r="N40" s="4">
        <v>3.3999999999999998E-3</v>
      </c>
      <c r="O40" s="6">
        <f t="shared" si="28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9"/>
        <v>0</v>
      </c>
      <c r="M41" s="4" t="s">
        <v>173</v>
      </c>
      <c r="N41" s="4">
        <v>0.1454</v>
      </c>
      <c r="O41" s="6">
        <f t="shared" si="28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9"/>
        <v>0</v>
      </c>
      <c r="M42" s="4" t="s">
        <v>178</v>
      </c>
      <c r="N42" s="4">
        <v>7.6799999999999993E-2</v>
      </c>
      <c r="O42" s="6">
        <f t="shared" si="28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30">$C$41*B43</f>
        <v>0</v>
      </c>
      <c r="E43" s="4" t="s">
        <v>180</v>
      </c>
      <c r="F43" s="4">
        <v>8.8999999999999995E-4</v>
      </c>
      <c r="G43" s="6">
        <f t="shared" ref="G43:G50" si="31">$G$41*F43</f>
        <v>0</v>
      </c>
      <c r="I43" s="4" t="s">
        <v>181</v>
      </c>
      <c r="J43" s="4">
        <v>0.24109</v>
      </c>
      <c r="K43" s="6">
        <f t="shared" si="29"/>
        <v>0</v>
      </c>
      <c r="M43" s="4" t="s">
        <v>182</v>
      </c>
      <c r="N43" s="4">
        <v>0.2422</v>
      </c>
      <c r="O43" s="6">
        <f t="shared" si="28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30"/>
        <v>0</v>
      </c>
      <c r="E44" s="4" t="s">
        <v>185</v>
      </c>
      <c r="F44" s="4">
        <v>1.9099999999999999E-2</v>
      </c>
      <c r="G44" s="6">
        <f t="shared" si="31"/>
        <v>0</v>
      </c>
      <c r="I44" s="4" t="s">
        <v>186</v>
      </c>
      <c r="J44" s="4">
        <v>0.12227</v>
      </c>
      <c r="K44" s="6">
        <f t="shared" si="29"/>
        <v>0</v>
      </c>
      <c r="M44" s="4" t="s">
        <v>187</v>
      </c>
      <c r="N44" s="4">
        <v>8.5900000000000004E-2</v>
      </c>
      <c r="O44" s="6">
        <f t="shared" si="28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30"/>
        <v>0</v>
      </c>
      <c r="E45" s="4" t="s">
        <v>190</v>
      </c>
      <c r="F45" s="4">
        <v>0.26401000000000002</v>
      </c>
      <c r="G45" s="6">
        <f t="shared" si="31"/>
        <v>0</v>
      </c>
      <c r="I45" s="4" t="s">
        <v>191</v>
      </c>
      <c r="J45" s="4">
        <v>0.28754000000000002</v>
      </c>
      <c r="K45" s="6">
        <f t="shared" si="29"/>
        <v>0</v>
      </c>
      <c r="M45" s="4" t="s">
        <v>192</v>
      </c>
      <c r="N45" s="4">
        <v>0.32579999999999998</v>
      </c>
      <c r="O45" s="6">
        <f t="shared" si="28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30"/>
        <v>0</v>
      </c>
      <c r="E46" s="4" t="s">
        <v>195</v>
      </c>
      <c r="F46" s="4">
        <v>4.0710000000000003E-2</v>
      </c>
      <c r="G46" s="6">
        <f t="shared" si="31"/>
        <v>0</v>
      </c>
      <c r="I46" s="4" t="s">
        <v>196</v>
      </c>
      <c r="J46" s="4">
        <v>7.5120000000000006E-2</v>
      </c>
      <c r="K46" s="6">
        <f t="shared" si="29"/>
        <v>0</v>
      </c>
      <c r="M46" s="4" t="s">
        <v>197</v>
      </c>
      <c r="N46" s="4">
        <v>4.6300000000000001E-2</v>
      </c>
      <c r="O46" s="6">
        <f t="shared" si="28"/>
        <v>0</v>
      </c>
    </row>
    <row r="47" spans="1:19" x14ac:dyDescent="0.5">
      <c r="A47" s="4" t="s">
        <v>198</v>
      </c>
      <c r="B47" s="4">
        <v>0.18840000000000001</v>
      </c>
      <c r="C47" s="6">
        <f t="shared" si="30"/>
        <v>0</v>
      </c>
      <c r="E47" s="4" t="s">
        <v>199</v>
      </c>
      <c r="F47" s="4">
        <v>0.21232000000000001</v>
      </c>
      <c r="G47" s="6">
        <f t="shared" si="31"/>
        <v>0</v>
      </c>
      <c r="M47" s="4" t="s">
        <v>200</v>
      </c>
      <c r="N47" s="4">
        <v>5.79E-2</v>
      </c>
      <c r="O47" s="6">
        <f t="shared" si="28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30"/>
        <v>0</v>
      </c>
      <c r="E48" s="4" t="s">
        <v>203</v>
      </c>
      <c r="F48" s="4">
        <v>0.26909</v>
      </c>
      <c r="G48" s="6">
        <f t="shared" si="31"/>
        <v>0</v>
      </c>
      <c r="I48" s="12" t="s">
        <v>204</v>
      </c>
      <c r="J48" s="12"/>
      <c r="K48" s="5">
        <f>V21</f>
        <v>0.28484741212255316</v>
      </c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30"/>
        <v>0</v>
      </c>
      <c r="E49" s="4" t="s">
        <v>207</v>
      </c>
      <c r="F49" s="4">
        <v>0.10435999999999999</v>
      </c>
      <c r="G49" s="6">
        <f t="shared" si="31"/>
        <v>0</v>
      </c>
      <c r="I49" s="4" t="s">
        <v>208</v>
      </c>
      <c r="J49" s="4">
        <v>1.1000000000000001E-3</v>
      </c>
      <c r="K49" s="6">
        <f>$K$48*J49</f>
        <v>3.1333215333480849E-4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31"/>
        <v>0</v>
      </c>
      <c r="I50" s="4" t="s">
        <v>212</v>
      </c>
      <c r="J50" s="4">
        <v>1E-3</v>
      </c>
      <c r="K50" s="6">
        <f t="shared" ref="K50:K55" si="32">$K$48*J50</f>
        <v>2.8484741212255317E-4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32"/>
        <v>6.8933073733657858E-3</v>
      </c>
      <c r="M51" s="4" t="s">
        <v>216</v>
      </c>
      <c r="N51" s="4">
        <v>0.12174</v>
      </c>
      <c r="O51" s="6">
        <f t="shared" ref="O51:O56" si="33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32"/>
        <v>1.8771444458876255E-2</v>
      </c>
      <c r="M52" s="4" t="s">
        <v>221</v>
      </c>
      <c r="N52" s="4">
        <v>0.23798</v>
      </c>
      <c r="O52" s="6">
        <f t="shared" si="33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34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32"/>
        <v>2.2360521851620421E-2</v>
      </c>
      <c r="M53" s="4" t="s">
        <v>226</v>
      </c>
      <c r="N53" s="4">
        <v>8.2930000000000004E-2</v>
      </c>
      <c r="O53" s="6">
        <f t="shared" si="33"/>
        <v>0</v>
      </c>
      <c r="Q53" s="4" t="s">
        <v>227</v>
      </c>
      <c r="R53" s="4">
        <v>2.5100000000000001E-3</v>
      </c>
      <c r="S53" s="6">
        <f t="shared" ref="S53:S55" si="35">$S$51*R53</f>
        <v>0</v>
      </c>
    </row>
    <row r="54" spans="1:19" x14ac:dyDescent="0.5">
      <c r="A54" s="4" t="s">
        <v>228</v>
      </c>
      <c r="B54" s="4">
        <v>0.1125</v>
      </c>
      <c r="C54" s="6">
        <f t="shared" si="34"/>
        <v>0</v>
      </c>
      <c r="E54" s="4" t="s">
        <v>229</v>
      </c>
      <c r="F54" s="4">
        <v>2.18E-2</v>
      </c>
      <c r="G54" s="6">
        <f t="shared" ref="G54:G59" si="36">$G$52*F54</f>
        <v>0</v>
      </c>
      <c r="I54" s="4" t="s">
        <v>230</v>
      </c>
      <c r="J54" s="4">
        <v>0.1123</v>
      </c>
      <c r="K54" s="6">
        <f t="shared" si="32"/>
        <v>3.1988364381362717E-2</v>
      </c>
      <c r="M54" s="4" t="s">
        <v>231</v>
      </c>
      <c r="N54" s="4">
        <v>0.17188999999999999</v>
      </c>
      <c r="O54" s="6">
        <f t="shared" si="33"/>
        <v>0</v>
      </c>
      <c r="Q54" s="4" t="s">
        <v>232</v>
      </c>
      <c r="R54" s="4">
        <v>0.88449999999999995</v>
      </c>
      <c r="S54" s="6">
        <f t="shared" si="35"/>
        <v>0</v>
      </c>
    </row>
    <row r="55" spans="1:19" x14ac:dyDescent="0.5">
      <c r="A55" s="4" t="s">
        <v>233</v>
      </c>
      <c r="B55" s="4">
        <v>0.13819999999999999</v>
      </c>
      <c r="C55" s="6">
        <f t="shared" si="34"/>
        <v>0</v>
      </c>
      <c r="E55" s="4" t="s">
        <v>234</v>
      </c>
      <c r="F55" s="4">
        <v>0.14799999999999999</v>
      </c>
      <c r="G55" s="6">
        <f t="shared" si="36"/>
        <v>0</v>
      </c>
      <c r="I55" s="4" t="s">
        <v>235</v>
      </c>
      <c r="J55" s="4">
        <v>0.71699999999999997</v>
      </c>
      <c r="K55" s="6">
        <f t="shared" si="32"/>
        <v>0.20423559449187059</v>
      </c>
      <c r="M55" s="4" t="s">
        <v>236</v>
      </c>
      <c r="N55" s="4">
        <v>5.756E-2</v>
      </c>
      <c r="O55" s="6">
        <f t="shared" si="33"/>
        <v>0</v>
      </c>
      <c r="Q55" s="4" t="s">
        <v>237</v>
      </c>
      <c r="R55" s="4">
        <v>0.11114</v>
      </c>
      <c r="S55" s="6">
        <f t="shared" si="35"/>
        <v>0</v>
      </c>
    </row>
    <row r="56" spans="1:19" x14ac:dyDescent="0.5">
      <c r="A56" s="4" t="s">
        <v>238</v>
      </c>
      <c r="B56" s="4">
        <v>7.3700000000000002E-2</v>
      </c>
      <c r="C56" s="6">
        <f t="shared" si="34"/>
        <v>0</v>
      </c>
      <c r="E56" s="4" t="s">
        <v>239</v>
      </c>
      <c r="F56" s="4">
        <v>0.20469999999999999</v>
      </c>
      <c r="G56" s="6">
        <f t="shared" si="36"/>
        <v>0</v>
      </c>
      <c r="M56" s="4" t="s">
        <v>240</v>
      </c>
      <c r="N56" s="4">
        <v>5.638E-2</v>
      </c>
      <c r="O56" s="6">
        <f t="shared" si="33"/>
        <v>0</v>
      </c>
    </row>
    <row r="57" spans="1:19" x14ac:dyDescent="0.5">
      <c r="A57" s="4" t="s">
        <v>241</v>
      </c>
      <c r="B57" s="4">
        <v>0.26740000000000003</v>
      </c>
      <c r="C57" s="6">
        <f t="shared" si="34"/>
        <v>0</v>
      </c>
      <c r="E57" s="4" t="s">
        <v>242</v>
      </c>
      <c r="F57" s="4">
        <v>0.1565</v>
      </c>
      <c r="G57" s="6">
        <f t="shared" si="36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34"/>
        <v>0</v>
      </c>
      <c r="E58" s="4" t="s">
        <v>246</v>
      </c>
      <c r="F58" s="4">
        <v>0.24840000000000001</v>
      </c>
      <c r="G58" s="6">
        <f t="shared" si="36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36"/>
        <v>0</v>
      </c>
      <c r="I59" s="4" t="s">
        <v>251</v>
      </c>
      <c r="J59" s="4">
        <v>9.5E-4</v>
      </c>
      <c r="K59" s="6">
        <f t="shared" ref="K59:K64" si="37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8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7"/>
        <v>0</v>
      </c>
      <c r="M60" s="4" t="s">
        <v>256</v>
      </c>
      <c r="N60" s="4">
        <v>1.601E-2</v>
      </c>
      <c r="O60" s="6">
        <f t="shared" ref="O60:O64" si="39">$O$58*N60</f>
        <v>0</v>
      </c>
      <c r="Q60" s="4" t="s">
        <v>257</v>
      </c>
      <c r="R60" s="4">
        <v>0.14216000000000001</v>
      </c>
      <c r="S60" s="6">
        <f t="shared" si="38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7"/>
        <v>0</v>
      </c>
      <c r="M61" s="4" t="s">
        <v>261</v>
      </c>
      <c r="N61" s="4">
        <v>0.33502999999999999</v>
      </c>
      <c r="O61" s="6">
        <f t="shared" si="39"/>
        <v>0</v>
      </c>
      <c r="Q61" s="4" t="s">
        <v>262</v>
      </c>
      <c r="R61" s="4">
        <v>0.21754000000000001</v>
      </c>
      <c r="S61" s="6">
        <f t="shared" si="38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7"/>
        <v>0</v>
      </c>
      <c r="M62" s="4" t="s">
        <v>266</v>
      </c>
      <c r="N62" s="4">
        <v>0.22869</v>
      </c>
      <c r="O62" s="6">
        <f t="shared" si="39"/>
        <v>0</v>
      </c>
      <c r="Q62" s="4" t="s">
        <v>267</v>
      </c>
      <c r="R62" s="4">
        <v>0.16098000000000001</v>
      </c>
      <c r="S62" s="6">
        <f t="shared" si="38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40">$G$61*F63</f>
        <v>0</v>
      </c>
      <c r="I63" s="4" t="s">
        <v>269</v>
      </c>
      <c r="J63" s="4">
        <v>0.24895999999999999</v>
      </c>
      <c r="K63" s="6">
        <f t="shared" si="37"/>
        <v>0</v>
      </c>
      <c r="M63" s="4" t="s">
        <v>270</v>
      </c>
      <c r="N63" s="4">
        <v>0.26978000000000002</v>
      </c>
      <c r="O63" s="6">
        <f t="shared" si="39"/>
        <v>0</v>
      </c>
      <c r="Q63" s="4" t="s">
        <v>271</v>
      </c>
      <c r="R63" s="4">
        <v>0.31896000000000002</v>
      </c>
      <c r="S63" s="6">
        <f t="shared" si="38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40"/>
        <v>0</v>
      </c>
      <c r="I64" s="4" t="s">
        <v>274</v>
      </c>
      <c r="J64" s="4">
        <v>0.28260000000000002</v>
      </c>
      <c r="K64" s="6">
        <f t="shared" si="37"/>
        <v>0</v>
      </c>
      <c r="M64" s="4" t="s">
        <v>275</v>
      </c>
      <c r="N64" s="4">
        <v>0.14910000000000001</v>
      </c>
      <c r="O64" s="6">
        <f t="shared" si="39"/>
        <v>0</v>
      </c>
      <c r="Q64" s="4" t="s">
        <v>276</v>
      </c>
      <c r="R64" s="4">
        <v>0.12887000000000001</v>
      </c>
      <c r="S64" s="6">
        <f t="shared" si="38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40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40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40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41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41"/>
        <v>0</v>
      </c>
      <c r="E71" s="4" t="s">
        <v>300</v>
      </c>
      <c r="F71" s="4">
        <v>0.26500000000000001</v>
      </c>
      <c r="G71" s="6">
        <f t="shared" ref="G71:G74" si="42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41"/>
        <v>0</v>
      </c>
      <c r="E72" s="4" t="s">
        <v>305</v>
      </c>
      <c r="F72" s="4">
        <v>0.1431</v>
      </c>
      <c r="G72" s="6">
        <f t="shared" si="42"/>
        <v>0</v>
      </c>
      <c r="I72" s="4" t="s">
        <v>306</v>
      </c>
      <c r="J72" s="4">
        <v>7.8200000000000006E-3</v>
      </c>
      <c r="K72" s="6">
        <f t="shared" ref="K72:K76" si="43">$K$70*J72</f>
        <v>0</v>
      </c>
      <c r="M72" s="4" t="s">
        <v>307</v>
      </c>
      <c r="N72" s="4">
        <v>0.1004</v>
      </c>
      <c r="O72" s="6">
        <f t="shared" ref="O72:O77" si="44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41"/>
        <v>0</v>
      </c>
      <c r="E73" s="4" t="s">
        <v>310</v>
      </c>
      <c r="F73" s="4">
        <v>0.30640000000000001</v>
      </c>
      <c r="G73" s="6">
        <f t="shared" si="42"/>
        <v>0</v>
      </c>
      <c r="I73" s="4" t="s">
        <v>311</v>
      </c>
      <c r="J73" s="4">
        <v>0.32863999999999999</v>
      </c>
      <c r="K73" s="6">
        <f t="shared" si="43"/>
        <v>0</v>
      </c>
      <c r="M73" s="4" t="s">
        <v>312</v>
      </c>
      <c r="N73" s="4">
        <v>0.1694</v>
      </c>
      <c r="O73" s="6">
        <f t="shared" si="44"/>
        <v>0</v>
      </c>
    </row>
    <row r="74" spans="1:19" x14ac:dyDescent="0.5">
      <c r="A74" s="4" t="s">
        <v>313</v>
      </c>
      <c r="B74" s="4">
        <v>0.2626</v>
      </c>
      <c r="C74" s="6">
        <f t="shared" si="41"/>
        <v>0</v>
      </c>
      <c r="E74" s="4" t="s">
        <v>314</v>
      </c>
      <c r="F74" s="4">
        <v>0.2843</v>
      </c>
      <c r="G74" s="6">
        <f t="shared" si="42"/>
        <v>0</v>
      </c>
      <c r="I74" s="4" t="s">
        <v>315</v>
      </c>
      <c r="J74" s="4">
        <v>0.33774999999999999</v>
      </c>
      <c r="K74" s="6">
        <f t="shared" si="43"/>
        <v>0</v>
      </c>
      <c r="M74" s="4" t="s">
        <v>316</v>
      </c>
      <c r="N74" s="4">
        <v>0.23139999999999999</v>
      </c>
      <c r="O74" s="6">
        <f t="shared" si="44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41"/>
        <v>0</v>
      </c>
      <c r="I75" s="4" t="s">
        <v>319</v>
      </c>
      <c r="J75" s="4">
        <v>0.25211</v>
      </c>
      <c r="K75" s="6">
        <f t="shared" si="43"/>
        <v>0</v>
      </c>
      <c r="M75" s="4" t="s">
        <v>320</v>
      </c>
      <c r="N75" s="4">
        <v>0.13170000000000001</v>
      </c>
      <c r="O75" s="6">
        <f t="shared" si="44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43"/>
        <v>0</v>
      </c>
      <c r="M76" s="4" t="s">
        <v>324</v>
      </c>
      <c r="N76" s="4">
        <v>0.2974</v>
      </c>
      <c r="O76" s="6">
        <f t="shared" si="44"/>
        <v>0</v>
      </c>
      <c r="Q76" s="4" t="s">
        <v>325</v>
      </c>
      <c r="R76" s="4">
        <v>0.24099999999999999</v>
      </c>
      <c r="S76" s="6">
        <f t="shared" ref="S76:S78" si="45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44"/>
        <v>0</v>
      </c>
      <c r="Q77" s="4" t="s">
        <v>329</v>
      </c>
      <c r="R77" s="4">
        <v>0.221</v>
      </c>
      <c r="S77" s="6">
        <f t="shared" si="45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46">$G$76*F78</f>
        <v>0</v>
      </c>
      <c r="Q78" s="4" t="s">
        <v>332</v>
      </c>
      <c r="R78" s="4">
        <v>0.52400000000000002</v>
      </c>
      <c r="S78" s="6">
        <f t="shared" si="45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46"/>
        <v>0</v>
      </c>
    </row>
  </sheetData>
  <mergeCells count="66">
    <mergeCell ref="Q74:R74"/>
    <mergeCell ref="Q66:R66"/>
    <mergeCell ref="Q33:R33"/>
    <mergeCell ref="I21:J21"/>
    <mergeCell ref="M21:N21"/>
    <mergeCell ref="M66:N66"/>
    <mergeCell ref="A60:B60"/>
    <mergeCell ref="Q43:R43"/>
    <mergeCell ref="Q47:R47"/>
    <mergeCell ref="I48:J48"/>
    <mergeCell ref="M49:N49"/>
    <mergeCell ref="E52:F52"/>
    <mergeCell ref="I57:J57"/>
    <mergeCell ref="Q57:R57"/>
    <mergeCell ref="M58:N58"/>
    <mergeCell ref="A51:B51"/>
    <mergeCell ref="Y2:AG3"/>
    <mergeCell ref="I70:J70"/>
    <mergeCell ref="M70:N70"/>
    <mergeCell ref="Q70:R70"/>
    <mergeCell ref="U2:V12"/>
    <mergeCell ref="Q51:R51"/>
    <mergeCell ref="E76:F76"/>
    <mergeCell ref="A77:B77"/>
    <mergeCell ref="A64:B64"/>
    <mergeCell ref="I66:J66"/>
    <mergeCell ref="E61:F61"/>
    <mergeCell ref="A68:B68"/>
    <mergeCell ref="E69:F69"/>
    <mergeCell ref="A37:B37"/>
    <mergeCell ref="M37:N37"/>
    <mergeCell ref="I38:J38"/>
    <mergeCell ref="Q39:R39"/>
    <mergeCell ref="A41:B41"/>
    <mergeCell ref="E41:F41"/>
    <mergeCell ref="A26:B26"/>
    <mergeCell ref="M28:N28"/>
    <mergeCell ref="I29:J29"/>
    <mergeCell ref="A30:B30"/>
    <mergeCell ref="E33:F33"/>
    <mergeCell ref="A22:B22"/>
    <mergeCell ref="E25:F25"/>
    <mergeCell ref="I25:J25"/>
    <mergeCell ref="Q25:R25"/>
    <mergeCell ref="Q10:R10"/>
    <mergeCell ref="E14:F14"/>
    <mergeCell ref="A15:B15"/>
    <mergeCell ref="I15:J15"/>
    <mergeCell ref="M15:N15"/>
    <mergeCell ref="E18:F18"/>
    <mergeCell ref="Q18:R18"/>
    <mergeCell ref="Q1:R1"/>
    <mergeCell ref="U1:V1"/>
    <mergeCell ref="A9:B9"/>
    <mergeCell ref="E10:F10"/>
    <mergeCell ref="I10:J10"/>
    <mergeCell ref="M10:N10"/>
    <mergeCell ref="A1:B1"/>
    <mergeCell ref="E1:F1"/>
    <mergeCell ref="I1:J1"/>
    <mergeCell ref="M1:N1"/>
    <mergeCell ref="A5:B5"/>
    <mergeCell ref="E5:F5"/>
    <mergeCell ref="I5:J5"/>
    <mergeCell ref="M5:N5"/>
    <mergeCell ref="Q5:R5"/>
  </mergeCells>
  <hyperlinks>
    <hyperlink ref="V14" r:id="rId1" xr:uid="{59747C11-8057-E749-9A47-D089858DC3CA}"/>
    <hyperlink ref="X1" r:id="rId2" xr:uid="{4A101E27-5E59-C541-BC93-FFF96247400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4EFBD-EC28-BC42-AF24-2987008CBF8B}">
  <dimension ref="A1:V79"/>
  <sheetViews>
    <sheetView topLeftCell="C1" zoomScale="90" zoomScaleNormal="90" workbookViewId="0">
      <selection activeCell="U17" sqref="U17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>
        <f>V18</f>
        <v>0.63967962107924303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0.63824673872802551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2.3668145979931991E-4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1.1962008914181844E-3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f>9.0121831/(9.0121831+15.9994)</f>
        <v>0.36032037892075691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375</v>
      </c>
      <c r="V18">
        <f>1-V17</f>
        <v>0.63967962107924303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6396BDC7-CC8E-094F-8D2C-0D0D4A631B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0932-DCBC-0A4D-AFF9-522A688F46CA}">
  <dimension ref="A1:V79"/>
  <sheetViews>
    <sheetView topLeftCell="C1" zoomScale="90" zoomScaleNormal="90" workbookViewId="0">
      <selection activeCell="V18" sqref="V18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383</v>
      </c>
      <c r="V17">
        <v>1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FF8BBF0E-ACD7-1F41-8DC3-414CCA0A72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ED09-0D40-5C45-9277-B36AC58B2CB8}">
  <dimension ref="A1:V79"/>
  <sheetViews>
    <sheetView zoomScale="90" zoomScaleNormal="90" workbookViewId="0">
      <selection activeCell="V18" sqref="V18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/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0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0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>
        <f>V18</f>
        <v>0.78</v>
      </c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0.72741317999999999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9.1260000000000004E-5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5.2495560000000004E-2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  <c r="U16" s="8" t="s">
        <v>382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t="s">
        <v>384</v>
      </c>
      <c r="V17">
        <f>1-0.78</f>
        <v>0.21999999999999997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385</v>
      </c>
      <c r="V18">
        <v>0.78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/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0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0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0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D6C09FC6-787D-2047-80C4-D39A12F1973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3AF18-D9CF-0342-92C2-C589CAB658FB}">
  <dimension ref="A1:V79"/>
  <sheetViews>
    <sheetView topLeftCell="A71" zoomScale="90" zoomScaleNormal="90" workbookViewId="0">
      <selection activeCell="D51" sqref="D51"/>
    </sheetView>
  </sheetViews>
  <sheetFormatPr defaultColWidth="11" defaultRowHeight="15.75" x14ac:dyDescent="0.5"/>
  <cols>
    <col min="1" max="2" width="13.875" customWidth="1"/>
    <col min="3" max="3" width="10.875" style="7"/>
    <col min="5" max="6" width="13.875" customWidth="1"/>
    <col min="7" max="7" width="10.875" style="7"/>
    <col min="9" max="10" width="13.875" customWidth="1"/>
    <col min="11" max="11" width="10.875" style="7"/>
    <col min="13" max="14" width="13.875" customWidth="1"/>
    <col min="15" max="15" width="10.875" style="7"/>
    <col min="17" max="18" width="13.875" customWidth="1"/>
    <col min="19" max="19" width="10.875" style="7"/>
  </cols>
  <sheetData>
    <row r="1" spans="1:22" x14ac:dyDescent="0.5">
      <c r="A1" s="12" t="s">
        <v>0</v>
      </c>
      <c r="B1" s="12"/>
      <c r="C1" s="5"/>
      <c r="E1" s="12" t="s">
        <v>1</v>
      </c>
      <c r="F1" s="12"/>
      <c r="G1" s="5"/>
      <c r="I1" s="12" t="s">
        <v>2</v>
      </c>
      <c r="J1" s="12"/>
      <c r="K1" s="5"/>
      <c r="M1" s="12" t="s">
        <v>3</v>
      </c>
      <c r="N1" s="12"/>
      <c r="O1" s="5"/>
      <c r="Q1" s="12" t="s">
        <v>4</v>
      </c>
      <c r="R1" s="12"/>
      <c r="S1" s="5"/>
      <c r="U1" s="15" t="s">
        <v>5</v>
      </c>
      <c r="V1" s="15"/>
    </row>
    <row r="2" spans="1:22" ht="15.95" customHeight="1" x14ac:dyDescent="0.5">
      <c r="A2" s="4" t="s">
        <v>6</v>
      </c>
      <c r="B2" s="4">
        <f>AVERAGE(0.99972,0.99999)</f>
        <v>0.99985500000000005</v>
      </c>
      <c r="C2" s="6">
        <f>$C$1*B2</f>
        <v>0</v>
      </c>
      <c r="E2" s="4" t="s">
        <v>7</v>
      </c>
      <c r="F2" s="4">
        <v>1.9999999999999999E-6</v>
      </c>
      <c r="G2" s="6">
        <f>$G$1*F2</f>
        <v>0</v>
      </c>
      <c r="I2" s="4" t="s">
        <v>8</v>
      </c>
      <c r="J2" s="4">
        <f>AVERAGE(0.019,0.078)</f>
        <v>4.8500000000000001E-2</v>
      </c>
      <c r="K2" s="6">
        <f>$K$1*J2</f>
        <v>0</v>
      </c>
      <c r="M2" s="4" t="s">
        <v>9</v>
      </c>
      <c r="N2" s="4">
        <f>AVERAGE(0.189,0.204)</f>
        <v>0.19650000000000001</v>
      </c>
      <c r="O2" s="6">
        <f>$O$1*N2</f>
        <v>0</v>
      </c>
      <c r="Q2" s="4" t="s">
        <v>10</v>
      </c>
      <c r="R2" s="4">
        <f>AVERAGE(0.9884,0.9904)</f>
        <v>0.98939999999999995</v>
      </c>
      <c r="S2" s="6">
        <f>$S$1*R2</f>
        <v>0</v>
      </c>
      <c r="U2" s="14" t="s">
        <v>11</v>
      </c>
      <c r="V2" s="14"/>
    </row>
    <row r="3" spans="1:22" x14ac:dyDescent="0.5">
      <c r="A3" s="4" t="s">
        <v>12</v>
      </c>
      <c r="B3" s="4">
        <f>AVERAGE(0.00001,0.00028)</f>
        <v>1.45E-4</v>
      </c>
      <c r="C3" s="6">
        <f>$C$1*B3</f>
        <v>0</v>
      </c>
      <c r="E3" s="4" t="s">
        <v>13</v>
      </c>
      <c r="F3" s="4">
        <v>0.99999800000000005</v>
      </c>
      <c r="G3" s="6">
        <f>$G$1*F3</f>
        <v>0</v>
      </c>
      <c r="I3" s="4" t="s">
        <v>14</v>
      </c>
      <c r="J3" s="4">
        <f>AVERAGE(0.922,0.981)</f>
        <v>0.95150000000000001</v>
      </c>
      <c r="K3" s="6">
        <f>$K$1*J3</f>
        <v>0</v>
      </c>
      <c r="M3" s="4" t="s">
        <v>15</v>
      </c>
      <c r="N3" s="4">
        <f>AVERAGE(0.796,0.811)</f>
        <v>0.8035000000000001</v>
      </c>
      <c r="O3" s="6">
        <f>$O$1*N3</f>
        <v>0</v>
      </c>
      <c r="Q3" s="4" t="s">
        <v>16</v>
      </c>
      <c r="R3" s="4">
        <f>AVERAGE(0.0096,0.0116)</f>
        <v>1.0599999999999998E-2</v>
      </c>
      <c r="S3" s="6">
        <f>$S$1*R3</f>
        <v>0</v>
      </c>
      <c r="U3" s="14"/>
      <c r="V3" s="14"/>
    </row>
    <row r="4" spans="1:22" x14ac:dyDescent="0.5">
      <c r="U4" s="14"/>
      <c r="V4" s="14"/>
    </row>
    <row r="5" spans="1:22" x14ac:dyDescent="0.5">
      <c r="A5" s="12" t="s">
        <v>17</v>
      </c>
      <c r="B5" s="12"/>
      <c r="C5" s="5"/>
      <c r="E5" s="12" t="s">
        <v>18</v>
      </c>
      <c r="F5" s="13"/>
      <c r="G5" s="5">
        <f>V19</f>
        <v>0.13764179787576325</v>
      </c>
      <c r="I5" s="12" t="s">
        <v>19</v>
      </c>
      <c r="J5" s="12"/>
      <c r="K5" s="5"/>
      <c r="M5" s="12" t="s">
        <v>20</v>
      </c>
      <c r="N5" s="12"/>
      <c r="O5" s="5"/>
      <c r="Q5" s="12" t="s">
        <v>21</v>
      </c>
      <c r="R5" s="12"/>
      <c r="S5" s="5"/>
      <c r="U5" s="14"/>
      <c r="V5" s="14"/>
    </row>
    <row r="6" spans="1:22" x14ac:dyDescent="0.5">
      <c r="A6" s="4" t="s">
        <v>22</v>
      </c>
      <c r="B6" s="4">
        <f>AVERAGE(0.99578,0.99663)</f>
        <v>0.99620500000000001</v>
      </c>
      <c r="C6" s="6">
        <f>$C$5*B6</f>
        <v>0</v>
      </c>
      <c r="E6" s="4" t="s">
        <v>23</v>
      </c>
      <c r="F6" s="4">
        <v>0.99775999999999998</v>
      </c>
      <c r="G6" s="6">
        <f>$G$5*F6</f>
        <v>0.13733348024852154</v>
      </c>
      <c r="I6" s="4" t="s">
        <v>24</v>
      </c>
      <c r="J6" s="4">
        <v>0.90480000000000005</v>
      </c>
      <c r="K6" s="6">
        <f>$K$5*J6</f>
        <v>0</v>
      </c>
      <c r="M6" s="4" t="s">
        <v>25</v>
      </c>
      <c r="N6" s="4">
        <v>0.78879999999999995</v>
      </c>
      <c r="O6" s="6">
        <f>$O$5*N6</f>
        <v>0</v>
      </c>
      <c r="Q6" s="4" t="s">
        <v>26</v>
      </c>
      <c r="R6" s="4">
        <v>0.92318</v>
      </c>
      <c r="S6" s="6">
        <f>$S$5*R6</f>
        <v>0</v>
      </c>
      <c r="U6" s="14"/>
      <c r="V6" s="14"/>
    </row>
    <row r="7" spans="1:22" x14ac:dyDescent="0.5">
      <c r="A7" s="4" t="s">
        <v>27</v>
      </c>
      <c r="B7" s="4">
        <f>AVERAGE(0.00337,0.00422)</f>
        <v>3.7949999999999998E-3</v>
      </c>
      <c r="C7" s="6">
        <f>$C$5*B7</f>
        <v>0</v>
      </c>
      <c r="E7" s="4" t="s">
        <v>28</v>
      </c>
      <c r="F7" s="4">
        <v>3.6999999999999999E-4</v>
      </c>
      <c r="G7" s="6">
        <f t="shared" ref="G7:G8" si="0">$G$5*F7</f>
        <v>5.0927465214032399E-5</v>
      </c>
      <c r="I7" s="4" t="s">
        <v>29</v>
      </c>
      <c r="J7" s="4">
        <v>2.7000000000000001E-3</v>
      </c>
      <c r="K7" s="6">
        <f t="shared" ref="K7:K8" si="1">$K$5*J7</f>
        <v>0</v>
      </c>
      <c r="M7" s="4" t="s">
        <v>30</v>
      </c>
      <c r="N7" s="4">
        <v>0.1003</v>
      </c>
      <c r="O7" s="6">
        <f t="shared" ref="O7:O8" si="2">$O$5*N7</f>
        <v>0</v>
      </c>
      <c r="Q7" s="4" t="s">
        <v>31</v>
      </c>
      <c r="R7" s="4">
        <v>4.6449999999999998E-2</v>
      </c>
      <c r="S7" s="6">
        <f t="shared" ref="S7:S8" si="3">$S$5*R7</f>
        <v>0</v>
      </c>
      <c r="U7" s="14"/>
      <c r="V7" s="14"/>
    </row>
    <row r="8" spans="1:22" x14ac:dyDescent="0.5">
      <c r="E8" s="4" t="s">
        <v>32</v>
      </c>
      <c r="F8" s="4">
        <v>1.8699999999999999E-3</v>
      </c>
      <c r="G8" s="6">
        <f t="shared" si="0"/>
        <v>2.5739016202767727E-4</v>
      </c>
      <c r="I8" s="4" t="s">
        <v>33</v>
      </c>
      <c r="J8" s="4">
        <v>9.2499999999999999E-2</v>
      </c>
      <c r="K8" s="6">
        <f t="shared" si="1"/>
        <v>0</v>
      </c>
      <c r="M8" s="4" t="s">
        <v>34</v>
      </c>
      <c r="N8" s="4">
        <v>0.1109</v>
      </c>
      <c r="O8" s="6">
        <f t="shared" si="2"/>
        <v>0</v>
      </c>
      <c r="Q8" s="4" t="s">
        <v>35</v>
      </c>
      <c r="R8" s="4">
        <v>3.0370000000000001E-2</v>
      </c>
      <c r="S8" s="6">
        <f t="shared" si="3"/>
        <v>0</v>
      </c>
      <c r="U8" s="14"/>
      <c r="V8" s="14"/>
    </row>
    <row r="9" spans="1:22" x14ac:dyDescent="0.5">
      <c r="A9" s="12" t="s">
        <v>36</v>
      </c>
      <c r="B9" s="12"/>
      <c r="C9" s="5"/>
      <c r="U9" s="14"/>
      <c r="V9" s="14"/>
    </row>
    <row r="10" spans="1:22" x14ac:dyDescent="0.5">
      <c r="A10" s="4" t="s">
        <v>37</v>
      </c>
      <c r="B10" s="4">
        <v>0.95289999999999997</v>
      </c>
      <c r="C10" s="6">
        <f>$C$9*B10</f>
        <v>0</v>
      </c>
      <c r="E10" s="12" t="s">
        <v>38</v>
      </c>
      <c r="F10" s="12"/>
      <c r="G10" s="5"/>
      <c r="I10" s="12" t="s">
        <v>39</v>
      </c>
      <c r="J10" s="12"/>
      <c r="K10" s="5"/>
      <c r="M10" s="12" t="s">
        <v>40</v>
      </c>
      <c r="N10" s="12"/>
      <c r="O10" s="5"/>
      <c r="Q10" s="12" t="s">
        <v>41</v>
      </c>
      <c r="R10" s="12"/>
      <c r="S10" s="5"/>
      <c r="U10" s="14"/>
      <c r="V10" s="14"/>
    </row>
    <row r="11" spans="1:22" x14ac:dyDescent="0.5">
      <c r="A11" s="4" t="s">
        <v>42</v>
      </c>
      <c r="B11" s="4">
        <v>7.3200000000000001E-3</v>
      </c>
      <c r="C11" s="6">
        <f t="shared" ref="C11:C13" si="4">$C$9*B11</f>
        <v>0</v>
      </c>
      <c r="E11" s="4" t="s">
        <v>43</v>
      </c>
      <c r="F11" s="4">
        <f>AVERAGE(0.755,0.761)</f>
        <v>0.75800000000000001</v>
      </c>
      <c r="G11" s="6">
        <f>$G$10*F11</f>
        <v>0</v>
      </c>
      <c r="I11" s="4" t="s">
        <v>44</v>
      </c>
      <c r="J11" s="4">
        <v>2.07E-2</v>
      </c>
      <c r="K11" s="6">
        <f>$K$10*J11</f>
        <v>0</v>
      </c>
      <c r="M11" s="4" t="s">
        <v>45</v>
      </c>
      <c r="N11" s="4">
        <v>0.93258099999999999</v>
      </c>
      <c r="O11" s="6">
        <f>$O$10*N11</f>
        <v>0</v>
      </c>
      <c r="Q11" s="4" t="s">
        <v>46</v>
      </c>
      <c r="R11" s="4">
        <v>0.96940999999999999</v>
      </c>
      <c r="S11" s="6">
        <f>$S$10*R11</f>
        <v>0</v>
      </c>
      <c r="U11" s="14"/>
      <c r="V11" s="14"/>
    </row>
    <row r="12" spans="1:22" x14ac:dyDescent="0.5">
      <c r="A12" s="4" t="s">
        <v>47</v>
      </c>
      <c r="B12" s="4">
        <v>3.9649999999999998E-2</v>
      </c>
      <c r="C12" s="6">
        <f t="shared" si="4"/>
        <v>0</v>
      </c>
      <c r="E12" s="4" t="s">
        <v>48</v>
      </c>
      <c r="F12" s="4">
        <f>AVERAGE(0.239,0.245)</f>
        <v>0.24199999999999999</v>
      </c>
      <c r="G12" s="6">
        <f>$G$10*F12</f>
        <v>0</v>
      </c>
      <c r="I12" s="4" t="s">
        <v>49</v>
      </c>
      <c r="J12" s="4">
        <v>4.2999999999999997E-2</v>
      </c>
      <c r="K12" s="6">
        <f t="shared" ref="K12:K13" si="5">$K$10*J12</f>
        <v>0</v>
      </c>
      <c r="M12" s="4" t="s">
        <v>50</v>
      </c>
      <c r="N12" s="4">
        <v>1.17E-4</v>
      </c>
      <c r="O12" s="6">
        <f t="shared" ref="O12:O13" si="6">$O$10*N12</f>
        <v>0</v>
      </c>
      <c r="Q12" s="4" t="s">
        <v>51</v>
      </c>
      <c r="R12" s="4">
        <v>6.4700000000000001E-3</v>
      </c>
      <c r="S12" s="6">
        <f t="shared" ref="S12:S16" si="7">$S$10*R12</f>
        <v>0</v>
      </c>
      <c r="U12" s="14"/>
      <c r="V12" s="14"/>
    </row>
    <row r="13" spans="1:22" x14ac:dyDescent="0.5">
      <c r="A13" s="4" t="s">
        <v>52</v>
      </c>
      <c r="B13" s="4">
        <v>1.2999999999999999E-4</v>
      </c>
      <c r="C13" s="6">
        <f t="shared" si="4"/>
        <v>0</v>
      </c>
      <c r="I13" s="4" t="s">
        <v>53</v>
      </c>
      <c r="J13" s="4">
        <v>0.93630000000000002</v>
      </c>
      <c r="K13" s="6">
        <f t="shared" si="5"/>
        <v>0</v>
      </c>
      <c r="M13" s="4" t="s">
        <v>54</v>
      </c>
      <c r="N13" s="4">
        <v>6.7302000000000001E-2</v>
      </c>
      <c r="O13" s="6">
        <f t="shared" si="6"/>
        <v>0</v>
      </c>
      <c r="Q13" s="4" t="s">
        <v>55</v>
      </c>
      <c r="R13" s="4">
        <v>1.3500000000000001E-3</v>
      </c>
      <c r="S13" s="6">
        <f t="shared" si="7"/>
        <v>0</v>
      </c>
    </row>
    <row r="14" spans="1:22" x14ac:dyDescent="0.5">
      <c r="E14" s="12" t="s">
        <v>56</v>
      </c>
      <c r="F14" s="12"/>
      <c r="G14" s="5"/>
      <c r="Q14" s="4" t="s">
        <v>57</v>
      </c>
      <c r="R14" s="4">
        <v>2.086E-2</v>
      </c>
      <c r="S14" s="6">
        <f t="shared" si="7"/>
        <v>0</v>
      </c>
      <c r="U14" t="s">
        <v>58</v>
      </c>
      <c r="V14" s="3" t="s">
        <v>59</v>
      </c>
    </row>
    <row r="15" spans="1:22" x14ac:dyDescent="0.5">
      <c r="A15" s="12" t="s">
        <v>60</v>
      </c>
      <c r="B15" s="12"/>
      <c r="C15" s="5"/>
      <c r="E15" s="4" t="s">
        <v>61</v>
      </c>
      <c r="F15" s="4">
        <v>2.5000000000000001E-3</v>
      </c>
      <c r="G15" s="6">
        <f>$G$14*F15</f>
        <v>0</v>
      </c>
      <c r="I15" s="12" t="s">
        <v>62</v>
      </c>
      <c r="J15" s="12"/>
      <c r="K15" s="5"/>
      <c r="M15" s="12" t="s">
        <v>63</v>
      </c>
      <c r="N15" s="12"/>
      <c r="O15" s="5"/>
      <c r="Q15" s="4" t="s">
        <v>64</v>
      </c>
      <c r="R15" s="4">
        <v>4.0000000000000003E-5</v>
      </c>
      <c r="S15" s="6">
        <f t="shared" si="7"/>
        <v>0</v>
      </c>
    </row>
    <row r="16" spans="1:22" x14ac:dyDescent="0.5">
      <c r="A16" s="4" t="s">
        <v>65</v>
      </c>
      <c r="B16" s="4">
        <v>8.2500000000000004E-2</v>
      </c>
      <c r="C16" s="6">
        <f>$C$15*B16</f>
        <v>0</v>
      </c>
      <c r="E16" s="4" t="s">
        <v>66</v>
      </c>
      <c r="F16" s="4">
        <v>0.99750000000000005</v>
      </c>
      <c r="G16" s="6">
        <f>$G$14*F16</f>
        <v>0</v>
      </c>
      <c r="I16" s="4" t="s">
        <v>67</v>
      </c>
      <c r="J16" s="4">
        <v>4.3450000000000003E-2</v>
      </c>
      <c r="K16" s="6">
        <f>$K$15*J16</f>
        <v>0</v>
      </c>
      <c r="M16" s="4" t="s">
        <v>68</v>
      </c>
      <c r="N16" s="4">
        <v>5.8450000000000002E-2</v>
      </c>
      <c r="O16" s="6">
        <f>$O$15*N16</f>
        <v>0</v>
      </c>
      <c r="Q16" s="4" t="s">
        <v>69</v>
      </c>
      <c r="R16" s="4">
        <v>1.8699999999999999E-3</v>
      </c>
      <c r="S16" s="6">
        <f t="shared" si="7"/>
        <v>0</v>
      </c>
    </row>
    <row r="17" spans="1:22" x14ac:dyDescent="0.5">
      <c r="A17" s="4" t="s">
        <v>70</v>
      </c>
      <c r="B17" s="4">
        <v>7.4399999999999994E-2</v>
      </c>
      <c r="C17" s="6">
        <f t="shared" ref="C17:C20" si="8">$C$15*B17</f>
        <v>0</v>
      </c>
      <c r="I17" s="4" t="s">
        <v>71</v>
      </c>
      <c r="J17" s="4">
        <v>0.83789000000000002</v>
      </c>
      <c r="K17" s="6">
        <f t="shared" ref="K17:K19" si="9">$K$15*J17</f>
        <v>0</v>
      </c>
      <c r="M17" s="4" t="s">
        <v>72</v>
      </c>
      <c r="N17" s="4">
        <v>0.91754000000000002</v>
      </c>
      <c r="O17" s="6">
        <f t="shared" ref="O17:O19" si="10">$O$15*N17</f>
        <v>0</v>
      </c>
      <c r="U17" s="8" t="s">
        <v>382</v>
      </c>
    </row>
    <row r="18" spans="1:22" x14ac:dyDescent="0.5">
      <c r="A18" s="4" t="s">
        <v>73</v>
      </c>
      <c r="B18" s="4">
        <v>0.73719999999999997</v>
      </c>
      <c r="C18" s="6">
        <f t="shared" si="8"/>
        <v>0</v>
      </c>
      <c r="E18" s="12" t="s">
        <v>74</v>
      </c>
      <c r="F18" s="12"/>
      <c r="G18" s="5"/>
      <c r="I18" s="4" t="s">
        <v>75</v>
      </c>
      <c r="J18" s="4">
        <v>9.5009999999999997E-2</v>
      </c>
      <c r="K18" s="6">
        <f t="shared" si="9"/>
        <v>0</v>
      </c>
      <c r="M18" s="4" t="s">
        <v>76</v>
      </c>
      <c r="N18" s="4">
        <v>2.1190000000000001E-2</v>
      </c>
      <c r="O18" s="6">
        <f t="shared" si="10"/>
        <v>0</v>
      </c>
      <c r="Q18" s="12" t="s">
        <v>77</v>
      </c>
      <c r="R18" s="12"/>
      <c r="S18" s="5"/>
      <c r="U18" t="s">
        <v>386</v>
      </c>
      <c r="V18">
        <f>2*150.36/(2*150.36+3*15.9994)</f>
        <v>0.86235820212423675</v>
      </c>
    </row>
    <row r="19" spans="1:22" x14ac:dyDescent="0.5">
      <c r="A19" s="4" t="s">
        <v>78</v>
      </c>
      <c r="B19" s="4">
        <v>5.4100000000000002E-2</v>
      </c>
      <c r="C19" s="6">
        <f t="shared" si="8"/>
        <v>0</v>
      </c>
      <c r="E19" s="4" t="s">
        <v>79</v>
      </c>
      <c r="F19" s="4">
        <v>0.49170000000000003</v>
      </c>
      <c r="G19" s="6">
        <f>$G$18*F19</f>
        <v>0</v>
      </c>
      <c r="I19" s="4" t="s">
        <v>80</v>
      </c>
      <c r="J19" s="4">
        <v>2.3650000000000001E-2</v>
      </c>
      <c r="K19" s="6">
        <f t="shared" si="9"/>
        <v>0</v>
      </c>
      <c r="M19" s="4" t="s">
        <v>81</v>
      </c>
      <c r="N19" s="4">
        <v>2.82E-3</v>
      </c>
      <c r="O19" s="6">
        <f t="shared" si="10"/>
        <v>0</v>
      </c>
      <c r="Q19" s="4" t="s">
        <v>82</v>
      </c>
      <c r="R19" s="4">
        <v>0.68076899999999996</v>
      </c>
      <c r="S19" s="6">
        <f>$S$18*R19</f>
        <v>0</v>
      </c>
      <c r="U19" t="s">
        <v>375</v>
      </c>
      <c r="V19">
        <f>1-V18</f>
        <v>0.13764179787576325</v>
      </c>
    </row>
    <row r="20" spans="1:22" x14ac:dyDescent="0.5">
      <c r="A20" s="4" t="s">
        <v>83</v>
      </c>
      <c r="B20" s="4">
        <v>5.1799999999999999E-2</v>
      </c>
      <c r="C20" s="6">
        <f t="shared" si="8"/>
        <v>0</v>
      </c>
      <c r="E20" s="4" t="s">
        <v>84</v>
      </c>
      <c r="F20" s="4">
        <v>0.27729999999999999</v>
      </c>
      <c r="G20" s="6">
        <f t="shared" ref="G20:G23" si="11">$G$18*F20</f>
        <v>0</v>
      </c>
      <c r="Q20" s="4" t="s">
        <v>85</v>
      </c>
      <c r="R20" s="4">
        <v>0.26223099999999999</v>
      </c>
      <c r="S20" s="6">
        <f t="shared" ref="S20:S23" si="12">$S$18*R20</f>
        <v>0</v>
      </c>
    </row>
    <row r="21" spans="1:22" x14ac:dyDescent="0.5">
      <c r="E21" s="4" t="s">
        <v>86</v>
      </c>
      <c r="F21" s="4">
        <v>4.0399999999999998E-2</v>
      </c>
      <c r="G21" s="6">
        <f t="shared" si="11"/>
        <v>0</v>
      </c>
      <c r="I21" s="12" t="s">
        <v>87</v>
      </c>
      <c r="J21" s="12"/>
      <c r="K21" s="5"/>
      <c r="M21" s="12" t="s">
        <v>88</v>
      </c>
      <c r="N21" s="12"/>
      <c r="O21" s="5"/>
      <c r="Q21" s="4" t="s">
        <v>89</v>
      </c>
      <c r="R21" s="4">
        <v>1.1398999999999999E-2</v>
      </c>
      <c r="S21" s="6">
        <f t="shared" si="12"/>
        <v>0</v>
      </c>
    </row>
    <row r="22" spans="1:22" x14ac:dyDescent="0.5">
      <c r="A22" s="12" t="s">
        <v>90</v>
      </c>
      <c r="B22" s="12"/>
      <c r="C22" s="5"/>
      <c r="E22" s="4" t="s">
        <v>91</v>
      </c>
      <c r="F22" s="4">
        <v>0.1845</v>
      </c>
      <c r="G22" s="6">
        <f t="shared" si="11"/>
        <v>0</v>
      </c>
      <c r="I22" s="4" t="s">
        <v>92</v>
      </c>
      <c r="J22" s="4">
        <v>0.60107999999999995</v>
      </c>
      <c r="K22" s="6">
        <f>$K$21*J22</f>
        <v>0</v>
      </c>
      <c r="M22" s="4" t="s">
        <v>93</v>
      </c>
      <c r="N22" s="4">
        <v>0.20519999999999999</v>
      </c>
      <c r="O22" s="6">
        <f>$O$21*N22</f>
        <v>0</v>
      </c>
      <c r="Q22" s="4" t="s">
        <v>94</v>
      </c>
      <c r="R22" s="4">
        <v>3.6345000000000002E-2</v>
      </c>
      <c r="S22" s="6">
        <f t="shared" si="12"/>
        <v>0</v>
      </c>
    </row>
    <row r="23" spans="1:22" x14ac:dyDescent="0.5">
      <c r="A23" s="4" t="s">
        <v>95</v>
      </c>
      <c r="B23" s="4">
        <v>0.6915</v>
      </c>
      <c r="C23" s="6">
        <f>$C$22*B23</f>
        <v>0</v>
      </c>
      <c r="E23" s="4" t="s">
        <v>96</v>
      </c>
      <c r="F23" s="4">
        <v>6.1000000000000004E-3</v>
      </c>
      <c r="G23" s="6">
        <f t="shared" si="11"/>
        <v>0</v>
      </c>
      <c r="I23" s="4" t="s">
        <v>97</v>
      </c>
      <c r="J23" s="4">
        <v>0.39892</v>
      </c>
      <c r="K23" s="6">
        <f>$K$21*J23</f>
        <v>0</v>
      </c>
      <c r="M23" s="4" t="s">
        <v>98</v>
      </c>
      <c r="N23" s="4">
        <v>0.27450000000000002</v>
      </c>
      <c r="O23" s="6">
        <f t="shared" ref="O23:O26" si="13">$O$21*N23</f>
        <v>0</v>
      </c>
      <c r="Q23" s="4" t="s">
        <v>99</v>
      </c>
      <c r="R23" s="4">
        <v>9.2560000000000003E-3</v>
      </c>
      <c r="S23" s="6">
        <f t="shared" si="12"/>
        <v>0</v>
      </c>
    </row>
    <row r="24" spans="1:22" x14ac:dyDescent="0.5">
      <c r="A24" s="4" t="s">
        <v>100</v>
      </c>
      <c r="B24" s="4">
        <v>0.3085</v>
      </c>
      <c r="C24" s="6">
        <f>$C$22*B24</f>
        <v>0</v>
      </c>
      <c r="M24" s="4" t="s">
        <v>101</v>
      </c>
      <c r="N24" s="4">
        <v>7.7600000000000002E-2</v>
      </c>
      <c r="O24" s="6">
        <f t="shared" si="13"/>
        <v>0</v>
      </c>
    </row>
    <row r="25" spans="1:22" x14ac:dyDescent="0.5">
      <c r="E25" s="12" t="s">
        <v>102</v>
      </c>
      <c r="F25" s="12"/>
      <c r="G25" s="5"/>
      <c r="I25" s="12" t="s">
        <v>103</v>
      </c>
      <c r="J25" s="12"/>
      <c r="K25" s="5"/>
      <c r="M25" s="4" t="s">
        <v>104</v>
      </c>
      <c r="N25" s="4">
        <v>0.36520000000000002</v>
      </c>
      <c r="O25" s="6">
        <f t="shared" si="13"/>
        <v>0</v>
      </c>
      <c r="Q25" s="12" t="s">
        <v>105</v>
      </c>
      <c r="R25" s="12"/>
      <c r="S25" s="5"/>
    </row>
    <row r="26" spans="1:22" x14ac:dyDescent="0.5">
      <c r="A26" s="12" t="s">
        <v>106</v>
      </c>
      <c r="B26" s="12"/>
      <c r="C26" s="5"/>
      <c r="E26" s="4" t="s">
        <v>107</v>
      </c>
      <c r="F26" s="4">
        <v>3.5500000000000002E-3</v>
      </c>
      <c r="G26" s="6">
        <f>$G$25*F26</f>
        <v>0</v>
      </c>
      <c r="I26" s="4" t="s">
        <v>108</v>
      </c>
      <c r="J26" s="4">
        <v>0.72170000000000001</v>
      </c>
      <c r="K26" s="6">
        <f>$K$25*J26</f>
        <v>0</v>
      </c>
      <c r="M26" s="4" t="s">
        <v>109</v>
      </c>
      <c r="N26" s="4">
        <v>7.7499999999999999E-2</v>
      </c>
      <c r="O26" s="6">
        <f t="shared" si="13"/>
        <v>0</v>
      </c>
      <c r="Q26" s="4" t="s">
        <v>110</v>
      </c>
      <c r="R26" s="4">
        <v>8.6E-3</v>
      </c>
      <c r="S26" s="6">
        <f>$S$25*R26</f>
        <v>0</v>
      </c>
    </row>
    <row r="27" spans="1:22" x14ac:dyDescent="0.5">
      <c r="A27" s="4" t="s">
        <v>111</v>
      </c>
      <c r="B27" s="4">
        <f>AVERAGE(0.505,0.508)</f>
        <v>0.50649999999999995</v>
      </c>
      <c r="C27" s="6">
        <f>$C$26*B27</f>
        <v>0</v>
      </c>
      <c r="E27" s="4" t="s">
        <v>112</v>
      </c>
      <c r="F27" s="4">
        <v>2.2859999999999998E-2</v>
      </c>
      <c r="G27" s="6">
        <f t="shared" ref="G27:G30" si="14">$G$25*F27</f>
        <v>0</v>
      </c>
      <c r="I27" s="4" t="s">
        <v>113</v>
      </c>
      <c r="J27" s="4">
        <v>0.27829999999999999</v>
      </c>
      <c r="K27" s="6">
        <f>$K$25*J27</f>
        <v>0</v>
      </c>
      <c r="Q27" s="4" t="s">
        <v>114</v>
      </c>
      <c r="R27" s="4">
        <v>9.2299999999999993E-2</v>
      </c>
      <c r="S27" s="6">
        <f t="shared" ref="S27:S31" si="15">$S$25*R27</f>
        <v>0</v>
      </c>
    </row>
    <row r="28" spans="1:22" x14ac:dyDescent="0.5">
      <c r="A28" s="4" t="s">
        <v>115</v>
      </c>
      <c r="B28" s="4">
        <f>AVERAGE(0.492,0.495)</f>
        <v>0.49349999999999999</v>
      </c>
      <c r="C28" s="6">
        <f>$C$26*B28</f>
        <v>0</v>
      </c>
      <c r="E28" s="4" t="s">
        <v>116</v>
      </c>
      <c r="F28" s="4">
        <v>0.11593000000000001</v>
      </c>
      <c r="G28" s="6">
        <f t="shared" si="14"/>
        <v>0</v>
      </c>
      <c r="M28" s="12" t="s">
        <v>117</v>
      </c>
      <c r="N28" s="12"/>
      <c r="O28" s="5"/>
      <c r="Q28" s="4" t="s">
        <v>118</v>
      </c>
      <c r="R28" s="4">
        <v>7.5999999999999998E-2</v>
      </c>
      <c r="S28" s="6">
        <f t="shared" si="15"/>
        <v>0</v>
      </c>
    </row>
    <row r="29" spans="1:22" x14ac:dyDescent="0.5">
      <c r="E29" s="4" t="s">
        <v>119</v>
      </c>
      <c r="F29" s="4">
        <v>0.115</v>
      </c>
      <c r="G29" s="6">
        <f t="shared" si="14"/>
        <v>0</v>
      </c>
      <c r="I29" s="12" t="s">
        <v>120</v>
      </c>
      <c r="J29" s="12"/>
      <c r="K29" s="5"/>
      <c r="M29" s="4" t="s">
        <v>121</v>
      </c>
      <c r="N29" s="4">
        <v>5.5399999999999998E-2</v>
      </c>
      <c r="O29" s="6">
        <f>$O$28*N29</f>
        <v>0</v>
      </c>
      <c r="Q29" s="4" t="s">
        <v>122</v>
      </c>
      <c r="R29" s="4">
        <v>0.2369</v>
      </c>
      <c r="S29" s="6">
        <f t="shared" si="15"/>
        <v>0</v>
      </c>
    </row>
    <row r="30" spans="1:22" x14ac:dyDescent="0.5">
      <c r="A30" s="12" t="s">
        <v>123</v>
      </c>
      <c r="B30" s="12"/>
      <c r="C30" s="5"/>
      <c r="E30" s="4" t="s">
        <v>124</v>
      </c>
      <c r="F30" s="4">
        <v>0.56986999999999999</v>
      </c>
      <c r="G30" s="6">
        <f t="shared" si="14"/>
        <v>0</v>
      </c>
      <c r="I30" s="4" t="s">
        <v>125</v>
      </c>
      <c r="J30" s="4">
        <v>0.14649000000000001</v>
      </c>
      <c r="K30" s="6">
        <f>$K$29*J30</f>
        <v>0</v>
      </c>
      <c r="M30" s="4" t="s">
        <v>126</v>
      </c>
      <c r="N30" s="4">
        <v>1.8700000000000001E-2</v>
      </c>
      <c r="O30" s="6">
        <f t="shared" ref="O30:O35" si="16">$O$28*N30</f>
        <v>0</v>
      </c>
      <c r="Q30" s="4" t="s">
        <v>127</v>
      </c>
      <c r="R30" s="4">
        <v>0.498</v>
      </c>
      <c r="S30" s="6">
        <f t="shared" si="15"/>
        <v>0</v>
      </c>
    </row>
    <row r="31" spans="1:22" x14ac:dyDescent="0.5">
      <c r="A31" s="4" t="s">
        <v>128</v>
      </c>
      <c r="B31" s="4">
        <v>0.51449999999999996</v>
      </c>
      <c r="C31" s="6">
        <f>$C$30*B31</f>
        <v>0</v>
      </c>
      <c r="E31" s="4" t="s">
        <v>129</v>
      </c>
      <c r="F31" s="4">
        <v>0.17279</v>
      </c>
      <c r="G31" s="6">
        <f>$G$25*F31</f>
        <v>0</v>
      </c>
      <c r="I31" s="4" t="s">
        <v>130</v>
      </c>
      <c r="J31" s="4">
        <v>9.178E-2</v>
      </c>
      <c r="K31" s="6">
        <f t="shared" ref="K31:K36" si="17">$K$29*J31</f>
        <v>0</v>
      </c>
      <c r="M31" s="4" t="s">
        <v>131</v>
      </c>
      <c r="N31" s="4">
        <v>0.12759999999999999</v>
      </c>
      <c r="O31" s="6">
        <f t="shared" si="16"/>
        <v>0</v>
      </c>
      <c r="Q31" s="4" t="s">
        <v>132</v>
      </c>
      <c r="R31" s="4">
        <v>8.8200000000000001E-2</v>
      </c>
      <c r="S31" s="6">
        <f t="shared" si="15"/>
        <v>0</v>
      </c>
    </row>
    <row r="32" spans="1:22" x14ac:dyDescent="0.5">
      <c r="A32" s="4" t="s">
        <v>133</v>
      </c>
      <c r="B32" s="4">
        <v>0.11219999999999999</v>
      </c>
      <c r="C32" s="6">
        <f t="shared" ref="C32:C35" si="18">$C$30*B32</f>
        <v>0</v>
      </c>
      <c r="I32" s="4" t="s">
        <v>134</v>
      </c>
      <c r="J32" s="4">
        <v>0.15873000000000001</v>
      </c>
      <c r="K32" s="6">
        <f t="shared" si="17"/>
        <v>0</v>
      </c>
      <c r="M32" s="4" t="s">
        <v>135</v>
      </c>
      <c r="N32" s="4">
        <v>0.126</v>
      </c>
      <c r="O32" s="6">
        <f t="shared" si="16"/>
        <v>0</v>
      </c>
    </row>
    <row r="33" spans="1:19" x14ac:dyDescent="0.5">
      <c r="A33" s="4" t="s">
        <v>136</v>
      </c>
      <c r="B33" s="4">
        <v>0.17150000000000001</v>
      </c>
      <c r="C33" s="6">
        <f t="shared" si="18"/>
        <v>0</v>
      </c>
      <c r="E33" s="12" t="s">
        <v>137</v>
      </c>
      <c r="F33" s="12"/>
      <c r="G33" s="5"/>
      <c r="I33" s="4" t="s">
        <v>138</v>
      </c>
      <c r="J33" s="4">
        <v>0.16672999999999999</v>
      </c>
      <c r="K33" s="6">
        <f t="shared" si="17"/>
        <v>0</v>
      </c>
      <c r="M33" s="4" t="s">
        <v>139</v>
      </c>
      <c r="N33" s="4">
        <v>0.1706</v>
      </c>
      <c r="O33" s="6">
        <f t="shared" si="16"/>
        <v>0</v>
      </c>
      <c r="Q33" s="12" t="s">
        <v>140</v>
      </c>
      <c r="R33" s="12"/>
      <c r="S33" s="5"/>
    </row>
    <row r="34" spans="1:19" x14ac:dyDescent="0.5">
      <c r="A34" s="4" t="s">
        <v>141</v>
      </c>
      <c r="B34" s="4">
        <v>0.17380000000000001</v>
      </c>
      <c r="C34" s="6">
        <f t="shared" si="18"/>
        <v>0</v>
      </c>
      <c r="E34" s="4" t="s">
        <v>142</v>
      </c>
      <c r="F34" s="4">
        <v>1.0200000000000001E-2</v>
      </c>
      <c r="G34" s="6">
        <f>$G$33*F34</f>
        <v>0</v>
      </c>
      <c r="I34" s="4" t="s">
        <v>143</v>
      </c>
      <c r="J34" s="4">
        <v>9.5820000000000002E-2</v>
      </c>
      <c r="K34" s="6">
        <f t="shared" si="17"/>
        <v>0</v>
      </c>
      <c r="M34" s="4" t="s">
        <v>144</v>
      </c>
      <c r="N34" s="4">
        <v>0.3155</v>
      </c>
      <c r="O34" s="6">
        <f t="shared" si="16"/>
        <v>0</v>
      </c>
      <c r="Q34" s="4" t="s">
        <v>145</v>
      </c>
      <c r="R34" s="4">
        <v>5.5999999999999999E-3</v>
      </c>
      <c r="S34" s="6">
        <f>$S$33*R34</f>
        <v>0</v>
      </c>
    </row>
    <row r="35" spans="1:19" x14ac:dyDescent="0.5">
      <c r="A35" s="4" t="s">
        <v>146</v>
      </c>
      <c r="B35" s="4">
        <v>2.8000000000000001E-2</v>
      </c>
      <c r="C35" s="6">
        <f t="shared" si="18"/>
        <v>0</v>
      </c>
      <c r="E35" s="4" t="s">
        <v>147</v>
      </c>
      <c r="F35" s="4">
        <v>0.1114</v>
      </c>
      <c r="G35" s="6">
        <f t="shared" ref="G35:G39" si="19">$G$33*F35</f>
        <v>0</v>
      </c>
      <c r="I35" s="4" t="s">
        <v>148</v>
      </c>
      <c r="J35" s="4">
        <v>0.24292</v>
      </c>
      <c r="K35" s="6">
        <f t="shared" si="17"/>
        <v>0</v>
      </c>
      <c r="M35" s="4" t="s">
        <v>149</v>
      </c>
      <c r="N35" s="4">
        <v>0.1862</v>
      </c>
      <c r="O35" s="6">
        <f t="shared" si="16"/>
        <v>0</v>
      </c>
      <c r="Q35" s="4" t="s">
        <v>150</v>
      </c>
      <c r="R35" s="4">
        <v>9.8599999999999993E-2</v>
      </c>
      <c r="S35" s="6">
        <f t="shared" ref="S35:S37" si="20">$S$33*R35</f>
        <v>0</v>
      </c>
    </row>
    <row r="36" spans="1:19" x14ac:dyDescent="0.5">
      <c r="E36" s="4" t="s">
        <v>151</v>
      </c>
      <c r="F36" s="4">
        <v>0.2233</v>
      </c>
      <c r="G36" s="6">
        <f t="shared" si="19"/>
        <v>0</v>
      </c>
      <c r="I36" s="4" t="s">
        <v>152</v>
      </c>
      <c r="J36" s="4">
        <v>9.7439999999999999E-2</v>
      </c>
      <c r="K36" s="6">
        <f t="shared" si="17"/>
        <v>0</v>
      </c>
      <c r="Q36" s="4" t="s">
        <v>153</v>
      </c>
      <c r="R36" s="4">
        <v>7.0000000000000007E-2</v>
      </c>
      <c r="S36" s="6">
        <f t="shared" si="20"/>
        <v>0</v>
      </c>
    </row>
    <row r="37" spans="1:19" x14ac:dyDescent="0.5">
      <c r="A37" s="12" t="s">
        <v>154</v>
      </c>
      <c r="B37" s="12"/>
      <c r="C37" s="5"/>
      <c r="E37" s="4" t="s">
        <v>155</v>
      </c>
      <c r="F37" s="4">
        <v>0.27329999999999999</v>
      </c>
      <c r="G37" s="6">
        <f t="shared" si="19"/>
        <v>0</v>
      </c>
      <c r="M37" s="12" t="s">
        <v>156</v>
      </c>
      <c r="N37" s="12"/>
      <c r="O37" s="5"/>
      <c r="Q37" s="4" t="s">
        <v>157</v>
      </c>
      <c r="R37" s="4">
        <v>0.82579999999999998</v>
      </c>
      <c r="S37" s="6">
        <f t="shared" si="20"/>
        <v>0</v>
      </c>
    </row>
    <row r="38" spans="1:19" x14ac:dyDescent="0.5">
      <c r="A38" s="4" t="s">
        <v>158</v>
      </c>
      <c r="B38" s="4">
        <v>0.51839000000000002</v>
      </c>
      <c r="C38" s="6">
        <f>$C$37*B38</f>
        <v>0</v>
      </c>
      <c r="E38" s="4" t="s">
        <v>159</v>
      </c>
      <c r="F38" s="4">
        <v>0.2646</v>
      </c>
      <c r="G38" s="6">
        <f t="shared" si="19"/>
        <v>0</v>
      </c>
      <c r="I38" s="12" t="s">
        <v>160</v>
      </c>
      <c r="J38" s="12"/>
      <c r="K38" s="5"/>
      <c r="M38" s="4" t="s">
        <v>161</v>
      </c>
      <c r="N38" s="4">
        <v>9.7000000000000003E-3</v>
      </c>
      <c r="O38" s="6">
        <f>$O$37*N38</f>
        <v>0</v>
      </c>
    </row>
    <row r="39" spans="1:19" x14ac:dyDescent="0.5">
      <c r="A39" s="4" t="s">
        <v>162</v>
      </c>
      <c r="B39" s="4">
        <v>0.48160999999999998</v>
      </c>
      <c r="C39" s="6">
        <f>$C$37*B39</f>
        <v>0</v>
      </c>
      <c r="E39" s="4" t="s">
        <v>163</v>
      </c>
      <c r="F39" s="4">
        <v>0.1172</v>
      </c>
      <c r="G39" s="6">
        <f t="shared" si="19"/>
        <v>0</v>
      </c>
      <c r="I39" s="4" t="s">
        <v>164</v>
      </c>
      <c r="J39" s="4">
        <v>1.2449999999999999E-2</v>
      </c>
      <c r="K39" s="6">
        <f>$K$38*J39</f>
        <v>0</v>
      </c>
      <c r="M39" s="4" t="s">
        <v>165</v>
      </c>
      <c r="N39" s="4">
        <v>6.6E-3</v>
      </c>
      <c r="O39" s="6">
        <f t="shared" ref="O39:O47" si="21">$O$37*N39</f>
        <v>0</v>
      </c>
      <c r="Q39" s="12" t="s">
        <v>166</v>
      </c>
      <c r="R39" s="12"/>
      <c r="S39" s="5"/>
    </row>
    <row r="40" spans="1:19" x14ac:dyDescent="0.5">
      <c r="I40" s="4" t="s">
        <v>167</v>
      </c>
      <c r="J40" s="4">
        <v>8.8800000000000007E-3</v>
      </c>
      <c r="K40" s="6">
        <f t="shared" ref="K40:K46" si="22">$K$38*J40</f>
        <v>0</v>
      </c>
      <c r="M40" s="4" t="s">
        <v>168</v>
      </c>
      <c r="N40" s="4">
        <v>3.3999999999999998E-3</v>
      </c>
      <c r="O40" s="6">
        <f t="shared" si="21"/>
        <v>0</v>
      </c>
      <c r="Q40" s="4" t="s">
        <v>169</v>
      </c>
      <c r="R40" s="4">
        <v>4.2810000000000001E-2</v>
      </c>
      <c r="S40" s="6">
        <f>$S$39*R40</f>
        <v>0</v>
      </c>
    </row>
    <row r="41" spans="1:19" x14ac:dyDescent="0.5">
      <c r="A41" s="12" t="s">
        <v>170</v>
      </c>
      <c r="B41" s="12"/>
      <c r="C41" s="5"/>
      <c r="E41" s="12" t="s">
        <v>171</v>
      </c>
      <c r="F41" s="12"/>
      <c r="G41" s="5"/>
      <c r="I41" s="4" t="s">
        <v>172</v>
      </c>
      <c r="J41" s="4">
        <v>0.12470000000000001</v>
      </c>
      <c r="K41" s="6">
        <f t="shared" si="22"/>
        <v>0</v>
      </c>
      <c r="M41" s="4" t="s">
        <v>173</v>
      </c>
      <c r="N41" s="4">
        <v>0.1454</v>
      </c>
      <c r="O41" s="6">
        <f t="shared" si="21"/>
        <v>0</v>
      </c>
      <c r="Q41" s="4" t="s">
        <v>174</v>
      </c>
      <c r="R41" s="4">
        <v>0.95718999999999999</v>
      </c>
      <c r="S41" s="6">
        <f>$S$39*R41</f>
        <v>0</v>
      </c>
    </row>
    <row r="42" spans="1:19" x14ac:dyDescent="0.5">
      <c r="A42" s="4" t="s">
        <v>175</v>
      </c>
      <c r="B42" s="4">
        <v>8.9999999999999998E-4</v>
      </c>
      <c r="C42" s="6">
        <f>$C$41*B42</f>
        <v>0</v>
      </c>
      <c r="E42" s="4" t="s">
        <v>176</v>
      </c>
      <c r="F42" s="4">
        <v>9.5E-4</v>
      </c>
      <c r="G42" s="6">
        <f>$G$41*F42</f>
        <v>0</v>
      </c>
      <c r="I42" s="4" t="s">
        <v>177</v>
      </c>
      <c r="J42" s="4">
        <v>0.12795000000000001</v>
      </c>
      <c r="K42" s="6">
        <f t="shared" si="22"/>
        <v>0</v>
      </c>
      <c r="M42" s="4" t="s">
        <v>178</v>
      </c>
      <c r="N42" s="4">
        <v>7.6799999999999993E-2</v>
      </c>
      <c r="O42" s="6">
        <f t="shared" si="21"/>
        <v>0</v>
      </c>
    </row>
    <row r="43" spans="1:19" x14ac:dyDescent="0.5">
      <c r="A43" s="4" t="s">
        <v>179</v>
      </c>
      <c r="B43" s="4">
        <v>2.5499999999999998E-2</v>
      </c>
      <c r="C43" s="6">
        <f t="shared" ref="C43:C49" si="23">$C$41*B43</f>
        <v>0</v>
      </c>
      <c r="E43" s="4" t="s">
        <v>180</v>
      </c>
      <c r="F43" s="4">
        <v>8.8999999999999995E-4</v>
      </c>
      <c r="G43" s="6">
        <f t="shared" ref="G43:G50" si="24">$G$41*F43</f>
        <v>0</v>
      </c>
      <c r="I43" s="4" t="s">
        <v>181</v>
      </c>
      <c r="J43" s="4">
        <v>0.24109</v>
      </c>
      <c r="K43" s="6">
        <f t="shared" si="22"/>
        <v>0</v>
      </c>
      <c r="M43" s="4" t="s">
        <v>182</v>
      </c>
      <c r="N43" s="4">
        <v>0.2422</v>
      </c>
      <c r="O43" s="6">
        <f t="shared" si="21"/>
        <v>0</v>
      </c>
      <c r="Q43" s="12" t="s">
        <v>183</v>
      </c>
      <c r="R43" s="13"/>
      <c r="S43" s="5"/>
    </row>
    <row r="44" spans="1:19" x14ac:dyDescent="0.5">
      <c r="A44" s="4" t="s">
        <v>184</v>
      </c>
      <c r="B44" s="4">
        <v>8.8999999999999999E-3</v>
      </c>
      <c r="C44" s="6">
        <f t="shared" si="23"/>
        <v>0</v>
      </c>
      <c r="E44" s="4" t="s">
        <v>185</v>
      </c>
      <c r="F44" s="4">
        <v>1.9099999999999999E-2</v>
      </c>
      <c r="G44" s="6">
        <f t="shared" si="24"/>
        <v>0</v>
      </c>
      <c r="I44" s="4" t="s">
        <v>186</v>
      </c>
      <c r="J44" s="4">
        <v>0.12227</v>
      </c>
      <c r="K44" s="6">
        <f t="shared" si="22"/>
        <v>0</v>
      </c>
      <c r="M44" s="4" t="s">
        <v>187</v>
      </c>
      <c r="N44" s="4">
        <v>8.5900000000000004E-2</v>
      </c>
      <c r="O44" s="6">
        <f t="shared" si="21"/>
        <v>0</v>
      </c>
      <c r="Q44" s="4" t="s">
        <v>188</v>
      </c>
      <c r="R44" s="4">
        <v>0.57210000000000005</v>
      </c>
      <c r="S44" s="6">
        <f>$S$43*R44</f>
        <v>0</v>
      </c>
    </row>
    <row r="45" spans="1:19" x14ac:dyDescent="0.5">
      <c r="A45" s="4" t="s">
        <v>189</v>
      </c>
      <c r="B45" s="4">
        <v>4.7399999999999998E-2</v>
      </c>
      <c r="C45" s="6">
        <f t="shared" si="23"/>
        <v>0</v>
      </c>
      <c r="E45" s="4" t="s">
        <v>190</v>
      </c>
      <c r="F45" s="4">
        <v>0.26401000000000002</v>
      </c>
      <c r="G45" s="6">
        <f t="shared" si="24"/>
        <v>0</v>
      </c>
      <c r="I45" s="4" t="s">
        <v>191</v>
      </c>
      <c r="J45" s="4">
        <v>0.28754000000000002</v>
      </c>
      <c r="K45" s="6">
        <f t="shared" si="22"/>
        <v>0</v>
      </c>
      <c r="M45" s="4" t="s">
        <v>192</v>
      </c>
      <c r="N45" s="4">
        <v>0.32579999999999998</v>
      </c>
      <c r="O45" s="6">
        <f t="shared" si="21"/>
        <v>0</v>
      </c>
      <c r="Q45" s="4" t="s">
        <v>193</v>
      </c>
      <c r="R45" s="4">
        <v>0.4279</v>
      </c>
      <c r="S45" s="6">
        <f>$S$43*R45</f>
        <v>0</v>
      </c>
    </row>
    <row r="46" spans="1:19" x14ac:dyDescent="0.5">
      <c r="A46" s="4" t="s">
        <v>194</v>
      </c>
      <c r="B46" s="4">
        <v>7.0699999999999999E-2</v>
      </c>
      <c r="C46" s="6">
        <f t="shared" si="23"/>
        <v>0</v>
      </c>
      <c r="E46" s="4" t="s">
        <v>195</v>
      </c>
      <c r="F46" s="4">
        <v>4.0710000000000003E-2</v>
      </c>
      <c r="G46" s="6">
        <f t="shared" si="24"/>
        <v>0</v>
      </c>
      <c r="I46" s="4" t="s">
        <v>196</v>
      </c>
      <c r="J46" s="4">
        <v>7.5120000000000006E-2</v>
      </c>
      <c r="K46" s="6">
        <f t="shared" si="22"/>
        <v>0</v>
      </c>
      <c r="M46" s="4" t="s">
        <v>197</v>
      </c>
      <c r="N46" s="4">
        <v>4.6300000000000001E-2</v>
      </c>
      <c r="O46" s="6">
        <f t="shared" si="21"/>
        <v>0</v>
      </c>
    </row>
    <row r="47" spans="1:19" x14ac:dyDescent="0.5">
      <c r="A47" s="4" t="s">
        <v>198</v>
      </c>
      <c r="B47" s="4">
        <v>0.18840000000000001</v>
      </c>
      <c r="C47" s="6">
        <f t="shared" si="23"/>
        <v>0</v>
      </c>
      <c r="E47" s="4" t="s">
        <v>199</v>
      </c>
      <c r="F47" s="4">
        <v>0.21232000000000001</v>
      </c>
      <c r="G47" s="6">
        <f t="shared" si="24"/>
        <v>0</v>
      </c>
      <c r="M47" s="4" t="s">
        <v>200</v>
      </c>
      <c r="N47" s="4">
        <v>5.79E-2</v>
      </c>
      <c r="O47" s="6">
        <f t="shared" si="21"/>
        <v>0</v>
      </c>
      <c r="Q47" s="12" t="s">
        <v>201</v>
      </c>
      <c r="R47" s="12"/>
      <c r="S47" s="5"/>
    </row>
    <row r="48" spans="1:19" x14ac:dyDescent="0.5">
      <c r="A48" s="4" t="s">
        <v>202</v>
      </c>
      <c r="B48" s="4">
        <v>0.31740000000000002</v>
      </c>
      <c r="C48" s="6">
        <f t="shared" si="23"/>
        <v>0</v>
      </c>
      <c r="E48" s="4" t="s">
        <v>203</v>
      </c>
      <c r="F48" s="4">
        <v>0.26909</v>
      </c>
      <c r="G48" s="6">
        <f t="shared" si="24"/>
        <v>0</v>
      </c>
      <c r="I48" s="12" t="s">
        <v>204</v>
      </c>
      <c r="J48" s="12"/>
      <c r="K48" s="5"/>
      <c r="Q48" s="4" t="s">
        <v>205</v>
      </c>
      <c r="R48" s="4">
        <v>8.8809999999999996E-4</v>
      </c>
      <c r="S48" s="6">
        <f>$S$47*R48</f>
        <v>0</v>
      </c>
    </row>
    <row r="49" spans="1:19" x14ac:dyDescent="0.5">
      <c r="A49" s="4" t="s">
        <v>206</v>
      </c>
      <c r="B49" s="4">
        <v>0.34079999999999999</v>
      </c>
      <c r="C49" s="6">
        <f t="shared" si="23"/>
        <v>0</v>
      </c>
      <c r="E49" s="4" t="s">
        <v>207</v>
      </c>
      <c r="F49" s="4">
        <v>0.10435999999999999</v>
      </c>
      <c r="G49" s="6">
        <f t="shared" si="24"/>
        <v>0</v>
      </c>
      <c r="I49" s="4" t="s">
        <v>208</v>
      </c>
      <c r="J49" s="4">
        <v>1.1000000000000001E-3</v>
      </c>
      <c r="K49" s="6">
        <f>$K$48*J49</f>
        <v>0</v>
      </c>
      <c r="M49" s="12" t="s">
        <v>209</v>
      </c>
      <c r="N49" s="12"/>
      <c r="O49" s="5"/>
      <c r="Q49" s="4" t="s">
        <v>210</v>
      </c>
      <c r="R49" s="4">
        <v>0.99911190000000005</v>
      </c>
      <c r="S49" s="6">
        <f>$S$47*R49</f>
        <v>0</v>
      </c>
    </row>
    <row r="50" spans="1:19" x14ac:dyDescent="0.5">
      <c r="E50" s="4" t="s">
        <v>211</v>
      </c>
      <c r="F50" s="4">
        <v>8.8569999999999996E-2</v>
      </c>
      <c r="G50" s="6">
        <f t="shared" si="24"/>
        <v>0</v>
      </c>
      <c r="I50" s="4" t="s">
        <v>212</v>
      </c>
      <c r="J50" s="4">
        <v>1E-3</v>
      </c>
      <c r="K50" s="6">
        <f t="shared" ref="K50:K55" si="25">$K$48*J50</f>
        <v>0</v>
      </c>
      <c r="M50" s="4" t="s">
        <v>213</v>
      </c>
      <c r="N50" s="4">
        <v>0.27151999999999998</v>
      </c>
      <c r="O50" s="6">
        <f>$O$49*N50</f>
        <v>0</v>
      </c>
    </row>
    <row r="51" spans="1:19" x14ac:dyDescent="0.5">
      <c r="A51" s="12" t="s">
        <v>214</v>
      </c>
      <c r="B51" s="12"/>
      <c r="C51" s="5">
        <f>V18</f>
        <v>0.86235820212423675</v>
      </c>
      <c r="I51" s="4" t="s">
        <v>215</v>
      </c>
      <c r="J51" s="4">
        <v>2.4199999999999999E-2</v>
      </c>
      <c r="K51" s="6">
        <f t="shared" si="25"/>
        <v>0</v>
      </c>
      <c r="M51" s="4" t="s">
        <v>216</v>
      </c>
      <c r="N51" s="4">
        <v>0.12174</v>
      </c>
      <c r="O51" s="6">
        <f t="shared" ref="O51:O56" si="26">$O$49*N51</f>
        <v>0</v>
      </c>
      <c r="Q51" s="12" t="s">
        <v>217</v>
      </c>
      <c r="R51" s="12"/>
      <c r="S51" s="5"/>
    </row>
    <row r="52" spans="1:19" x14ac:dyDescent="0.5">
      <c r="A52" s="4" t="s">
        <v>218</v>
      </c>
      <c r="B52" s="4">
        <v>3.0800000000000001E-2</v>
      </c>
      <c r="C52" s="6">
        <f>$C$51*B52</f>
        <v>2.6560632625426493E-2</v>
      </c>
      <c r="E52" s="12" t="s">
        <v>219</v>
      </c>
      <c r="F52" s="12"/>
      <c r="G52" s="5"/>
      <c r="I52" s="4" t="s">
        <v>220</v>
      </c>
      <c r="J52" s="4">
        <v>6.59E-2</v>
      </c>
      <c r="K52" s="6">
        <f t="shared" si="25"/>
        <v>0</v>
      </c>
      <c r="M52" s="4" t="s">
        <v>221</v>
      </c>
      <c r="N52" s="4">
        <v>0.23798</v>
      </c>
      <c r="O52" s="6">
        <f t="shared" si="26"/>
        <v>0</v>
      </c>
      <c r="Q52" s="4" t="s">
        <v>222</v>
      </c>
      <c r="R52" s="4">
        <v>1.8500000000000001E-3</v>
      </c>
      <c r="S52" s="6">
        <f>$S$51*R52</f>
        <v>0</v>
      </c>
    </row>
    <row r="53" spans="1:19" x14ac:dyDescent="0.5">
      <c r="A53" s="4" t="s">
        <v>223</v>
      </c>
      <c r="B53" s="4">
        <v>0.15</v>
      </c>
      <c r="C53" s="6">
        <f t="shared" ref="C53:C58" si="27">$C$51*B53</f>
        <v>0.12935373031863551</v>
      </c>
      <c r="E53" s="4" t="s">
        <v>224</v>
      </c>
      <c r="F53" s="4">
        <v>2E-3</v>
      </c>
      <c r="G53" s="6">
        <f>$G$52*F53</f>
        <v>0</v>
      </c>
      <c r="I53" s="4" t="s">
        <v>225</v>
      </c>
      <c r="J53" s="4">
        <v>7.85E-2</v>
      </c>
      <c r="K53" s="6">
        <f t="shared" si="25"/>
        <v>0</v>
      </c>
      <c r="M53" s="4" t="s">
        <v>226</v>
      </c>
      <c r="N53" s="4">
        <v>8.2930000000000004E-2</v>
      </c>
      <c r="O53" s="6">
        <f t="shared" si="26"/>
        <v>0</v>
      </c>
      <c r="Q53" s="4" t="s">
        <v>227</v>
      </c>
      <c r="R53" s="4">
        <v>2.5100000000000001E-3</v>
      </c>
      <c r="S53" s="6">
        <f t="shared" ref="S53:S55" si="28">$S$51*R53</f>
        <v>0</v>
      </c>
    </row>
    <row r="54" spans="1:19" x14ac:dyDescent="0.5">
      <c r="A54" s="4" t="s">
        <v>228</v>
      </c>
      <c r="B54" s="4">
        <v>0.1125</v>
      </c>
      <c r="C54" s="6">
        <f t="shared" si="27"/>
        <v>9.701529773897663E-2</v>
      </c>
      <c r="E54" s="4" t="s">
        <v>229</v>
      </c>
      <c r="F54" s="4">
        <v>2.18E-2</v>
      </c>
      <c r="G54" s="6">
        <f t="shared" ref="G54:G59" si="29">$G$52*F54</f>
        <v>0</v>
      </c>
      <c r="I54" s="4" t="s">
        <v>230</v>
      </c>
      <c r="J54" s="4">
        <v>0.1123</v>
      </c>
      <c r="K54" s="6">
        <f t="shared" si="25"/>
        <v>0</v>
      </c>
      <c r="M54" s="4" t="s">
        <v>231</v>
      </c>
      <c r="N54" s="4">
        <v>0.17188999999999999</v>
      </c>
      <c r="O54" s="6">
        <f t="shared" si="26"/>
        <v>0</v>
      </c>
      <c r="Q54" s="4" t="s">
        <v>232</v>
      </c>
      <c r="R54" s="4">
        <v>0.88449999999999995</v>
      </c>
      <c r="S54" s="6">
        <f t="shared" si="28"/>
        <v>0</v>
      </c>
    </row>
    <row r="55" spans="1:19" x14ac:dyDescent="0.5">
      <c r="A55" s="4" t="s">
        <v>233</v>
      </c>
      <c r="B55" s="4">
        <v>0.13819999999999999</v>
      </c>
      <c r="C55" s="6">
        <f t="shared" si="27"/>
        <v>0.11917790353356951</v>
      </c>
      <c r="E55" s="4" t="s">
        <v>234</v>
      </c>
      <c r="F55" s="4">
        <v>0.14799999999999999</v>
      </c>
      <c r="G55" s="6">
        <f t="shared" si="29"/>
        <v>0</v>
      </c>
      <c r="I55" s="4" t="s">
        <v>235</v>
      </c>
      <c r="J55" s="4">
        <v>0.71699999999999997</v>
      </c>
      <c r="K55" s="6">
        <f t="shared" si="25"/>
        <v>0</v>
      </c>
      <c r="M55" s="4" t="s">
        <v>236</v>
      </c>
      <c r="N55" s="4">
        <v>5.756E-2</v>
      </c>
      <c r="O55" s="6">
        <f t="shared" si="26"/>
        <v>0</v>
      </c>
      <c r="Q55" s="4" t="s">
        <v>237</v>
      </c>
      <c r="R55" s="4">
        <v>0.11114</v>
      </c>
      <c r="S55" s="6">
        <f t="shared" si="28"/>
        <v>0</v>
      </c>
    </row>
    <row r="56" spans="1:19" x14ac:dyDescent="0.5">
      <c r="A56" s="4" t="s">
        <v>238</v>
      </c>
      <c r="B56" s="4">
        <v>7.3700000000000002E-2</v>
      </c>
      <c r="C56" s="6">
        <f t="shared" si="27"/>
        <v>6.3555799496556251E-2</v>
      </c>
      <c r="E56" s="4" t="s">
        <v>239</v>
      </c>
      <c r="F56" s="4">
        <v>0.20469999999999999</v>
      </c>
      <c r="G56" s="6">
        <f t="shared" si="29"/>
        <v>0</v>
      </c>
      <c r="M56" s="4" t="s">
        <v>240</v>
      </c>
      <c r="N56" s="4">
        <v>5.638E-2</v>
      </c>
      <c r="O56" s="6">
        <f t="shared" si="26"/>
        <v>0</v>
      </c>
    </row>
    <row r="57" spans="1:19" x14ac:dyDescent="0.5">
      <c r="A57" s="4" t="s">
        <v>241</v>
      </c>
      <c r="B57" s="4">
        <v>0.26740000000000003</v>
      </c>
      <c r="C57" s="6">
        <f t="shared" si="27"/>
        <v>0.23059458324802093</v>
      </c>
      <c r="E57" s="4" t="s">
        <v>242</v>
      </c>
      <c r="F57" s="4">
        <v>0.1565</v>
      </c>
      <c r="G57" s="6">
        <f t="shared" si="29"/>
        <v>0</v>
      </c>
      <c r="I57" s="12" t="s">
        <v>243</v>
      </c>
      <c r="J57" s="12"/>
      <c r="K57" s="5"/>
      <c r="Q57" s="12" t="s">
        <v>244</v>
      </c>
      <c r="R57" s="12"/>
      <c r="S57" s="5"/>
    </row>
    <row r="58" spans="1:19" x14ac:dyDescent="0.5">
      <c r="A58" s="4" t="s">
        <v>245</v>
      </c>
      <c r="B58" s="4">
        <v>0.22739999999999999</v>
      </c>
      <c r="C58" s="6">
        <f t="shared" si="27"/>
        <v>0.19610025516305143</v>
      </c>
      <c r="E58" s="4" t="s">
        <v>246</v>
      </c>
      <c r="F58" s="4">
        <v>0.24840000000000001</v>
      </c>
      <c r="G58" s="6">
        <f t="shared" si="29"/>
        <v>0</v>
      </c>
      <c r="I58" s="4" t="s">
        <v>247</v>
      </c>
      <c r="J58" s="4">
        <v>5.5999999999999995E-4</v>
      </c>
      <c r="K58" s="6">
        <f>$K$57*J58</f>
        <v>0</v>
      </c>
      <c r="M58" s="12" t="s">
        <v>248</v>
      </c>
      <c r="N58" s="12"/>
      <c r="O58" s="5"/>
      <c r="Q58" s="4" t="s">
        <v>249</v>
      </c>
      <c r="R58" s="4">
        <v>1.2600000000000001E-3</v>
      </c>
      <c r="S58" s="6">
        <f>$S$57*R58</f>
        <v>0</v>
      </c>
    </row>
    <row r="59" spans="1:19" x14ac:dyDescent="0.5">
      <c r="E59" s="4" t="s">
        <v>250</v>
      </c>
      <c r="F59" s="4">
        <v>0.21859999999999999</v>
      </c>
      <c r="G59" s="6">
        <f t="shared" si="29"/>
        <v>0</v>
      </c>
      <c r="I59" s="4" t="s">
        <v>251</v>
      </c>
      <c r="J59" s="4">
        <v>9.5E-4</v>
      </c>
      <c r="K59" s="6">
        <f t="shared" ref="K59:K64" si="30">$K$57*J59</f>
        <v>0</v>
      </c>
      <c r="M59" s="4" t="s">
        <v>252</v>
      </c>
      <c r="N59" s="4">
        <v>1.39E-3</v>
      </c>
      <c r="O59" s="6">
        <f>$O$58*N59</f>
        <v>0</v>
      </c>
      <c r="Q59" s="4" t="s">
        <v>253</v>
      </c>
      <c r="R59" s="4">
        <v>3.023E-2</v>
      </c>
      <c r="S59" s="6">
        <f t="shared" ref="S59:S64" si="31">$S$57*R59</f>
        <v>0</v>
      </c>
    </row>
    <row r="60" spans="1:19" x14ac:dyDescent="0.5">
      <c r="A60" s="12" t="s">
        <v>254</v>
      </c>
      <c r="B60" s="12"/>
      <c r="C60" s="5"/>
      <c r="I60" s="4" t="s">
        <v>255</v>
      </c>
      <c r="J60" s="4">
        <v>2.3290000000000002E-2</v>
      </c>
      <c r="K60" s="6">
        <f t="shared" si="30"/>
        <v>0</v>
      </c>
      <c r="M60" s="4" t="s">
        <v>256</v>
      </c>
      <c r="N60" s="4">
        <v>1.601E-2</v>
      </c>
      <c r="O60" s="6">
        <f t="shared" ref="O60:O64" si="32">$O$58*N60</f>
        <v>0</v>
      </c>
      <c r="Q60" s="4" t="s">
        <v>257</v>
      </c>
      <c r="R60" s="4">
        <v>0.14216000000000001</v>
      </c>
      <c r="S60" s="6">
        <f t="shared" si="31"/>
        <v>0</v>
      </c>
    </row>
    <row r="61" spans="1:19" x14ac:dyDescent="0.5">
      <c r="A61" s="4" t="s">
        <v>258</v>
      </c>
      <c r="B61" s="4">
        <v>0.47810000000000002</v>
      </c>
      <c r="C61" s="6">
        <f>$C$60*B61</f>
        <v>0</v>
      </c>
      <c r="E61" s="12" t="s">
        <v>259</v>
      </c>
      <c r="F61" s="12"/>
      <c r="G61" s="5"/>
      <c r="I61" s="4" t="s">
        <v>260</v>
      </c>
      <c r="J61" s="4">
        <v>0.18889</v>
      </c>
      <c r="K61" s="6">
        <f t="shared" si="30"/>
        <v>0</v>
      </c>
      <c r="M61" s="4" t="s">
        <v>261</v>
      </c>
      <c r="N61" s="4">
        <v>0.33502999999999999</v>
      </c>
      <c r="O61" s="6">
        <f t="shared" si="32"/>
        <v>0</v>
      </c>
      <c r="Q61" s="4" t="s">
        <v>262</v>
      </c>
      <c r="R61" s="4">
        <v>0.21754000000000001</v>
      </c>
      <c r="S61" s="6">
        <f t="shared" si="31"/>
        <v>0</v>
      </c>
    </row>
    <row r="62" spans="1:19" x14ac:dyDescent="0.5">
      <c r="A62" s="4" t="s">
        <v>263</v>
      </c>
      <c r="B62" s="4">
        <v>0.52190000000000003</v>
      </c>
      <c r="C62" s="6">
        <f>$C$60*B62</f>
        <v>0</v>
      </c>
      <c r="E62" s="4" t="s">
        <v>264</v>
      </c>
      <c r="F62" s="4">
        <v>1.6100000000000001E-3</v>
      </c>
      <c r="G62" s="6">
        <f>$G$61*F62</f>
        <v>0</v>
      </c>
      <c r="I62" s="4" t="s">
        <v>265</v>
      </c>
      <c r="J62" s="4">
        <v>0.25474999999999998</v>
      </c>
      <c r="K62" s="6">
        <f t="shared" si="30"/>
        <v>0</v>
      </c>
      <c r="M62" s="4" t="s">
        <v>266</v>
      </c>
      <c r="N62" s="4">
        <v>0.22869</v>
      </c>
      <c r="O62" s="6">
        <f t="shared" si="32"/>
        <v>0</v>
      </c>
      <c r="Q62" s="4" t="s">
        <v>267</v>
      </c>
      <c r="R62" s="4">
        <v>0.16098000000000001</v>
      </c>
      <c r="S62" s="6">
        <f t="shared" si="31"/>
        <v>0</v>
      </c>
    </row>
    <row r="63" spans="1:19" x14ac:dyDescent="0.5">
      <c r="E63" s="4" t="s">
        <v>268</v>
      </c>
      <c r="F63" s="4">
        <v>5.2400000000000002E-2</v>
      </c>
      <c r="G63" s="6">
        <f t="shared" ref="G63:G67" si="33">$G$61*F63</f>
        <v>0</v>
      </c>
      <c r="I63" s="4" t="s">
        <v>269</v>
      </c>
      <c r="J63" s="4">
        <v>0.24895999999999999</v>
      </c>
      <c r="K63" s="6">
        <f t="shared" si="30"/>
        <v>0</v>
      </c>
      <c r="M63" s="4" t="s">
        <v>270</v>
      </c>
      <c r="N63" s="4">
        <v>0.26978000000000002</v>
      </c>
      <c r="O63" s="6">
        <f t="shared" si="32"/>
        <v>0</v>
      </c>
      <c r="Q63" s="4" t="s">
        <v>271</v>
      </c>
      <c r="R63" s="4">
        <v>0.31896000000000002</v>
      </c>
      <c r="S63" s="6">
        <f t="shared" si="31"/>
        <v>0</v>
      </c>
    </row>
    <row r="64" spans="1:19" x14ac:dyDescent="0.5">
      <c r="A64" s="12" t="s">
        <v>272</v>
      </c>
      <c r="B64" s="12"/>
      <c r="C64" s="5"/>
      <c r="E64" s="4" t="s">
        <v>273</v>
      </c>
      <c r="F64" s="4">
        <v>0.18579999999999999</v>
      </c>
      <c r="G64" s="6">
        <f t="shared" si="33"/>
        <v>0</v>
      </c>
      <c r="I64" s="4" t="s">
        <v>274</v>
      </c>
      <c r="J64" s="4">
        <v>0.28260000000000002</v>
      </c>
      <c r="K64" s="6">
        <f t="shared" si="30"/>
        <v>0</v>
      </c>
      <c r="M64" s="4" t="s">
        <v>275</v>
      </c>
      <c r="N64" s="4">
        <v>0.14910000000000001</v>
      </c>
      <c r="O64" s="6">
        <f t="shared" si="32"/>
        <v>0</v>
      </c>
      <c r="Q64" s="4" t="s">
        <v>276</v>
      </c>
      <c r="R64" s="4">
        <v>0.12887000000000001</v>
      </c>
      <c r="S64" s="6">
        <f t="shared" si="31"/>
        <v>0</v>
      </c>
    </row>
    <row r="65" spans="1:19" x14ac:dyDescent="0.5">
      <c r="A65" s="4" t="s">
        <v>277</v>
      </c>
      <c r="B65" s="4">
        <v>0.97401000000000004</v>
      </c>
      <c r="C65" s="6">
        <f>$C$64*B65</f>
        <v>0</v>
      </c>
      <c r="E65" s="4" t="s">
        <v>278</v>
      </c>
      <c r="F65" s="4">
        <v>0.27279999999999999</v>
      </c>
      <c r="G65" s="6">
        <f t="shared" si="33"/>
        <v>0</v>
      </c>
    </row>
    <row r="66" spans="1:19" x14ac:dyDescent="0.5">
      <c r="A66" s="4" t="s">
        <v>279</v>
      </c>
      <c r="B66" s="4">
        <v>2.5989999999999999E-2</v>
      </c>
      <c r="C66" s="6">
        <f>$C$64*B66</f>
        <v>0</v>
      </c>
      <c r="E66" s="4" t="s">
        <v>280</v>
      </c>
      <c r="F66" s="4">
        <v>0.1363</v>
      </c>
      <c r="G66" s="6">
        <f t="shared" si="33"/>
        <v>0</v>
      </c>
      <c r="I66" s="12" t="s">
        <v>281</v>
      </c>
      <c r="J66" s="12"/>
      <c r="K66" s="5"/>
      <c r="M66" s="12" t="s">
        <v>282</v>
      </c>
      <c r="N66" s="12"/>
      <c r="O66" s="5"/>
      <c r="Q66" s="12" t="s">
        <v>283</v>
      </c>
      <c r="R66" s="12"/>
      <c r="S66" s="5"/>
    </row>
    <row r="67" spans="1:19" x14ac:dyDescent="0.5">
      <c r="E67" s="4" t="s">
        <v>284</v>
      </c>
      <c r="F67" s="4">
        <v>0.35120000000000001</v>
      </c>
      <c r="G67" s="6">
        <f t="shared" si="33"/>
        <v>0</v>
      </c>
      <c r="I67" s="4" t="s">
        <v>285</v>
      </c>
      <c r="J67" s="4">
        <v>1.176E-4</v>
      </c>
      <c r="K67" s="6">
        <f>$K$66*J67</f>
        <v>0</v>
      </c>
      <c r="M67" s="4" t="s">
        <v>286</v>
      </c>
      <c r="N67" s="4">
        <v>0.374</v>
      </c>
      <c r="O67" s="6">
        <f>$O$66*N67</f>
        <v>0</v>
      </c>
      <c r="Q67" s="4" t="s">
        <v>287</v>
      </c>
      <c r="R67" s="4">
        <v>0.37230000000000002</v>
      </c>
      <c r="S67" s="6">
        <f>$S$66*R67</f>
        <v>0</v>
      </c>
    </row>
    <row r="68" spans="1:19" x14ac:dyDescent="0.5">
      <c r="A68" s="12" t="s">
        <v>288</v>
      </c>
      <c r="B68" s="12"/>
      <c r="C68" s="5"/>
      <c r="I68" s="4" t="s">
        <v>289</v>
      </c>
      <c r="J68" s="4">
        <v>0.99988239999999995</v>
      </c>
      <c r="K68" s="6">
        <f>$K$66*J68</f>
        <v>0</v>
      </c>
      <c r="M68" s="4" t="s">
        <v>290</v>
      </c>
      <c r="N68" s="4">
        <v>0.626</v>
      </c>
      <c r="O68" s="6">
        <f>$O$66*N68</f>
        <v>0</v>
      </c>
      <c r="Q68" s="4" t="s">
        <v>291</v>
      </c>
      <c r="R68" s="4">
        <v>0.62770000000000004</v>
      </c>
      <c r="S68" s="6">
        <f>$S$66*R68</f>
        <v>0</v>
      </c>
    </row>
    <row r="69" spans="1:19" x14ac:dyDescent="0.5">
      <c r="A69" s="4" t="s">
        <v>292</v>
      </c>
      <c r="B69" s="4">
        <v>2.0000000000000001E-4</v>
      </c>
      <c r="C69" s="6">
        <f>$C$68*B69</f>
        <v>0</v>
      </c>
      <c r="E69" s="12" t="s">
        <v>293</v>
      </c>
      <c r="F69" s="12"/>
      <c r="G69" s="5"/>
    </row>
    <row r="70" spans="1:19" x14ac:dyDescent="0.5">
      <c r="A70" s="4" t="s">
        <v>294</v>
      </c>
      <c r="B70" s="4">
        <v>1.5900000000000001E-2</v>
      </c>
      <c r="C70" s="6">
        <f t="shared" ref="C70:C75" si="34">$C$68*B70</f>
        <v>0</v>
      </c>
      <c r="E70" s="4" t="s">
        <v>295</v>
      </c>
      <c r="F70" s="4">
        <v>1.1999999999999999E-3</v>
      </c>
      <c r="G70" s="6">
        <f>$G$69*F70</f>
        <v>0</v>
      </c>
      <c r="I70" s="12" t="s">
        <v>296</v>
      </c>
      <c r="J70" s="12"/>
      <c r="K70" s="5"/>
      <c r="M70" s="12" t="s">
        <v>297</v>
      </c>
      <c r="N70" s="12"/>
      <c r="O70" s="5"/>
      <c r="Q70" s="12" t="s">
        <v>298</v>
      </c>
      <c r="R70" s="12"/>
      <c r="S70" s="5"/>
    </row>
    <row r="71" spans="1:19" x14ac:dyDescent="0.5">
      <c r="A71" s="4" t="s">
        <v>299</v>
      </c>
      <c r="B71" s="4">
        <v>1.9599999999999999E-2</v>
      </c>
      <c r="C71" s="6">
        <f t="shared" si="34"/>
        <v>0</v>
      </c>
      <c r="E71" s="4" t="s">
        <v>300</v>
      </c>
      <c r="F71" s="4">
        <v>0.26500000000000001</v>
      </c>
      <c r="G71" s="6">
        <f t="shared" ref="G71:G74" si="35">$G$69*F71</f>
        <v>0</v>
      </c>
      <c r="I71" s="4" t="s">
        <v>301</v>
      </c>
      <c r="J71" s="4">
        <v>1.2E-4</v>
      </c>
      <c r="K71" s="6">
        <f>$K$70*J71</f>
        <v>0</v>
      </c>
      <c r="M71" s="4" t="s">
        <v>302</v>
      </c>
      <c r="N71" s="4">
        <v>1.5E-3</v>
      </c>
      <c r="O71" s="6">
        <f>$O$70*N71</f>
        <v>0</v>
      </c>
      <c r="Q71" s="4" t="s">
        <v>303</v>
      </c>
      <c r="R71" s="4">
        <f>AVERAGE(0.2944,0.2959)</f>
        <v>0.29515000000000002</v>
      </c>
      <c r="S71" s="6">
        <f>$S$70*R71</f>
        <v>0</v>
      </c>
    </row>
    <row r="72" spans="1:19" x14ac:dyDescent="0.5">
      <c r="A72" s="4" t="s">
        <v>304</v>
      </c>
      <c r="B72" s="4">
        <v>0.13239999999999999</v>
      </c>
      <c r="C72" s="6">
        <f t="shared" si="34"/>
        <v>0</v>
      </c>
      <c r="E72" s="4" t="s">
        <v>305</v>
      </c>
      <c r="F72" s="4">
        <v>0.1431</v>
      </c>
      <c r="G72" s="6">
        <f t="shared" si="35"/>
        <v>0</v>
      </c>
      <c r="I72" s="4" t="s">
        <v>306</v>
      </c>
      <c r="J72" s="4">
        <v>7.8200000000000006E-3</v>
      </c>
      <c r="K72" s="6">
        <f t="shared" ref="K72:K76" si="36">$K$70*J72</f>
        <v>0</v>
      </c>
      <c r="M72" s="4" t="s">
        <v>307</v>
      </c>
      <c r="N72" s="4">
        <v>0.1004</v>
      </c>
      <c r="O72" s="6">
        <f t="shared" ref="O72:O77" si="37">$O$70*N72</f>
        <v>0</v>
      </c>
      <c r="Q72" s="4" t="s">
        <v>308</v>
      </c>
      <c r="R72" s="4">
        <f>AVERAGE(0.7041,0.7056)</f>
        <v>0.70484999999999998</v>
      </c>
      <c r="S72" s="6">
        <f>$S$70*R72</f>
        <v>0</v>
      </c>
    </row>
    <row r="73" spans="1:19" x14ac:dyDescent="0.5">
      <c r="A73" s="4" t="s">
        <v>309</v>
      </c>
      <c r="B73" s="4">
        <v>0.1615</v>
      </c>
      <c r="C73" s="6">
        <f t="shared" si="34"/>
        <v>0</v>
      </c>
      <c r="E73" s="4" t="s">
        <v>310</v>
      </c>
      <c r="F73" s="4">
        <v>0.30640000000000001</v>
      </c>
      <c r="G73" s="6">
        <f t="shared" si="35"/>
        <v>0</v>
      </c>
      <c r="I73" s="4" t="s">
        <v>311</v>
      </c>
      <c r="J73" s="4">
        <v>0.32863999999999999</v>
      </c>
      <c r="K73" s="6">
        <f t="shared" si="36"/>
        <v>0</v>
      </c>
      <c r="M73" s="4" t="s">
        <v>312</v>
      </c>
      <c r="N73" s="4">
        <v>0.1694</v>
      </c>
      <c r="O73" s="6">
        <f t="shared" si="37"/>
        <v>0</v>
      </c>
    </row>
    <row r="74" spans="1:19" x14ac:dyDescent="0.5">
      <c r="A74" s="4" t="s">
        <v>313</v>
      </c>
      <c r="B74" s="4">
        <v>0.2626</v>
      </c>
      <c r="C74" s="6">
        <f t="shared" si="34"/>
        <v>0</v>
      </c>
      <c r="E74" s="4" t="s">
        <v>314</v>
      </c>
      <c r="F74" s="4">
        <v>0.2843</v>
      </c>
      <c r="G74" s="6">
        <f t="shared" si="35"/>
        <v>0</v>
      </c>
      <c r="I74" s="4" t="s">
        <v>315</v>
      </c>
      <c r="J74" s="4">
        <v>0.33774999999999999</v>
      </c>
      <c r="K74" s="6">
        <f t="shared" si="36"/>
        <v>0</v>
      </c>
      <c r="M74" s="4" t="s">
        <v>316</v>
      </c>
      <c r="N74" s="4">
        <v>0.23139999999999999</v>
      </c>
      <c r="O74" s="6">
        <f t="shared" si="37"/>
        <v>0</v>
      </c>
      <c r="Q74" s="12" t="s">
        <v>317</v>
      </c>
      <c r="R74" s="12"/>
      <c r="S74" s="5"/>
    </row>
    <row r="75" spans="1:19" x14ac:dyDescent="0.5">
      <c r="A75" s="4" t="s">
        <v>318</v>
      </c>
      <c r="B75" s="4">
        <v>0.4078</v>
      </c>
      <c r="C75" s="6">
        <f t="shared" si="34"/>
        <v>0</v>
      </c>
      <c r="I75" s="4" t="s">
        <v>319</v>
      </c>
      <c r="J75" s="4">
        <v>0.25211</v>
      </c>
      <c r="K75" s="6">
        <f t="shared" si="36"/>
        <v>0</v>
      </c>
      <c r="M75" s="4" t="s">
        <v>320</v>
      </c>
      <c r="N75" s="4">
        <v>0.13170000000000001</v>
      </c>
      <c r="O75" s="6">
        <f t="shared" si="37"/>
        <v>0</v>
      </c>
      <c r="Q75" s="4" t="s">
        <v>321</v>
      </c>
      <c r="R75" s="4">
        <v>1.4E-2</v>
      </c>
      <c r="S75" s="6">
        <f>$S$74*R75</f>
        <v>0</v>
      </c>
    </row>
    <row r="76" spans="1:19" x14ac:dyDescent="0.5">
      <c r="E76" s="12" t="s">
        <v>322</v>
      </c>
      <c r="F76" s="12"/>
      <c r="G76" s="5"/>
      <c r="I76" s="4" t="s">
        <v>323</v>
      </c>
      <c r="J76" s="4">
        <v>7.356E-2</v>
      </c>
      <c r="K76" s="6">
        <f t="shared" si="36"/>
        <v>0</v>
      </c>
      <c r="M76" s="4" t="s">
        <v>324</v>
      </c>
      <c r="N76" s="4">
        <v>0.2974</v>
      </c>
      <c r="O76" s="6">
        <f t="shared" si="37"/>
        <v>0</v>
      </c>
      <c r="Q76" s="4" t="s">
        <v>325</v>
      </c>
      <c r="R76" s="4">
        <v>0.24099999999999999</v>
      </c>
      <c r="S76" s="6">
        <f t="shared" ref="S76:S78" si="38">$S$74*R76</f>
        <v>0</v>
      </c>
    </row>
    <row r="77" spans="1:19" x14ac:dyDescent="0.5">
      <c r="A77" s="12" t="s">
        <v>326</v>
      </c>
      <c r="B77" s="12"/>
      <c r="C77" s="5"/>
      <c r="E77" s="4" t="s">
        <v>327</v>
      </c>
      <c r="F77" s="4">
        <v>5.3999999999999998E-5</v>
      </c>
      <c r="G77" s="6">
        <f>$G$76*F77</f>
        <v>0</v>
      </c>
      <c r="M77" s="4" t="s">
        <v>328</v>
      </c>
      <c r="N77" s="4">
        <v>6.8199999999999997E-2</v>
      </c>
      <c r="O77" s="6">
        <f t="shared" si="37"/>
        <v>0</v>
      </c>
      <c r="Q77" s="4" t="s">
        <v>329</v>
      </c>
      <c r="R77" s="4">
        <v>0.221</v>
      </c>
      <c r="S77" s="6">
        <f t="shared" si="38"/>
        <v>0</v>
      </c>
    </row>
    <row r="78" spans="1:19" x14ac:dyDescent="0.5">
      <c r="A78" s="4" t="s">
        <v>330</v>
      </c>
      <c r="B78" s="4">
        <v>2.0000000000000001E-4</v>
      </c>
      <c r="C78" s="6">
        <f>$C$77*B78</f>
        <v>0</v>
      </c>
      <c r="E78" s="4" t="s">
        <v>331</v>
      </c>
      <c r="F78" s="4">
        <v>7.2040000000000003E-3</v>
      </c>
      <c r="G78" s="6">
        <f t="shared" ref="G78:G79" si="39">$G$76*F78</f>
        <v>0</v>
      </c>
      <c r="Q78" s="4" t="s">
        <v>332</v>
      </c>
      <c r="R78" s="4">
        <v>0.52400000000000002</v>
      </c>
      <c r="S78" s="6">
        <f t="shared" si="38"/>
        <v>0</v>
      </c>
    </row>
    <row r="79" spans="1:19" x14ac:dyDescent="0.5">
      <c r="A79" s="4" t="s">
        <v>333</v>
      </c>
      <c r="B79" s="4">
        <v>0.99980000000000002</v>
      </c>
      <c r="C79" s="6">
        <f>$C$77*B79</f>
        <v>0</v>
      </c>
      <c r="E79" s="4" t="s">
        <v>334</v>
      </c>
      <c r="F79" s="4">
        <v>0.99274200000000001</v>
      </c>
      <c r="G79" s="6">
        <f t="shared" si="39"/>
        <v>0</v>
      </c>
    </row>
  </sheetData>
  <mergeCells count="65">
    <mergeCell ref="Q74:R74"/>
    <mergeCell ref="E76:F76"/>
    <mergeCell ref="Q66:R66"/>
    <mergeCell ref="A68:B68"/>
    <mergeCell ref="E69:F69"/>
    <mergeCell ref="I70:J70"/>
    <mergeCell ref="M70:N70"/>
    <mergeCell ref="Q70:R70"/>
    <mergeCell ref="A60:B60"/>
    <mergeCell ref="A77:B77"/>
    <mergeCell ref="A64:B64"/>
    <mergeCell ref="I66:J66"/>
    <mergeCell ref="M66:N66"/>
    <mergeCell ref="E61:F61"/>
    <mergeCell ref="M58:N58"/>
    <mergeCell ref="A51:B51"/>
    <mergeCell ref="Q51:R51"/>
    <mergeCell ref="Q43:R43"/>
    <mergeCell ref="Q47:R47"/>
    <mergeCell ref="I48:J48"/>
    <mergeCell ref="M49:N49"/>
    <mergeCell ref="E52:F52"/>
    <mergeCell ref="Q39:R39"/>
    <mergeCell ref="A41:B41"/>
    <mergeCell ref="E41:F41"/>
    <mergeCell ref="I57:J57"/>
    <mergeCell ref="Q57:R57"/>
    <mergeCell ref="A37:B37"/>
    <mergeCell ref="M37:N37"/>
    <mergeCell ref="I38:J38"/>
    <mergeCell ref="Q33:R33"/>
    <mergeCell ref="I21:J21"/>
    <mergeCell ref="M21:N21"/>
    <mergeCell ref="A22:B22"/>
    <mergeCell ref="E25:F25"/>
    <mergeCell ref="I25:J25"/>
    <mergeCell ref="Q25:R25"/>
    <mergeCell ref="A26:B26"/>
    <mergeCell ref="M28:N28"/>
    <mergeCell ref="I29:J29"/>
    <mergeCell ref="A30:B30"/>
    <mergeCell ref="E33:F33"/>
    <mergeCell ref="E10:F10"/>
    <mergeCell ref="I10:J10"/>
    <mergeCell ref="M10:N10"/>
    <mergeCell ref="Q10:R10"/>
    <mergeCell ref="M15:N15"/>
    <mergeCell ref="E14:F14"/>
    <mergeCell ref="E18:F18"/>
    <mergeCell ref="Q18:R18"/>
    <mergeCell ref="A15:B15"/>
    <mergeCell ref="I15:J15"/>
    <mergeCell ref="U1:V1"/>
    <mergeCell ref="A1:B1"/>
    <mergeCell ref="E1:F1"/>
    <mergeCell ref="I1:J1"/>
    <mergeCell ref="M1:N1"/>
    <mergeCell ref="Q1:R1"/>
    <mergeCell ref="U2:V12"/>
    <mergeCell ref="A5:B5"/>
    <mergeCell ref="E5:F5"/>
    <mergeCell ref="I5:J5"/>
    <mergeCell ref="M5:N5"/>
    <mergeCell ref="Q5:R5"/>
    <mergeCell ref="A9:B9"/>
  </mergeCells>
  <hyperlinks>
    <hyperlink ref="V14" r:id="rId1" xr:uid="{A3CDC989-7A3E-5B4C-9223-0F34C2FD60C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EDCDC6898E9D48B17B2D917023A0E9" ma:contentTypeVersion="10" ma:contentTypeDescription="Create a new document." ma:contentTypeScope="" ma:versionID="65b7862f818ab9eca39a1289cd096f52">
  <xsd:schema xmlns:xsd="http://www.w3.org/2001/XMLSchema" xmlns:xs="http://www.w3.org/2001/XMLSchema" xmlns:p="http://schemas.microsoft.com/office/2006/metadata/properties" xmlns:ns2="02f07221-7782-4248-899f-09bd431cf93f" xmlns:ns3="e1ecaa1f-5549-4843-8e0b-36d11b9c4a00" targetNamespace="http://schemas.microsoft.com/office/2006/metadata/properties" ma:root="true" ma:fieldsID="1a6d027a32ea4dc18b3fbb404a1f95f7" ns2:_="" ns3:_="">
    <xsd:import namespace="02f07221-7782-4248-899f-09bd431cf93f"/>
    <xsd:import namespace="e1ecaa1f-5549-4843-8e0b-36d11b9c4a0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f07221-7782-4248-899f-09bd431cf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caa1f-5549-4843-8e0b-36d11b9c4a0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AF6621-839E-429D-AADA-F02968D3BB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4D788F-F266-4845-AABB-841638FD18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f07221-7782-4248-899f-09bd431cf93f"/>
    <ds:schemaRef ds:uri="e1ecaa1f-5549-4843-8e0b-36d11b9c4a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5E4BEF-634A-46C4-9B55-1BEE8E273A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Master Calculator</vt:lpstr>
      <vt:lpstr>316 SS</vt:lpstr>
      <vt:lpstr>HasteC</vt:lpstr>
      <vt:lpstr>HasteN</vt:lpstr>
      <vt:lpstr>AI-8763D</vt:lpstr>
      <vt:lpstr>BeO</vt:lpstr>
      <vt:lpstr>Be</vt:lpstr>
      <vt:lpstr>NaK</vt:lpstr>
      <vt:lpstr>Sm2O3</vt:lpstr>
      <vt:lpstr>Hg Coolant</vt:lpstr>
      <vt:lpstr>UZrH</vt:lpstr>
      <vt:lpstr>UZrH Critical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Samuel</cp:lastModifiedBy>
  <cp:revision/>
  <dcterms:created xsi:type="dcterms:W3CDTF">2022-02-11T04:22:50Z</dcterms:created>
  <dcterms:modified xsi:type="dcterms:W3CDTF">2022-07-04T16:02:11Z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0x010100ABEDCDC6898E9D48B17B2D917023A0E9</vt:lpwstr>
  </property>
</Properties>
</file>