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iaguirre6_gatech_edu/Documents/SNAP 2022/"/>
    </mc:Choice>
  </mc:AlternateContent>
  <xr:revisionPtr revIDLastSave="102" documentId="8_{C0576130-31F3-3F42-B151-59CE4202366F}" xr6:coauthVersionLast="47" xr6:coauthVersionMax="47" xr10:uidLastSave="{497341D4-0D2D-664C-B078-35EE518736BE}"/>
  <bookViews>
    <workbookView xWindow="10900" yWindow="3880" windowWidth="23260" windowHeight="12580" activeTab="1" xr2:uid="{6D7706C2-2A02-478A-8E15-9410D5158D14}"/>
  </bookViews>
  <sheets>
    <sheet name="Fuel and Core Comp Verification" sheetId="7" r:id="rId1"/>
    <sheet name="Core Configurations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C11" i="10"/>
  <c r="D11" i="10"/>
  <c r="E11" i="10"/>
  <c r="E12" i="10" s="1"/>
  <c r="B12" i="10"/>
  <c r="C12" i="10"/>
  <c r="D12" i="10"/>
  <c r="B16" i="10"/>
  <c r="C16" i="10"/>
  <c r="C17" i="10" s="1"/>
  <c r="D16" i="10"/>
  <c r="D17" i="10" s="1"/>
  <c r="B17" i="10"/>
  <c r="E35" i="10"/>
  <c r="B35" i="10" l="1"/>
  <c r="D35" i="10"/>
  <c r="C35" i="10"/>
  <c r="F35" i="10"/>
  <c r="G35" i="10"/>
  <c r="B83" i="7"/>
  <c r="B82" i="7"/>
  <c r="G32" i="10"/>
  <c r="G29" i="10"/>
  <c r="G30" i="10" s="1"/>
  <c r="F32" i="10"/>
  <c r="F29" i="10"/>
  <c r="F30" i="10" s="1"/>
  <c r="E32" i="10"/>
  <c r="E33" i="10" s="1"/>
  <c r="D31" i="10"/>
  <c r="D32" i="10"/>
  <c r="C32" i="10"/>
  <c r="C33" i="10" s="1"/>
  <c r="B32" i="10"/>
  <c r="E29" i="10"/>
  <c r="E30" i="10" s="1"/>
  <c r="D29" i="10"/>
  <c r="D30" i="10" s="1"/>
  <c r="C29" i="10"/>
  <c r="C30" i="10" s="1"/>
  <c r="B29" i="10"/>
  <c r="B30" i="10" s="1"/>
  <c r="G94" i="7"/>
  <c r="C86" i="7"/>
  <c r="C87" i="7" s="1"/>
  <c r="F84" i="7"/>
  <c r="B84" i="7"/>
  <c r="D33" i="10" l="1"/>
  <c r="G33" i="10"/>
  <c r="F33" i="10"/>
  <c r="B33" i="10"/>
  <c r="D83" i="7"/>
  <c r="C92" i="7" s="1"/>
  <c r="C93" i="7" s="1"/>
  <c r="C88" i="7"/>
  <c r="J11" i="7"/>
  <c r="K11" i="7" s="1"/>
  <c r="R24" i="7"/>
  <c r="F78" i="7"/>
  <c r="F80" i="7" s="1"/>
  <c r="F77" i="7"/>
  <c r="F79" i="7" s="1"/>
  <c r="R18" i="7"/>
  <c r="G12" i="7"/>
  <c r="H12" i="7" s="1"/>
  <c r="G11" i="7"/>
  <c r="H11" i="7" s="1"/>
  <c r="O14" i="7"/>
  <c r="O15" i="7" s="1"/>
  <c r="R22" i="7" s="1"/>
  <c r="O16" i="7"/>
  <c r="O13" i="7"/>
  <c r="O12" i="7"/>
  <c r="O21" i="7"/>
  <c r="O20" i="7"/>
  <c r="O19" i="7"/>
  <c r="O18" i="7"/>
  <c r="F62" i="7"/>
  <c r="F59" i="7"/>
  <c r="F61" i="7" s="1"/>
  <c r="F49" i="7"/>
  <c r="F50" i="7" s="1"/>
  <c r="C20" i="7"/>
  <c r="D16" i="7" s="1"/>
  <c r="G19" i="7"/>
  <c r="H19" i="7" s="1"/>
  <c r="G26" i="7"/>
  <c r="H26" i="7" s="1"/>
  <c r="G23" i="7"/>
  <c r="G25" i="7"/>
  <c r="H25" i="7" s="1"/>
  <c r="G24" i="7"/>
  <c r="G22" i="7"/>
  <c r="H22" i="7" s="1"/>
  <c r="G18" i="7"/>
  <c r="H18" i="7" s="1"/>
  <c r="G17" i="7"/>
  <c r="G16" i="7"/>
  <c r="M4" i="7"/>
  <c r="G15" i="7"/>
  <c r="H15" i="7" s="1"/>
  <c r="I15" i="7" s="1"/>
  <c r="K5" i="7"/>
  <c r="K6" i="7" s="1"/>
  <c r="K7" i="7" s="1"/>
  <c r="K3" i="7"/>
  <c r="G14" i="7"/>
  <c r="H14" i="7" s="1"/>
  <c r="G13" i="7"/>
  <c r="H13" i="7" s="1"/>
  <c r="J4" i="7"/>
  <c r="J5" i="7" s="1"/>
  <c r="J6" i="7" s="1"/>
  <c r="J7" i="7" s="1"/>
  <c r="F4" i="7"/>
  <c r="F9" i="7" s="1"/>
  <c r="C9" i="7"/>
  <c r="D86" i="7" l="1"/>
  <c r="E86" i="7" s="1"/>
  <c r="F86" i="7" s="1"/>
  <c r="G86" i="7" s="1"/>
  <c r="H23" i="7"/>
  <c r="H24" i="7" s="1"/>
  <c r="F63" i="7"/>
  <c r="C89" i="7"/>
  <c r="G49" i="7"/>
  <c r="F81" i="7"/>
  <c r="R23" i="7" s="1"/>
  <c r="D19" i="7"/>
  <c r="D13" i="7"/>
  <c r="D17" i="7"/>
  <c r="I22" i="7"/>
  <c r="G7" i="7"/>
  <c r="H7" i="7" s="1"/>
  <c r="D15" i="7"/>
  <c r="D18" i="7"/>
  <c r="H16" i="7"/>
  <c r="G5" i="7"/>
  <c r="H5" i="7" s="1"/>
  <c r="G6" i="7"/>
  <c r="H6" i="7" s="1"/>
  <c r="G8" i="7"/>
  <c r="H8" i="7" s="1"/>
  <c r="D14" i="7"/>
  <c r="I23" i="7" l="1"/>
  <c r="H86" i="7"/>
  <c r="I86" i="7"/>
  <c r="J86" i="7" s="1"/>
  <c r="D87" i="7"/>
  <c r="E87" i="7" s="1"/>
  <c r="H49" i="7"/>
  <c r="H50" i="7" s="1"/>
  <c r="K49" i="7"/>
  <c r="K50" i="7" s="1"/>
  <c r="D20" i="7"/>
  <c r="I24" i="7"/>
  <c r="H17" i="7"/>
  <c r="I16" i="7"/>
  <c r="G4" i="7"/>
  <c r="D88" i="7" l="1"/>
  <c r="E88" i="7" s="1"/>
  <c r="H88" i="7" s="1"/>
  <c r="F87" i="7"/>
  <c r="F88" i="7" s="1"/>
  <c r="H87" i="7"/>
  <c r="I87" i="7"/>
  <c r="D89" i="7"/>
  <c r="E89" i="7" s="1"/>
  <c r="H89" i="7" s="1"/>
  <c r="I25" i="7"/>
  <c r="I17" i="7"/>
  <c r="G9" i="7"/>
  <c r="H4" i="7"/>
  <c r="J87" i="7" l="1"/>
  <c r="I88" i="7"/>
  <c r="F89" i="7"/>
  <c r="I18" i="7"/>
  <c r="I26" i="7"/>
  <c r="I27" i="7" s="1"/>
  <c r="J16" i="7" s="1"/>
  <c r="R20" i="7" s="1"/>
  <c r="J88" i="7" l="1"/>
  <c r="I89" i="7"/>
  <c r="J89" i="7" s="1"/>
  <c r="J17" i="7"/>
  <c r="J18" i="7"/>
  <c r="R19" i="7" s="1"/>
  <c r="I19" i="7"/>
  <c r="J22" i="7"/>
  <c r="J24" i="7"/>
  <c r="J23" i="7"/>
  <c r="J26" i="7"/>
  <c r="J25" i="7"/>
  <c r="J19" i="7" l="1"/>
  <c r="R21" i="7" s="1"/>
  <c r="I20" i="7"/>
  <c r="J15" i="7" s="1"/>
  <c r="R17" i="7" s="1"/>
</calcChain>
</file>

<file path=xl/sharedStrings.xml><?xml version="1.0" encoding="utf-8"?>
<sst xmlns="http://schemas.openxmlformats.org/spreadsheetml/2006/main" count="210" uniqueCount="129">
  <si>
    <t>Material</t>
  </si>
  <si>
    <t>Volume (cm^3)</t>
  </si>
  <si>
    <t>ceramic</t>
  </si>
  <si>
    <t>Total</t>
  </si>
  <si>
    <t>diffusion_barrier</t>
  </si>
  <si>
    <t>fuel</t>
  </si>
  <si>
    <t>gap</t>
  </si>
  <si>
    <t>clad</t>
  </si>
  <si>
    <t>Fuel - Mod Rod</t>
  </si>
  <si>
    <t>Fuel Gap</t>
  </si>
  <si>
    <t>Cladding</t>
  </si>
  <si>
    <t>Ceramic</t>
  </si>
  <si>
    <t>Voi - NaK</t>
  </si>
  <si>
    <t>Volume Fraction</t>
  </si>
  <si>
    <t>Tot Active Core</t>
  </si>
  <si>
    <t xml:space="preserve">     coolant     </t>
  </si>
  <si>
    <t xml:space="preserve">      fuel       </t>
  </si>
  <si>
    <t xml:space="preserve">       gap       </t>
  </si>
  <si>
    <t xml:space="preserve"> burnable_poison </t>
  </si>
  <si>
    <t>VF Diff %</t>
  </si>
  <si>
    <t xml:space="preserve">Fuel Gap       </t>
  </si>
  <si>
    <t xml:space="preserve">Cladding      </t>
  </si>
  <si>
    <t xml:space="preserve">Void - NaK   </t>
  </si>
  <si>
    <t xml:space="preserve">Fuel-Mod Rod      </t>
  </si>
  <si>
    <t>void</t>
  </si>
  <si>
    <t xml:space="preserve">     reflMix     </t>
  </si>
  <si>
    <t xml:space="preserve">clad </t>
  </si>
  <si>
    <t xml:space="preserve">Ceramic </t>
  </si>
  <si>
    <t>MT</t>
  </si>
  <si>
    <t>62144.03c</t>
  </si>
  <si>
    <t>62147.03c</t>
  </si>
  <si>
    <t>62148.03c</t>
  </si>
  <si>
    <t>62149.03c</t>
  </si>
  <si>
    <t>62150.03c</t>
  </si>
  <si>
    <t>62152.03c</t>
  </si>
  <si>
    <t>62154.03c</t>
  </si>
  <si>
    <t>Sm_mf</t>
  </si>
  <si>
    <t>sm_mass</t>
  </si>
  <si>
    <t>O_mf</t>
  </si>
  <si>
    <t>sm2o3</t>
  </si>
  <si>
    <t>o_mass</t>
  </si>
  <si>
    <t>8016.03c</t>
  </si>
  <si>
    <t>Mass Fraction</t>
  </si>
  <si>
    <t>ZAID - Nuclide</t>
  </si>
  <si>
    <t>Enriched U-Zr Alloy, Zr- Hydrided</t>
  </si>
  <si>
    <t>Atomic Fraction</t>
  </si>
  <si>
    <t>H/Zr Atom Ratio</t>
  </si>
  <si>
    <t>Fuel Rod Material Composition</t>
  </si>
  <si>
    <t>Atomic Density (1/barn*cm)</t>
  </si>
  <si>
    <t>?</t>
  </si>
  <si>
    <t>Value</t>
  </si>
  <si>
    <t>Parameter</t>
  </si>
  <si>
    <t>Outiside diameter (in)</t>
  </si>
  <si>
    <t>Axial Length (in)</t>
  </si>
  <si>
    <t>Total Weight (g)</t>
  </si>
  <si>
    <t>U Weight (g)</t>
  </si>
  <si>
    <t>U235 Enrichment (wt%)</t>
  </si>
  <si>
    <t>NH (atoms/cm^3)</t>
  </si>
  <si>
    <t>Zr (wt%)</t>
  </si>
  <si>
    <t>H  (wt%)</t>
  </si>
  <si>
    <t>U  (wt%)</t>
  </si>
  <si>
    <t>Fuel Rod Density (g/cm^3)</t>
  </si>
  <si>
    <t>apothem</t>
  </si>
  <si>
    <t>Lattice Spacing (in)</t>
  </si>
  <si>
    <t>Diameter Across Corners (in)</t>
  </si>
  <si>
    <t>Diameter Across Flats (in)</t>
  </si>
  <si>
    <t>Equivalent Core Diameter (in)</t>
  </si>
  <si>
    <t>Core Length (in)</t>
  </si>
  <si>
    <t>Fuel - Moderator Rods</t>
  </si>
  <si>
    <t>Fuel Void</t>
  </si>
  <si>
    <t>Void - NaK</t>
  </si>
  <si>
    <t>Total Uranium (kg)</t>
  </si>
  <si>
    <t>Total Sm2O3 (g)</t>
  </si>
  <si>
    <t>H/U235 atom ratio</t>
  </si>
  <si>
    <t>o_sm_mf</t>
  </si>
  <si>
    <t>o_sm_mass</t>
  </si>
  <si>
    <t>sm2O3_mass</t>
  </si>
  <si>
    <t>Shims Installed</t>
  </si>
  <si>
    <t>Effective Reflector Thickness (in)</t>
  </si>
  <si>
    <t>Drums Locked Out</t>
  </si>
  <si>
    <t>Number of Lucite Rods</t>
  </si>
  <si>
    <t>Numer of Fuel Elements</t>
  </si>
  <si>
    <t>Effective Delayed Nuetron Fraction</t>
  </si>
  <si>
    <t>C-1</t>
  </si>
  <si>
    <t>C-2</t>
  </si>
  <si>
    <t>C-3</t>
  </si>
  <si>
    <t>C-4</t>
  </si>
  <si>
    <t>Calculation Error (%delta k/k)</t>
  </si>
  <si>
    <t>A-B</t>
  </si>
  <si>
    <t>A</t>
  </si>
  <si>
    <t>None</t>
  </si>
  <si>
    <t>Experimental Excess Reactivity (cents)</t>
  </si>
  <si>
    <t>Experimental Excess Reactivity (pcm)</t>
  </si>
  <si>
    <t xml:space="preserve">         ---</t>
  </si>
  <si>
    <t>Modeled Effective Multplication Factor</t>
  </si>
  <si>
    <t xml:space="preserve">Experimental Effective Multiplication Factor </t>
  </si>
  <si>
    <t>Modeled Excess Reactivity (pcm)</t>
  </si>
  <si>
    <t>Calculation Error Upper - Lower Bound (k)</t>
  </si>
  <si>
    <t>Difference Excess Reactivity (delta pcm)</t>
  </si>
  <si>
    <t>Drum</t>
  </si>
  <si>
    <t>Shim A</t>
  </si>
  <si>
    <t>Drum Length</t>
  </si>
  <si>
    <t>Radius of Curvature</t>
  </si>
  <si>
    <t>Vessel - Drum Gap</t>
  </si>
  <si>
    <t>Shim B</t>
  </si>
  <si>
    <t>Shim C</t>
  </si>
  <si>
    <t>Total Effective Reflector Thickness</t>
  </si>
  <si>
    <t>Shim Length</t>
  </si>
  <si>
    <t>Effective Reflector Thickness</t>
  </si>
  <si>
    <t>Effective Annular Area</t>
  </si>
  <si>
    <t>Outer Barrel Radius</t>
  </si>
  <si>
    <t>Drum Inner Radius</t>
  </si>
  <si>
    <t>Effective Relfector Outer Radius</t>
  </si>
  <si>
    <t>Effective Area With Core</t>
  </si>
  <si>
    <t>Apothem Eq. Hex.(in)</t>
  </si>
  <si>
    <t xml:space="preserve"> </t>
  </si>
  <si>
    <t>Configuration</t>
  </si>
  <si>
    <t>S-Hex Eq. Hex.(in)</t>
  </si>
  <si>
    <t>Adjusted Thickness Eq.Hex (in)</t>
  </si>
  <si>
    <t>Adjusted Apothem Eq.Hex (in)</t>
  </si>
  <si>
    <t>Adjusted Apothem Eq.Hex (cm)</t>
  </si>
  <si>
    <t>C-4*</t>
  </si>
  <si>
    <t>No. 6 @ 105 Degrees</t>
  </si>
  <si>
    <t>No. 6 @ 90 Degrees</t>
  </si>
  <si>
    <t>C-5*</t>
  </si>
  <si>
    <t>Modeled Infinite Multiplication Factor</t>
  </si>
  <si>
    <t>Modeled Probability of Non-Leakage</t>
  </si>
  <si>
    <t>Modeled Reproduction Factor</t>
  </si>
  <si>
    <t>Modeled Thermal Fuel Utilization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</si>
</sst>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mbria"/>
      <family val="1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2" fontId="2" fillId="0" borderId="0" xfId="0" applyNumberFormat="1" applyFont="1"/>
    <xf numFmtId="167" fontId="0" fillId="0" borderId="0" xfId="1" applyNumberFormat="1" applyFont="1"/>
    <xf numFmtId="2" fontId="0" fillId="0" borderId="0" xfId="1" applyNumberFormat="1" applyFont="1"/>
    <xf numFmtId="0" fontId="0" fillId="0" borderId="0" xfId="0" quotePrefix="1"/>
    <xf numFmtId="0" fontId="4" fillId="0" borderId="0" xfId="0" applyFont="1"/>
    <xf numFmtId="0" fontId="5" fillId="0" borderId="1" xfId="0" applyFont="1" applyBorder="1"/>
    <xf numFmtId="0" fontId="0" fillId="2" borderId="0" xfId="0" applyFill="1"/>
    <xf numFmtId="0" fontId="0" fillId="0" borderId="0" xfId="0" applyAlignment="1">
      <alignment horizontal="left"/>
    </xf>
    <xf numFmtId="0" fontId="4" fillId="2" borderId="0" xfId="0" applyFont="1" applyFill="1"/>
    <xf numFmtId="165" fontId="0" fillId="2" borderId="0" xfId="0" applyNumberFormat="1" applyFill="1"/>
    <xf numFmtId="0" fontId="6" fillId="0" borderId="3" xfId="0" applyFont="1" applyBorder="1"/>
    <xf numFmtId="0" fontId="2" fillId="3" borderId="0" xfId="0" applyFont="1" applyFill="1"/>
    <xf numFmtId="0" fontId="7" fillId="3" borderId="0" xfId="0" applyFont="1" applyFill="1"/>
    <xf numFmtId="0" fontId="0" fillId="0" borderId="0" xfId="0" applyAlignment="1">
      <alignment horizontal="center"/>
    </xf>
    <xf numFmtId="11" fontId="8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0" fillId="0" borderId="0" xfId="0" applyFill="1" applyBorder="1"/>
    <xf numFmtId="2" fontId="0" fillId="2" borderId="0" xfId="0" applyNumberFormat="1" applyFill="1"/>
    <xf numFmtId="2" fontId="0" fillId="0" borderId="2" xfId="0" applyNumberFormat="1" applyBorder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EF0CF-F678-E94E-B846-E3D7C59575C5}" name="Table1" displayName="Table1" ref="N10:O22" totalsRowShown="0">
  <autoFilter ref="N10:O22" xr:uid="{759EF0CF-F678-E94E-B846-E3D7C59575C5}"/>
  <tableColumns count="2">
    <tableColumn id="1" xr3:uid="{A11B0E75-B3C5-5A45-9877-FBF216811DBD}" name="Parameter"/>
    <tableColumn id="2" xr3:uid="{B4FB3432-CB59-F146-81DD-BF3A579C0257}" name="Value" dataDxfId="0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9CC59-7AC1-ED49-9403-8DAAA3397440}" name="Table2" displayName="Table2" ref="Q10:R24" totalsRowShown="0">
  <autoFilter ref="Q10:R24" xr:uid="{84E9CC59-7AC1-ED49-9403-8DAAA3397440}"/>
  <tableColumns count="2">
    <tableColumn id="1" xr3:uid="{2A40CD11-4AF7-F741-B1D0-16E9D38B45E5}" name="Parameter"/>
    <tableColumn id="2" xr3:uid="{B80A243B-1783-A445-B98B-BBF860F688D7}" name="Valu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0CB38-9ED9-E549-969E-8C3CEC699E89}" name="Table3" displayName="Table3" ref="A3:E17" totalsRowShown="0">
  <autoFilter ref="A3:E17" xr:uid="{E460CB38-9ED9-E549-969E-8C3CEC699E89}"/>
  <tableColumns count="5">
    <tableColumn id="1" xr3:uid="{1D758A66-3B95-BE4F-BEBD-7FAAB9B20C26}" name="Configuration"/>
    <tableColumn id="2" xr3:uid="{9FC9E1C4-F61E-194D-9382-B945CC5E1732}" name="C-1"/>
    <tableColumn id="3" xr3:uid="{7D0A40A6-2579-5648-AD37-E000A985A781}" name="C-2"/>
    <tableColumn id="4" xr3:uid="{9B2D7E5F-C741-BA46-AA3C-E90B01B49080}" name="C-3"/>
    <tableColumn id="5" xr3:uid="{66DACF22-C7C6-A34D-A241-4E895FEAC535}" name="C-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D26-166B-3E40-8864-727ACAD5733F}">
  <dimension ref="A3:S95"/>
  <sheetViews>
    <sheetView topLeftCell="A53" zoomScale="131" workbookViewId="0">
      <selection activeCell="D98" sqref="D98"/>
    </sheetView>
  </sheetViews>
  <sheetFormatPr baseColWidth="10" defaultRowHeight="15" x14ac:dyDescent="0.2"/>
  <cols>
    <col min="1" max="1" width="15.83203125" bestFit="1" customWidth="1"/>
    <col min="2" max="2" width="26.83203125" bestFit="1" customWidth="1"/>
    <col min="3" max="3" width="23.83203125" bestFit="1" customWidth="1"/>
    <col min="4" max="4" width="26.6640625" bestFit="1" customWidth="1"/>
    <col min="5" max="5" width="18.6640625" bestFit="1" customWidth="1"/>
    <col min="6" max="6" width="20.6640625" bestFit="1" customWidth="1"/>
    <col min="7" max="7" width="17.83203125" bestFit="1" customWidth="1"/>
    <col min="8" max="8" width="24" bestFit="1" customWidth="1"/>
    <col min="9" max="10" width="23.83203125" bestFit="1" customWidth="1"/>
    <col min="11" max="11" width="30.6640625" bestFit="1" customWidth="1"/>
    <col min="12" max="12" width="28.83203125" bestFit="1" customWidth="1"/>
    <col min="13" max="13" width="30.6640625" bestFit="1" customWidth="1"/>
    <col min="14" max="14" width="25.6640625" bestFit="1" customWidth="1"/>
    <col min="15" max="15" width="38.1640625" bestFit="1" customWidth="1"/>
    <col min="16" max="16" width="25.6640625" bestFit="1" customWidth="1"/>
    <col min="17" max="17" width="23.5" bestFit="1" customWidth="1"/>
    <col min="18" max="18" width="14.5" customWidth="1"/>
  </cols>
  <sheetData>
    <row r="3" spans="2:18" x14ac:dyDescent="0.2">
      <c r="B3" t="s">
        <v>0</v>
      </c>
      <c r="C3" t="s">
        <v>13</v>
      </c>
      <c r="E3" t="s">
        <v>0</v>
      </c>
      <c r="F3" t="s">
        <v>1</v>
      </c>
      <c r="G3" s="5" t="s">
        <v>13</v>
      </c>
      <c r="H3" t="s">
        <v>19</v>
      </c>
      <c r="J3">
        <v>65210.447999999902</v>
      </c>
      <c r="K3">
        <f>K4*211</f>
        <v>65336.783000000003</v>
      </c>
      <c r="M3">
        <v>8.51</v>
      </c>
    </row>
    <row r="4" spans="2:18" x14ac:dyDescent="0.2">
      <c r="B4" t="s">
        <v>9</v>
      </c>
      <c r="C4">
        <v>0.01</v>
      </c>
      <c r="E4" s="5" t="s">
        <v>27</v>
      </c>
      <c r="F4" s="3">
        <f>C13+C14</f>
        <v>13331.67</v>
      </c>
      <c r="G4" s="7">
        <f>D13+D14</f>
        <v>0.91442355731914993</v>
      </c>
      <c r="H4" s="9">
        <f>(G4-C4)/C4</f>
        <v>90.442355731914986</v>
      </c>
      <c r="J4">
        <f>J3/211</f>
        <v>309.05425592417015</v>
      </c>
      <c r="K4">
        <v>309.65300000000002</v>
      </c>
      <c r="M4">
        <f>M3/211</f>
        <v>4.0331753554502366E-2</v>
      </c>
    </row>
    <row r="5" spans="2:18" x14ac:dyDescent="0.2">
      <c r="B5" t="s">
        <v>11</v>
      </c>
      <c r="C5">
        <v>1.2999999999999999E-2</v>
      </c>
      <c r="E5" s="5" t="s">
        <v>20</v>
      </c>
      <c r="F5" s="8">
        <v>226.71199999999999</v>
      </c>
      <c r="G5" s="7">
        <f>F5/$C$20</f>
        <v>1.5550249408134098E-2</v>
      </c>
      <c r="H5" s="9">
        <f t="shared" ref="H5:H8" si="0">(G5-C5)/C5</f>
        <v>0.19617303139493067</v>
      </c>
      <c r="J5">
        <f>J4/6.06</f>
        <v>50.999052132701351</v>
      </c>
      <c r="K5">
        <f>K4/6.06</f>
        <v>51.097854785478553</v>
      </c>
    </row>
    <row r="6" spans="2:18" x14ac:dyDescent="0.2">
      <c r="B6" t="s">
        <v>10</v>
      </c>
      <c r="C6">
        <v>6.7000000000000004E-2</v>
      </c>
      <c r="E6" s="5" t="s">
        <v>21</v>
      </c>
      <c r="F6" s="8">
        <v>839.25699999999995</v>
      </c>
      <c r="G6" s="7">
        <f>F6/$C$20</f>
        <v>5.7564909080782656E-2</v>
      </c>
      <c r="H6" s="9">
        <f t="shared" si="0"/>
        <v>-0.14082225252563205</v>
      </c>
      <c r="J6">
        <f>J5/35.56</f>
        <v>1.4341690700984631</v>
      </c>
      <c r="K6">
        <f>K5/35.56</f>
        <v>1.4369475473981594</v>
      </c>
    </row>
    <row r="7" spans="2:18" x14ac:dyDescent="0.2">
      <c r="B7" t="s">
        <v>12</v>
      </c>
      <c r="C7">
        <v>0.12</v>
      </c>
      <c r="E7" s="5" t="s">
        <v>22</v>
      </c>
      <c r="F7" s="8">
        <v>2572</v>
      </c>
      <c r="G7" s="7">
        <f>F7/$C$20</f>
        <v>0.17641431189227258</v>
      </c>
      <c r="H7" s="9">
        <f t="shared" si="0"/>
        <v>0.4701192657689382</v>
      </c>
      <c r="J7">
        <f>SQRT(J6/PI())</f>
        <v>0.67565538070184472</v>
      </c>
      <c r="K7">
        <f>SQRT(K6/PI())</f>
        <v>0.67630955210198329</v>
      </c>
    </row>
    <row r="8" spans="2:18" x14ac:dyDescent="0.2">
      <c r="B8" t="s">
        <v>8</v>
      </c>
      <c r="C8">
        <v>0.79</v>
      </c>
      <c r="E8" s="5" t="s">
        <v>23</v>
      </c>
      <c r="F8" s="8">
        <v>10760.8</v>
      </c>
      <c r="G8" s="7">
        <f>F8/$C$20</f>
        <v>0.73808675249236655</v>
      </c>
      <c r="H8" s="9">
        <f t="shared" si="0"/>
        <v>-6.571297152864998E-2</v>
      </c>
    </row>
    <row r="9" spans="2:18" x14ac:dyDescent="0.2">
      <c r="B9" t="s">
        <v>14</v>
      </c>
      <c r="C9">
        <f>SUM(C4:C8)</f>
        <v>1</v>
      </c>
      <c r="E9" t="s">
        <v>14</v>
      </c>
      <c r="F9" s="3">
        <f>SUM(F4:F8)</f>
        <v>27730.438999999998</v>
      </c>
      <c r="G9" s="7">
        <f>SUM(G4:G8)</f>
        <v>1.9020397801927058</v>
      </c>
    </row>
    <row r="10" spans="2:18" x14ac:dyDescent="0.2">
      <c r="F10" t="s">
        <v>62</v>
      </c>
      <c r="N10" t="s">
        <v>51</v>
      </c>
      <c r="O10" t="s">
        <v>50</v>
      </c>
      <c r="Q10" t="s">
        <v>51</v>
      </c>
      <c r="R10" t="s">
        <v>50</v>
      </c>
    </row>
    <row r="11" spans="2:18" x14ac:dyDescent="0.2">
      <c r="F11">
        <v>9</v>
      </c>
      <c r="G11">
        <f>F11*2.54</f>
        <v>22.86</v>
      </c>
      <c r="H11">
        <f>G11/2</f>
        <v>11.43</v>
      </c>
      <c r="I11">
        <v>9.3520000000000003</v>
      </c>
      <c r="J11">
        <f>I11*2.54</f>
        <v>23.754080000000002</v>
      </c>
      <c r="K11">
        <f>J11/2</f>
        <v>11.877040000000001</v>
      </c>
      <c r="N11" t="s">
        <v>0</v>
      </c>
      <c r="O11" t="s">
        <v>44</v>
      </c>
      <c r="Q11" t="s">
        <v>63</v>
      </c>
      <c r="R11">
        <v>0.56999999999999995</v>
      </c>
    </row>
    <row r="12" spans="2:18" x14ac:dyDescent="0.2">
      <c r="B12" s="5" t="s">
        <v>0</v>
      </c>
      <c r="C12" t="s">
        <v>1</v>
      </c>
      <c r="D12" s="5" t="s">
        <v>13</v>
      </c>
      <c r="F12">
        <v>9.25</v>
      </c>
      <c r="G12">
        <f>F12*2.54</f>
        <v>23.495000000000001</v>
      </c>
      <c r="H12">
        <f>G12/2</f>
        <v>11.7475</v>
      </c>
      <c r="N12" t="s">
        <v>52</v>
      </c>
      <c r="O12">
        <f>0.532</f>
        <v>0.53200000000000003</v>
      </c>
      <c r="Q12" t="s">
        <v>64</v>
      </c>
      <c r="R12">
        <v>9.25</v>
      </c>
    </row>
    <row r="13" spans="2:18" x14ac:dyDescent="0.2">
      <c r="B13" s="5" t="s">
        <v>15</v>
      </c>
      <c r="C13">
        <v>2571.9699999999998</v>
      </c>
      <c r="D13" s="6">
        <f t="shared" ref="D13:D19" si="1">C13/$C$20</f>
        <v>0.17641225418256931</v>
      </c>
      <c r="G13">
        <f>9*2.54</f>
        <v>22.86</v>
      </c>
      <c r="H13">
        <f>G13/2</f>
        <v>11.43</v>
      </c>
      <c r="N13" t="s">
        <v>53</v>
      </c>
      <c r="O13">
        <f>14</f>
        <v>14</v>
      </c>
      <c r="Q13" t="s">
        <v>65</v>
      </c>
      <c r="R13">
        <v>9</v>
      </c>
    </row>
    <row r="14" spans="2:18" x14ac:dyDescent="0.2">
      <c r="B14" s="5" t="s">
        <v>16</v>
      </c>
      <c r="C14" s="5">
        <v>10759.7</v>
      </c>
      <c r="D14" s="6">
        <f t="shared" si="1"/>
        <v>0.73801130313658059</v>
      </c>
      <c r="G14">
        <f>9.25*2.54</f>
        <v>23.495000000000001</v>
      </c>
      <c r="H14">
        <f>G14/2</f>
        <v>11.7475</v>
      </c>
      <c r="N14" t="s">
        <v>54</v>
      </c>
      <c r="O14">
        <f>65203.782/211</f>
        <v>309.02266350710897</v>
      </c>
      <c r="Q14" t="s">
        <v>66</v>
      </c>
      <c r="R14" t="s">
        <v>49</v>
      </c>
    </row>
    <row r="15" spans="2:18" x14ac:dyDescent="0.2">
      <c r="B15" s="5" t="s">
        <v>4</v>
      </c>
      <c r="C15" s="5">
        <v>0</v>
      </c>
      <c r="D15" s="6">
        <f t="shared" si="1"/>
        <v>0</v>
      </c>
      <c r="F15" t="s">
        <v>5</v>
      </c>
      <c r="G15">
        <f>0.532*2.54</f>
        <v>1.35128</v>
      </c>
      <c r="H15">
        <f>G15/2</f>
        <v>0.67564000000000002</v>
      </c>
      <c r="I15">
        <f>PI()*H15^2</f>
        <v>1.4341037756409021</v>
      </c>
      <c r="J15" s="2">
        <f>I15/$I$20</f>
        <v>0.79000924124987726</v>
      </c>
      <c r="K15" t="s">
        <v>8</v>
      </c>
      <c r="L15">
        <v>0.79</v>
      </c>
      <c r="N15" t="s">
        <v>55</v>
      </c>
      <c r="O15" s="3">
        <f>(Q29+Q30)*O14</f>
        <v>30.399625537383411</v>
      </c>
      <c r="Q15" t="s">
        <v>67</v>
      </c>
      <c r="R15">
        <v>14</v>
      </c>
    </row>
    <row r="16" spans="2:18" x14ac:dyDescent="0.2">
      <c r="B16" s="5" t="s">
        <v>18</v>
      </c>
      <c r="C16" s="5">
        <v>0</v>
      </c>
      <c r="D16" s="6">
        <f t="shared" si="1"/>
        <v>0</v>
      </c>
      <c r="F16" t="s">
        <v>2</v>
      </c>
      <c r="G16">
        <f>0.0022*2.54</f>
        <v>5.5880000000000001E-3</v>
      </c>
      <c r="H16">
        <f>G16+H15</f>
        <v>0.68122800000000006</v>
      </c>
      <c r="I16">
        <f>PI()*H16^2 -I15</f>
        <v>2.3820115909381823E-2</v>
      </c>
      <c r="J16" s="2">
        <f>I16/$I$27</f>
        <v>1.3121861901273521E-2</v>
      </c>
      <c r="K16" t="s">
        <v>11</v>
      </c>
      <c r="L16">
        <v>1.2999999999999999E-2</v>
      </c>
      <c r="N16" t="s">
        <v>56</v>
      </c>
      <c r="O16" s="4">
        <f>Q29/(Q29+Q30)</f>
        <v>0.93139561538199589</v>
      </c>
      <c r="Q16" t="s">
        <v>13</v>
      </c>
    </row>
    <row r="17" spans="2:19" x14ac:dyDescent="0.2">
      <c r="B17" s="5" t="s">
        <v>25</v>
      </c>
      <c r="C17" s="5">
        <v>178.90100000000001</v>
      </c>
      <c r="D17" s="6">
        <f t="shared" si="1"/>
        <v>1.2270877454058887E-2</v>
      </c>
      <c r="F17" t="s">
        <v>6</v>
      </c>
      <c r="G17">
        <f>0.0016*2.54</f>
        <v>4.0639999999999999E-3</v>
      </c>
      <c r="H17">
        <f>H16+G17</f>
        <v>0.68529200000000001</v>
      </c>
      <c r="I17">
        <f>PI()*H17^2 -I16-I15</f>
        <v>1.7446951920284892E-2</v>
      </c>
      <c r="J17" s="2">
        <f>I17/$I$27</f>
        <v>9.6110570816310761E-3</v>
      </c>
      <c r="K17" t="s">
        <v>9</v>
      </c>
      <c r="L17">
        <v>0.01</v>
      </c>
      <c r="N17" t="s">
        <v>57</v>
      </c>
      <c r="O17" s="7" t="s">
        <v>49</v>
      </c>
      <c r="Q17" t="s">
        <v>68</v>
      </c>
      <c r="R17" s="2">
        <f>J15</f>
        <v>0.79000924124987726</v>
      </c>
    </row>
    <row r="18" spans="2:19" x14ac:dyDescent="0.2">
      <c r="B18" s="5" t="s">
        <v>17</v>
      </c>
      <c r="C18" s="5">
        <v>131.03100000000001</v>
      </c>
      <c r="D18" s="6">
        <f t="shared" si="1"/>
        <v>8.9874586709006096E-3</v>
      </c>
      <c r="F18" t="s">
        <v>7</v>
      </c>
      <c r="G18">
        <f>0.562*2.54</f>
        <v>1.4274800000000001</v>
      </c>
      <c r="H18">
        <f>G18/2</f>
        <v>0.71374000000000004</v>
      </c>
      <c r="I18">
        <f>PI()*H18^2 -I17-I16-I15</f>
        <v>0.12503432681013216</v>
      </c>
      <c r="J18" s="2">
        <f>I18/$I$27</f>
        <v>6.8878051457132244E-2</v>
      </c>
      <c r="K18" t="s">
        <v>10</v>
      </c>
      <c r="L18">
        <v>6.7000000000000004E-2</v>
      </c>
      <c r="N18" t="s">
        <v>60</v>
      </c>
      <c r="O18" s="4">
        <f>SUM(Q29:Q30)</f>
        <v>9.8373450000000001E-2</v>
      </c>
      <c r="Q18" t="s">
        <v>69</v>
      </c>
      <c r="R18">
        <f>L17</f>
        <v>0.01</v>
      </c>
    </row>
    <row r="19" spans="2:19" x14ac:dyDescent="0.2">
      <c r="B19" t="s">
        <v>26</v>
      </c>
      <c r="C19">
        <v>937.71400000000006</v>
      </c>
      <c r="D19" s="6">
        <f t="shared" si="1"/>
        <v>6.4318106555890556E-2</v>
      </c>
      <c r="F19" t="s">
        <v>24</v>
      </c>
      <c r="G19">
        <f>0.57*2.54</f>
        <v>1.4478</v>
      </c>
      <c r="H19">
        <f>G19/2</f>
        <v>0.72389999999999999</v>
      </c>
      <c r="I19">
        <f>1.8153-I18-I17-I16-I15</f>
        <v>0.21489482971929896</v>
      </c>
      <c r="J19" s="2">
        <f>I19/$I$27</f>
        <v>0.11837978831008591</v>
      </c>
      <c r="K19" t="s">
        <v>12</v>
      </c>
      <c r="L19">
        <v>0.12</v>
      </c>
      <c r="N19" t="s">
        <v>58</v>
      </c>
      <c r="O19" s="4">
        <f>SUM(Q31:Q35)</f>
        <v>0.88524709999999995</v>
      </c>
      <c r="Q19" t="s">
        <v>10</v>
      </c>
      <c r="R19" s="2">
        <f>J18</f>
        <v>6.8878051457132244E-2</v>
      </c>
    </row>
    <row r="20" spans="2:19" x14ac:dyDescent="0.2">
      <c r="B20" s="5" t="s">
        <v>14</v>
      </c>
      <c r="C20">
        <f>SUM(C13:C19)</f>
        <v>14579.316000000001</v>
      </c>
      <c r="D20" s="6">
        <f>SUM(D13:D19)</f>
        <v>0.99999999999999989</v>
      </c>
      <c r="I20">
        <f>SUM(I14:I19)</f>
        <v>1.8152999999999999</v>
      </c>
      <c r="N20" t="s">
        <v>59</v>
      </c>
      <c r="O20" s="4">
        <f>SUM(Q27:Q28)</f>
        <v>1.6378926110000001E-2</v>
      </c>
      <c r="Q20" t="s">
        <v>11</v>
      </c>
      <c r="R20" s="2">
        <f>J16</f>
        <v>1.3121861901273521E-2</v>
      </c>
    </row>
    <row r="21" spans="2:19" x14ac:dyDescent="0.2">
      <c r="N21" t="s">
        <v>46</v>
      </c>
      <c r="O21" s="3">
        <f>SUM(P27:P28)/SUM(P31:P35)</f>
        <v>1.6744988457024121</v>
      </c>
      <c r="Q21" t="s">
        <v>70</v>
      </c>
      <c r="R21" s="2">
        <f>J19</f>
        <v>0.11837978831008591</v>
      </c>
    </row>
    <row r="22" spans="2:19" x14ac:dyDescent="0.2">
      <c r="F22" t="s">
        <v>5</v>
      </c>
      <c r="G22">
        <f>0.532*2.54</f>
        <v>1.35128</v>
      </c>
      <c r="H22">
        <f>G22/2</f>
        <v>0.67564000000000002</v>
      </c>
      <c r="I22">
        <f>PI()*H22^2</f>
        <v>1.4341037756409021</v>
      </c>
      <c r="J22">
        <f>I22/$I$27</f>
        <v>0.79000924124987726</v>
      </c>
      <c r="N22" t="s">
        <v>61</v>
      </c>
      <c r="O22">
        <v>6.06</v>
      </c>
      <c r="Q22" t="s">
        <v>71</v>
      </c>
      <c r="R22" s="3">
        <f>O15*211/1000</f>
        <v>6.4143209883878995</v>
      </c>
    </row>
    <row r="23" spans="2:19" x14ac:dyDescent="0.2">
      <c r="F23" t="s">
        <v>6</v>
      </c>
      <c r="G23">
        <f>0.0016*2.54</f>
        <v>4.0639999999999999E-3</v>
      </c>
      <c r="H23">
        <f>H22+G23</f>
        <v>0.67970399999999997</v>
      </c>
      <c r="I23">
        <f>PI()*H23^2 -I22</f>
        <v>1.7304263094171102E-2</v>
      </c>
      <c r="J23">
        <f>I23/$I$27</f>
        <v>9.5324536408147986E-3</v>
      </c>
      <c r="Q23" t="s">
        <v>72</v>
      </c>
      <c r="R23" s="10">
        <f>F81</f>
        <v>8.5100153021412464</v>
      </c>
    </row>
    <row r="24" spans="2:19" x14ac:dyDescent="0.2">
      <c r="F24" t="s">
        <v>2</v>
      </c>
      <c r="G24">
        <f>0.0022*2.54</f>
        <v>5.5880000000000001E-3</v>
      </c>
      <c r="H24">
        <f>G24+H23</f>
        <v>0.68529200000000001</v>
      </c>
      <c r="I24">
        <f>PI()*H24^2 -I23-I22</f>
        <v>2.3962804735495613E-2</v>
      </c>
      <c r="J24">
        <f>I24/$I$27</f>
        <v>1.3200465342089801E-2</v>
      </c>
      <c r="Q24" t="s">
        <v>73</v>
      </c>
      <c r="R24" s="10">
        <f>SUM(P27:P28)/P29</f>
        <v>41.684359239064264</v>
      </c>
    </row>
    <row r="25" spans="2:19" x14ac:dyDescent="0.2">
      <c r="F25" t="s">
        <v>7</v>
      </c>
      <c r="G25">
        <f>0.562*2.54</f>
        <v>1.4274800000000001</v>
      </c>
      <c r="H25">
        <f>G25/2</f>
        <v>0.71374000000000004</v>
      </c>
      <c r="I25">
        <f>PI()*H25^2 -I23-I24-I22</f>
        <v>0.12503432681013216</v>
      </c>
      <c r="J25">
        <f>I25/$I$27</f>
        <v>6.8878051457132244E-2</v>
      </c>
      <c r="N25" s="21" t="s">
        <v>47</v>
      </c>
      <c r="O25" s="21"/>
      <c r="P25" s="21"/>
      <c r="Q25" s="21"/>
      <c r="R25" s="4"/>
    </row>
    <row r="26" spans="2:19" x14ac:dyDescent="0.2">
      <c r="F26" t="s">
        <v>24</v>
      </c>
      <c r="G26">
        <f>0.57*2.54</f>
        <v>1.4478</v>
      </c>
      <c r="H26">
        <f>G26/2</f>
        <v>0.72389999999999999</v>
      </c>
      <c r="I26">
        <f>1.8153-I25-I24-I23-I22</f>
        <v>0.21489482971929896</v>
      </c>
      <c r="J26">
        <f>I26/$I$27</f>
        <v>0.11837978831008591</v>
      </c>
      <c r="N26" t="s">
        <v>43</v>
      </c>
      <c r="O26" t="s">
        <v>48</v>
      </c>
      <c r="P26" t="s">
        <v>45</v>
      </c>
      <c r="Q26" t="s">
        <v>42</v>
      </c>
      <c r="S26" s="1"/>
    </row>
    <row r="27" spans="2:19" x14ac:dyDescent="0.2">
      <c r="I27">
        <f>SUM(I22:I26)</f>
        <v>1.8152999999999999</v>
      </c>
      <c r="N27">
        <v>1001</v>
      </c>
      <c r="O27" s="1">
        <v>5.9291099999999999E-2</v>
      </c>
      <c r="P27" s="1">
        <v>0.61607900000000004</v>
      </c>
      <c r="Q27" s="1">
        <v>1.6374099999999999E-2</v>
      </c>
    </row>
    <row r="28" spans="2:19" x14ac:dyDescent="0.2">
      <c r="N28">
        <v>1002</v>
      </c>
      <c r="O28" s="1">
        <v>8.7444500000000006E-6</v>
      </c>
      <c r="P28" s="1">
        <v>9.0861399999999997E-5</v>
      </c>
      <c r="Q28" s="1">
        <v>4.8261100000000001E-6</v>
      </c>
    </row>
    <row r="29" spans="2:19" x14ac:dyDescent="0.2">
      <c r="N29">
        <v>92235</v>
      </c>
      <c r="O29" s="1">
        <v>1.4225900000000001E-3</v>
      </c>
      <c r="P29" s="1">
        <v>1.4781799999999999E-2</v>
      </c>
      <c r="Q29" s="1">
        <v>9.16246E-2</v>
      </c>
    </row>
    <row r="30" spans="2:19" x14ac:dyDescent="0.2">
      <c r="N30">
        <v>92238</v>
      </c>
      <c r="O30" s="1">
        <v>1.03461E-4</v>
      </c>
      <c r="P30" s="1">
        <v>1.07504E-3</v>
      </c>
      <c r="Q30" s="1">
        <v>6.7488499999999998E-3</v>
      </c>
    </row>
    <row r="31" spans="2:19" x14ac:dyDescent="0.2">
      <c r="G31" s="5"/>
      <c r="N31">
        <v>40090</v>
      </c>
      <c r="O31" s="1">
        <v>1.8205200000000001E-2</v>
      </c>
      <c r="P31" s="1">
        <v>0.189165</v>
      </c>
      <c r="Q31" s="1">
        <v>0.44849800000000001</v>
      </c>
    </row>
    <row r="32" spans="2:19" x14ac:dyDescent="0.2">
      <c r="N32">
        <v>40091</v>
      </c>
      <c r="O32" s="1">
        <v>3.97927E-3</v>
      </c>
      <c r="P32" s="1">
        <v>4.1347599999999998E-2</v>
      </c>
      <c r="Q32" s="1">
        <v>9.9123699999999995E-2</v>
      </c>
    </row>
    <row r="33" spans="1:17" x14ac:dyDescent="0.2">
      <c r="N33">
        <v>40092</v>
      </c>
      <c r="O33" s="1">
        <v>6.0783399999999998E-3</v>
      </c>
      <c r="P33" s="1">
        <v>6.3158500000000006E-2</v>
      </c>
      <c r="Q33" s="1">
        <v>0.15307599999999999</v>
      </c>
    </row>
    <row r="34" spans="1:17" x14ac:dyDescent="0.2">
      <c r="N34">
        <v>40094</v>
      </c>
      <c r="O34" s="1">
        <v>6.1579199999999999E-3</v>
      </c>
      <c r="P34" s="1">
        <v>6.3985399999999998E-2</v>
      </c>
      <c r="Q34" s="1">
        <v>0.15845699999999999</v>
      </c>
    </row>
    <row r="35" spans="1:17" x14ac:dyDescent="0.2">
      <c r="N35">
        <v>40096</v>
      </c>
      <c r="O35" s="1">
        <v>9.9282800000000007E-4</v>
      </c>
      <c r="P35" s="1">
        <v>1.0316199999999999E-2</v>
      </c>
      <c r="Q35" s="1">
        <v>2.6092400000000002E-2</v>
      </c>
    </row>
    <row r="36" spans="1:17" x14ac:dyDescent="0.2">
      <c r="N36" t="s">
        <v>3</v>
      </c>
      <c r="O36" s="1">
        <v>9.6239400000000003E-2</v>
      </c>
      <c r="P36" s="1">
        <v>1</v>
      </c>
      <c r="Q36" s="1">
        <v>1</v>
      </c>
    </row>
    <row r="41" spans="1:17" x14ac:dyDescent="0.2">
      <c r="A41" t="s">
        <v>28</v>
      </c>
      <c r="B41">
        <v>517.42820626000002</v>
      </c>
    </row>
    <row r="42" spans="1:17" x14ac:dyDescent="0.2">
      <c r="A42" t="s">
        <v>29</v>
      </c>
      <c r="B42">
        <v>143.91228000000001</v>
      </c>
      <c r="C42">
        <v>300</v>
      </c>
      <c r="D42" s="1">
        <v>1.54269E-5</v>
      </c>
      <c r="E42" s="1">
        <v>2.5597700000000001E-4</v>
      </c>
      <c r="F42" s="1">
        <v>1.2746700000000001E-3</v>
      </c>
    </row>
    <row r="43" spans="1:17" x14ac:dyDescent="0.2">
      <c r="A43" t="s">
        <v>30</v>
      </c>
      <c r="B43">
        <v>146.91507999999999</v>
      </c>
      <c r="C43">
        <v>300</v>
      </c>
      <c r="D43" s="1">
        <v>7.3595800000000004E-5</v>
      </c>
      <c r="E43" s="1">
        <v>1.2211699999999999E-3</v>
      </c>
      <c r="F43" s="1">
        <v>6.2078100000000002E-3</v>
      </c>
    </row>
    <row r="44" spans="1:17" x14ac:dyDescent="0.2">
      <c r="A44" t="s">
        <v>31</v>
      </c>
      <c r="B44">
        <v>147.91466</v>
      </c>
      <c r="C44">
        <v>300</v>
      </c>
      <c r="D44" s="1">
        <v>5.4823800000000002E-5</v>
      </c>
      <c r="E44" s="1">
        <v>9.0968400000000001E-4</v>
      </c>
      <c r="F44" s="1">
        <v>4.6558499999999996E-3</v>
      </c>
    </row>
    <row r="45" spans="1:17" x14ac:dyDescent="0.2">
      <c r="A45" t="s">
        <v>32</v>
      </c>
      <c r="B45">
        <v>148.91728000000001</v>
      </c>
      <c r="C45">
        <v>300</v>
      </c>
      <c r="D45" s="1">
        <v>6.6894600000000002E-5</v>
      </c>
      <c r="E45" s="1">
        <v>1.1099700000000001E-3</v>
      </c>
      <c r="F45" s="1">
        <v>5.71946E-3</v>
      </c>
    </row>
    <row r="46" spans="1:17" x14ac:dyDescent="0.2">
      <c r="A46" t="s">
        <v>33</v>
      </c>
      <c r="B46">
        <v>149.91686000000001</v>
      </c>
      <c r="C46">
        <v>300</v>
      </c>
      <c r="D46" s="1">
        <v>3.5435999999999998E-5</v>
      </c>
      <c r="E46" s="1">
        <v>5.8798499999999996E-4</v>
      </c>
      <c r="F46" s="1">
        <v>3.0501E-3</v>
      </c>
    </row>
    <row r="47" spans="1:17" x14ac:dyDescent="0.2">
      <c r="A47" t="s">
        <v>34</v>
      </c>
      <c r="B47">
        <v>151.92008000000001</v>
      </c>
      <c r="C47">
        <v>300</v>
      </c>
      <c r="D47" s="1">
        <v>1.2687500000000001E-4</v>
      </c>
      <c r="E47" s="1">
        <v>2.1052100000000002E-3</v>
      </c>
      <c r="F47" s="1">
        <v>1.10665E-2</v>
      </c>
    </row>
    <row r="48" spans="1:17" x14ac:dyDescent="0.2">
      <c r="A48" t="s">
        <v>35</v>
      </c>
      <c r="B48">
        <v>153.92228</v>
      </c>
      <c r="C48">
        <v>300</v>
      </c>
      <c r="D48" s="1">
        <v>1.06492E-4</v>
      </c>
      <c r="E48" s="1">
        <v>1.7669999999999999E-3</v>
      </c>
      <c r="F48" s="1">
        <v>9.4110200000000008E-3</v>
      </c>
    </row>
    <row r="49" spans="1:11" x14ac:dyDescent="0.2">
      <c r="E49" t="s">
        <v>36</v>
      </c>
      <c r="F49" s="3">
        <f>SUM(F42:F48)</f>
        <v>4.1385409999999997E-2</v>
      </c>
      <c r="G49">
        <f>F61/F50</f>
        <v>0.34270528538860734</v>
      </c>
      <c r="H49">
        <f>F49*G49</f>
        <v>1.4182998744974524E-2</v>
      </c>
      <c r="J49">
        <v>1.6623012E-2</v>
      </c>
      <c r="K49">
        <f>J49*G49</f>
        <v>5.6967940714782441E-3</v>
      </c>
    </row>
    <row r="50" spans="1:11" x14ac:dyDescent="0.2">
      <c r="E50" t="s">
        <v>37</v>
      </c>
      <c r="F50" s="3">
        <f>B41*F49</f>
        <v>21.413978461634667</v>
      </c>
      <c r="H50">
        <f>H49*B41</f>
        <v>7.3386835999999995</v>
      </c>
      <c r="K50">
        <f>1-K49</f>
        <v>0.99430320592852173</v>
      </c>
    </row>
    <row r="51" spans="1:11" x14ac:dyDescent="0.2">
      <c r="A51" t="s">
        <v>28</v>
      </c>
      <c r="B51">
        <v>8.51</v>
      </c>
    </row>
    <row r="52" spans="1:11" x14ac:dyDescent="0.2">
      <c r="A52" t="s">
        <v>29</v>
      </c>
      <c r="B52">
        <v>143.91228000000001</v>
      </c>
      <c r="C52">
        <v>300</v>
      </c>
      <c r="D52" s="1">
        <v>9.2503799999999999E-4</v>
      </c>
      <c r="E52" s="1">
        <v>1.2826600000000001E-2</v>
      </c>
      <c r="F52" s="1">
        <v>2.6474500000000002E-2</v>
      </c>
    </row>
    <row r="53" spans="1:11" x14ac:dyDescent="0.2">
      <c r="A53" t="s">
        <v>30</v>
      </c>
      <c r="B53">
        <v>146.91507999999999</v>
      </c>
      <c r="C53">
        <v>300</v>
      </c>
      <c r="D53" s="1">
        <v>4.4244000000000002E-3</v>
      </c>
      <c r="E53" s="1">
        <v>6.1349000000000001E-2</v>
      </c>
      <c r="F53" s="1">
        <v>0.12926799999999999</v>
      </c>
    </row>
    <row r="54" spans="1:11" x14ac:dyDescent="0.2">
      <c r="A54" t="s">
        <v>31</v>
      </c>
      <c r="B54">
        <v>147.91466</v>
      </c>
      <c r="C54">
        <v>300</v>
      </c>
      <c r="D54" s="1">
        <v>3.2951399999999998E-3</v>
      </c>
      <c r="E54" s="1">
        <v>4.5690599999999998E-2</v>
      </c>
      <c r="F54" s="1">
        <v>9.6929299999999996E-2</v>
      </c>
    </row>
    <row r="55" spans="1:11" x14ac:dyDescent="0.2">
      <c r="A55" t="s">
        <v>32</v>
      </c>
      <c r="B55">
        <v>148.91728000000001</v>
      </c>
      <c r="C55">
        <v>300</v>
      </c>
      <c r="D55" s="1">
        <v>4.0242200000000002E-3</v>
      </c>
      <c r="E55" s="1">
        <v>5.5800099999999998E-2</v>
      </c>
      <c r="F55" s="1">
        <v>0.11917800000000001</v>
      </c>
    </row>
    <row r="56" spans="1:11" x14ac:dyDescent="0.2">
      <c r="A56" t="s">
        <v>33</v>
      </c>
      <c r="B56">
        <v>149.91686000000001</v>
      </c>
      <c r="C56">
        <v>300</v>
      </c>
      <c r="D56" s="1">
        <v>2.1346400000000001E-3</v>
      </c>
      <c r="E56" s="1">
        <v>2.95991E-2</v>
      </c>
      <c r="F56" s="1">
        <v>6.3642199999999996E-2</v>
      </c>
    </row>
    <row r="57" spans="1:11" x14ac:dyDescent="0.2">
      <c r="A57" t="s">
        <v>34</v>
      </c>
      <c r="B57">
        <v>151.92008000000001</v>
      </c>
      <c r="C57">
        <v>300</v>
      </c>
      <c r="D57" s="1">
        <v>7.6353300000000001E-3</v>
      </c>
      <c r="E57" s="1">
        <v>0.10587199999999999</v>
      </c>
      <c r="F57" s="1">
        <v>0.230681</v>
      </c>
    </row>
    <row r="58" spans="1:11" x14ac:dyDescent="0.2">
      <c r="A58" t="s">
        <v>35</v>
      </c>
      <c r="B58">
        <v>153.92228</v>
      </c>
      <c r="C58">
        <v>300</v>
      </c>
      <c r="D58" s="1">
        <v>6.4091299999999999E-3</v>
      </c>
      <c r="E58" s="1">
        <v>8.8869400000000001E-2</v>
      </c>
      <c r="F58" s="1">
        <v>0.196187</v>
      </c>
    </row>
    <row r="59" spans="1:11" x14ac:dyDescent="0.2">
      <c r="E59" t="s">
        <v>36</v>
      </c>
      <c r="F59" s="3">
        <f>SUM(F52:F58)</f>
        <v>0.86236000000000002</v>
      </c>
    </row>
    <row r="60" spans="1:11" x14ac:dyDescent="0.2">
      <c r="E60" t="s">
        <v>38</v>
      </c>
      <c r="F60" s="3">
        <v>0.13764000000000001</v>
      </c>
    </row>
    <row r="61" spans="1:11" x14ac:dyDescent="0.2">
      <c r="E61" t="s">
        <v>37</v>
      </c>
      <c r="F61" s="3">
        <f>B51*F59</f>
        <v>7.3386835999999995</v>
      </c>
    </row>
    <row r="62" spans="1:11" x14ac:dyDescent="0.2">
      <c r="E62" t="s">
        <v>40</v>
      </c>
      <c r="F62">
        <f>B51*F60</f>
        <v>1.1713164</v>
      </c>
    </row>
    <row r="63" spans="1:11" x14ac:dyDescent="0.2">
      <c r="E63" t="s">
        <v>39</v>
      </c>
      <c r="F63" s="3">
        <f>F61+F62</f>
        <v>8.51</v>
      </c>
    </row>
    <row r="65" spans="1:6" x14ac:dyDescent="0.2">
      <c r="A65" t="s">
        <v>41</v>
      </c>
      <c r="B65">
        <v>15.99492</v>
      </c>
      <c r="C65">
        <v>300</v>
      </c>
      <c r="D65" s="1">
        <v>3.8197099999999998E-2</v>
      </c>
      <c r="E65" s="3">
        <v>0.63591399999999998</v>
      </c>
      <c r="F65" s="3">
        <v>0.36233500000000002</v>
      </c>
    </row>
    <row r="68" spans="1:6" x14ac:dyDescent="0.2">
      <c r="A68" t="s">
        <v>28</v>
      </c>
      <c r="B68">
        <v>506.57964962</v>
      </c>
    </row>
    <row r="69" spans="1:6" x14ac:dyDescent="0.2">
      <c r="A69" t="s">
        <v>29</v>
      </c>
      <c r="B69">
        <v>143.91228000000001</v>
      </c>
      <c r="C69">
        <v>300</v>
      </c>
      <c r="D69" s="1">
        <v>5.2868900000000003E-6</v>
      </c>
      <c r="E69" s="1">
        <v>8.7916899999999998E-5</v>
      </c>
      <c r="F69" s="1">
        <v>4.4619000000000001E-4</v>
      </c>
    </row>
    <row r="70" spans="1:6" x14ac:dyDescent="0.2">
      <c r="A70" t="s">
        <v>30</v>
      </c>
      <c r="B70">
        <v>146.91507999999999</v>
      </c>
      <c r="C70">
        <v>300</v>
      </c>
      <c r="D70" s="1">
        <v>2.5221699999999999E-5</v>
      </c>
      <c r="E70" s="1">
        <v>4.19417E-4</v>
      </c>
      <c r="F70" s="1">
        <v>2.17301E-3</v>
      </c>
    </row>
    <row r="71" spans="1:6" x14ac:dyDescent="0.2">
      <c r="A71" t="s">
        <v>31</v>
      </c>
      <c r="B71">
        <v>147.91466</v>
      </c>
      <c r="C71">
        <v>300</v>
      </c>
      <c r="D71" s="1">
        <v>1.8788400000000001E-5</v>
      </c>
      <c r="E71" s="1">
        <v>3.1243599999999997E-4</v>
      </c>
      <c r="F71" s="1">
        <v>1.6297600000000001E-3</v>
      </c>
    </row>
    <row r="72" spans="1:6" x14ac:dyDescent="0.2">
      <c r="A72" t="s">
        <v>32</v>
      </c>
      <c r="B72">
        <v>148.91728000000001</v>
      </c>
      <c r="C72">
        <v>300</v>
      </c>
      <c r="D72" s="1">
        <v>2.2925099999999998E-5</v>
      </c>
      <c r="E72" s="1">
        <v>3.8122699999999999E-4</v>
      </c>
      <c r="F72" s="1">
        <v>2.0020699999999999E-3</v>
      </c>
    </row>
    <row r="73" spans="1:6" x14ac:dyDescent="0.2">
      <c r="A73" t="s">
        <v>33</v>
      </c>
      <c r="B73">
        <v>149.91686000000001</v>
      </c>
      <c r="C73">
        <v>300</v>
      </c>
      <c r="D73" s="1">
        <v>1.2144099999999999E-5</v>
      </c>
      <c r="E73" s="1">
        <v>2.0194700000000001E-4</v>
      </c>
      <c r="F73" s="1">
        <v>1.0676699999999999E-3</v>
      </c>
    </row>
    <row r="74" spans="1:6" x14ac:dyDescent="0.2">
      <c r="A74" t="s">
        <v>34</v>
      </c>
      <c r="B74">
        <v>151.92008000000001</v>
      </c>
      <c r="C74">
        <v>300</v>
      </c>
      <c r="D74" s="1">
        <v>4.3480599999999998E-5</v>
      </c>
      <c r="E74" s="1">
        <v>7.2304800000000001E-4</v>
      </c>
      <c r="F74" s="1">
        <v>3.87375E-3</v>
      </c>
    </row>
    <row r="75" spans="1:6" x14ac:dyDescent="0.2">
      <c r="A75" t="s">
        <v>35</v>
      </c>
      <c r="B75">
        <v>153.92228</v>
      </c>
      <c r="C75">
        <v>300</v>
      </c>
      <c r="D75" s="1">
        <v>3.6495300000000003E-5</v>
      </c>
      <c r="E75" s="1">
        <v>6.0688799999999998E-4</v>
      </c>
      <c r="F75" s="1">
        <v>3.2942700000000002E-3</v>
      </c>
    </row>
    <row r="76" spans="1:6" x14ac:dyDescent="0.2">
      <c r="A76" t="s">
        <v>41</v>
      </c>
      <c r="B76">
        <v>15.99492</v>
      </c>
      <c r="C76">
        <v>300</v>
      </c>
      <c r="D76" s="1">
        <v>3.8226000000000003E-2</v>
      </c>
      <c r="E76" s="1">
        <v>0.63566800000000001</v>
      </c>
      <c r="F76" s="1">
        <v>0.35855999999999999</v>
      </c>
    </row>
    <row r="77" spans="1:6" x14ac:dyDescent="0.2">
      <c r="E77" t="s">
        <v>36</v>
      </c>
      <c r="F77" s="3">
        <f>SUM(F69:F75)</f>
        <v>1.448672E-2</v>
      </c>
    </row>
    <row r="78" spans="1:6" x14ac:dyDescent="0.2">
      <c r="E78" t="s">
        <v>74</v>
      </c>
      <c r="F78" s="7">
        <f>0.137642*0.016799</f>
        <v>2.312247958E-3</v>
      </c>
    </row>
    <row r="79" spans="1:6" x14ac:dyDescent="0.2">
      <c r="E79" t="s">
        <v>37</v>
      </c>
      <c r="F79" s="3">
        <f>B68*F77</f>
        <v>7.3386775417430465</v>
      </c>
    </row>
    <row r="80" spans="1:6" x14ac:dyDescent="0.2">
      <c r="E80" t="s">
        <v>75</v>
      </c>
      <c r="F80" s="3">
        <f>F78*B68</f>
        <v>1.1713377603982005</v>
      </c>
    </row>
    <row r="81" spans="1:13" x14ac:dyDescent="0.2">
      <c r="E81" t="s">
        <v>76</v>
      </c>
      <c r="F81" s="3">
        <f>F79+F80</f>
        <v>8.5100153021412464</v>
      </c>
    </row>
    <row r="82" spans="1:13" x14ac:dyDescent="0.2">
      <c r="B82">
        <f>B83*2.54</f>
        <v>12.105640000000001</v>
      </c>
    </row>
    <row r="83" spans="1:13" x14ac:dyDescent="0.2">
      <c r="A83" t="s">
        <v>110</v>
      </c>
      <c r="B83">
        <f>9.532/2</f>
        <v>4.766</v>
      </c>
      <c r="C83" t="s">
        <v>111</v>
      </c>
      <c r="D83">
        <f>B83+F84</f>
        <v>4.8478000000000003</v>
      </c>
      <c r="E83" t="s">
        <v>107</v>
      </c>
      <c r="F83">
        <v>12</v>
      </c>
    </row>
    <row r="84" spans="1:13" x14ac:dyDescent="0.2">
      <c r="A84" t="s">
        <v>101</v>
      </c>
      <c r="B84">
        <f>14.5</f>
        <v>14.5</v>
      </c>
      <c r="C84" t="s">
        <v>102</v>
      </c>
      <c r="D84">
        <v>4.68</v>
      </c>
      <c r="E84" t="s">
        <v>103</v>
      </c>
      <c r="F84">
        <f>0.0818</f>
        <v>8.1799999999999998E-2</v>
      </c>
    </row>
    <row r="85" spans="1:13" x14ac:dyDescent="0.2">
      <c r="B85" t="s">
        <v>106</v>
      </c>
      <c r="C85" t="s">
        <v>108</v>
      </c>
      <c r="D85" t="s">
        <v>112</v>
      </c>
      <c r="E85" t="s">
        <v>109</v>
      </c>
      <c r="F85" t="s">
        <v>113</v>
      </c>
      <c r="G85" t="s">
        <v>117</v>
      </c>
      <c r="H85" t="s">
        <v>118</v>
      </c>
      <c r="I85" t="s">
        <v>119</v>
      </c>
      <c r="J85" t="s">
        <v>120</v>
      </c>
      <c r="M85" s="5"/>
    </row>
    <row r="86" spans="1:13" x14ac:dyDescent="0.2">
      <c r="A86" t="s">
        <v>99</v>
      </c>
      <c r="B86">
        <v>2.34</v>
      </c>
      <c r="C86">
        <f>B86</f>
        <v>2.34</v>
      </c>
      <c r="D86">
        <f>D83+C86</f>
        <v>7.1878000000000002</v>
      </c>
      <c r="E86">
        <f>PI()*(D86^2 - D83^2)</f>
        <v>88.477628947216033</v>
      </c>
      <c r="F86">
        <f>PI()*D83^2+E86</f>
        <v>162.3087157593628</v>
      </c>
      <c r="G86">
        <f>SQRT(2*F86/(3*SQRT(3)))</f>
        <v>7.9039644371454738</v>
      </c>
      <c r="H86">
        <f>(G86*SQRT(3)/2)-$D$83</f>
        <v>1.997233993176752</v>
      </c>
      <c r="I86">
        <f>1.005*G86*SQRT(3)/2</f>
        <v>6.8792591631426356</v>
      </c>
      <c r="J86">
        <f>I86*2.54</f>
        <v>17.473318274382294</v>
      </c>
    </row>
    <row r="87" spans="1:13" x14ac:dyDescent="0.2">
      <c r="A87" t="s">
        <v>100</v>
      </c>
      <c r="B87">
        <v>3.08</v>
      </c>
      <c r="C87">
        <f>B87-C86</f>
        <v>0.74000000000000021</v>
      </c>
      <c r="D87">
        <f>C87+D86</f>
        <v>7.9278000000000004</v>
      </c>
      <c r="E87">
        <f>PI()*(D87^2 - D86^2)</f>
        <v>35.140422856805387</v>
      </c>
      <c r="F87">
        <f>F86+E87</f>
        <v>197.44913861616817</v>
      </c>
      <c r="H87">
        <f>E87/6/$G$86</f>
        <v>0.74098728421354909</v>
      </c>
      <c r="I87">
        <f>I86+H87</f>
        <v>7.6202464473561848</v>
      </c>
      <c r="J87">
        <f>I87*2.54</f>
        <v>19.35542597628471</v>
      </c>
    </row>
    <row r="88" spans="1:13" x14ac:dyDescent="0.2">
      <c r="A88" t="s">
        <v>104</v>
      </c>
      <c r="B88">
        <v>3.78</v>
      </c>
      <c r="C88">
        <f>B88-C87-C86</f>
        <v>0.69999999999999973</v>
      </c>
      <c r="D88">
        <f t="shared" ref="D88:D89" si="2">C88+D87</f>
        <v>8.6278000000000006</v>
      </c>
      <c r="E88">
        <f t="shared" ref="E88:E89" si="3">PI()*(D88^2 - D87^2)</f>
        <v>36.40766593503983</v>
      </c>
      <c r="F88">
        <f>F87+E88</f>
        <v>233.856804551208</v>
      </c>
      <c r="H88">
        <f>E88/6/$G$86</f>
        <v>0.76770896058055693</v>
      </c>
      <c r="I88">
        <f t="shared" ref="I88:I89" si="4">I87+H88</f>
        <v>8.387955407936742</v>
      </c>
      <c r="J88">
        <f>I88*2.54</f>
        <v>21.305406736159323</v>
      </c>
    </row>
    <row r="89" spans="1:13" x14ac:dyDescent="0.2">
      <c r="A89" t="s">
        <v>105</v>
      </c>
      <c r="B89">
        <v>4.7300000000000004</v>
      </c>
      <c r="C89">
        <f>B89-C88-C87-C86</f>
        <v>0.95000000000000107</v>
      </c>
      <c r="D89">
        <f t="shared" si="2"/>
        <v>9.5778000000000016</v>
      </c>
      <c r="E89">
        <f t="shared" si="3"/>
        <v>54.334850253484674</v>
      </c>
      <c r="F89">
        <f>F88+E89</f>
        <v>288.19165480469269</v>
      </c>
      <c r="H89">
        <f>E89/6/$G$86</f>
        <v>1.1457298989127658</v>
      </c>
      <c r="I89">
        <f t="shared" si="4"/>
        <v>9.5336853068495078</v>
      </c>
      <c r="J89">
        <f>I89*2.54</f>
        <v>24.21556067939775</v>
      </c>
    </row>
    <row r="90" spans="1:13" x14ac:dyDescent="0.2">
      <c r="M90" s="15"/>
    </row>
    <row r="91" spans="1:13" x14ac:dyDescent="0.2">
      <c r="G91" t="s">
        <v>114</v>
      </c>
    </row>
    <row r="92" spans="1:13" x14ac:dyDescent="0.2">
      <c r="C92">
        <f>D83+D84</f>
        <v>9.5277999999999992</v>
      </c>
      <c r="G92">
        <v>6.8449999999999998</v>
      </c>
    </row>
    <row r="93" spans="1:13" x14ac:dyDescent="0.2">
      <c r="C93">
        <f>C92*2.54</f>
        <v>24.200612</v>
      </c>
      <c r="G93">
        <v>7.55</v>
      </c>
    </row>
    <row r="94" spans="1:13" x14ac:dyDescent="0.2">
      <c r="G94">
        <f>8.216</f>
        <v>8.2159999999999993</v>
      </c>
    </row>
    <row r="95" spans="1:13" x14ac:dyDescent="0.2">
      <c r="G95">
        <v>9.1210000000000004</v>
      </c>
    </row>
  </sheetData>
  <sortState xmlns:xlrd2="http://schemas.microsoft.com/office/spreadsheetml/2017/richdata2" ref="E4:G8">
    <sortCondition ref="G4:G8"/>
  </sortState>
  <mergeCells count="1">
    <mergeCell ref="N25:Q25"/>
  </mergeCells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F9B2-B5B9-A34F-84DE-0061747B4A1F}">
  <dimension ref="A3:G37"/>
  <sheetViews>
    <sheetView tabSelected="1" topLeftCell="A17" zoomScale="159" workbookViewId="0">
      <selection activeCell="D19" sqref="D19"/>
    </sheetView>
  </sheetViews>
  <sheetFormatPr baseColWidth="10" defaultRowHeight="15" x14ac:dyDescent="0.2"/>
  <cols>
    <col min="1" max="1" width="39.83203125" bestFit="1" customWidth="1"/>
    <col min="2" max="4" width="12.6640625" bestFit="1" customWidth="1"/>
    <col min="5" max="6" width="17.1640625" bestFit="1" customWidth="1"/>
    <col min="7" max="7" width="16.1640625" bestFit="1" customWidth="1"/>
  </cols>
  <sheetData>
    <row r="3" spans="1:5" x14ac:dyDescent="0.2">
      <c r="A3" t="s">
        <v>116</v>
      </c>
      <c r="B3" t="s">
        <v>83</v>
      </c>
      <c r="C3" t="s">
        <v>84</v>
      </c>
      <c r="D3" t="s">
        <v>85</v>
      </c>
      <c r="E3" t="s">
        <v>86</v>
      </c>
    </row>
    <row r="4" spans="1:5" x14ac:dyDescent="0.2">
      <c r="A4" t="s">
        <v>77</v>
      </c>
      <c r="B4" t="s">
        <v>88</v>
      </c>
      <c r="C4" t="s">
        <v>89</v>
      </c>
      <c r="D4" t="s">
        <v>90</v>
      </c>
      <c r="E4" t="s">
        <v>88</v>
      </c>
    </row>
    <row r="5" spans="1:5" x14ac:dyDescent="0.2">
      <c r="A5" t="s">
        <v>78</v>
      </c>
    </row>
    <row r="6" spans="1:5" x14ac:dyDescent="0.2">
      <c r="A6" t="s">
        <v>79</v>
      </c>
      <c r="B6" t="s">
        <v>90</v>
      </c>
      <c r="C6" t="s">
        <v>90</v>
      </c>
      <c r="D6" t="s">
        <v>90</v>
      </c>
      <c r="E6" t="s">
        <v>122</v>
      </c>
    </row>
    <row r="7" spans="1:5" x14ac:dyDescent="0.2">
      <c r="A7" t="s">
        <v>80</v>
      </c>
      <c r="B7">
        <v>38</v>
      </c>
      <c r="C7">
        <v>25</v>
      </c>
      <c r="D7">
        <v>0</v>
      </c>
      <c r="E7">
        <v>20</v>
      </c>
    </row>
    <row r="8" spans="1:5" x14ac:dyDescent="0.2">
      <c r="A8" t="s">
        <v>81</v>
      </c>
      <c r="B8">
        <v>178</v>
      </c>
      <c r="C8">
        <v>186</v>
      </c>
      <c r="D8">
        <v>211</v>
      </c>
      <c r="E8">
        <v>191</v>
      </c>
    </row>
    <row r="9" spans="1:5" x14ac:dyDescent="0.2">
      <c r="A9" t="s">
        <v>91</v>
      </c>
      <c r="B9">
        <v>9.6999999999999993</v>
      </c>
      <c r="C9">
        <v>14.4</v>
      </c>
      <c r="D9">
        <v>-28</v>
      </c>
      <c r="E9">
        <v>9.3000000000000007</v>
      </c>
    </row>
    <row r="10" spans="1:5" x14ac:dyDescent="0.2">
      <c r="A10" t="s">
        <v>82</v>
      </c>
      <c r="B10" s="12">
        <v>7.7000000000000002E-3</v>
      </c>
      <c r="C10" s="12">
        <v>7.7000000000000002E-3</v>
      </c>
      <c r="D10" s="12">
        <v>7.7000000000000002E-3</v>
      </c>
      <c r="E10" s="12">
        <v>7.7000000000000002E-3</v>
      </c>
    </row>
    <row r="11" spans="1:5" x14ac:dyDescent="0.2">
      <c r="A11" t="s">
        <v>92</v>
      </c>
      <c r="B11">
        <f>0.01*B9*$B$10*100000</f>
        <v>74.689999999999984</v>
      </c>
      <c r="C11">
        <f t="shared" ref="C11:E11" si="0">0.01*C9*$B$10*100000</f>
        <v>110.88000000000001</v>
      </c>
      <c r="D11">
        <f t="shared" si="0"/>
        <v>-215.60000000000002</v>
      </c>
      <c r="E11">
        <f t="shared" si="0"/>
        <v>71.610000000000014</v>
      </c>
    </row>
    <row r="12" spans="1:5" x14ac:dyDescent="0.2">
      <c r="A12" t="s">
        <v>95</v>
      </c>
      <c r="B12" s="6">
        <f>1+B11*0.00001</f>
        <v>1.0007469</v>
      </c>
      <c r="C12" s="6">
        <f t="shared" ref="C12:E12" si="1">1+C11*0.00001</f>
        <v>1.0011087999999999</v>
      </c>
      <c r="D12" s="6">
        <f t="shared" si="1"/>
        <v>0.99784399999999995</v>
      </c>
      <c r="E12" s="6">
        <f t="shared" si="1"/>
        <v>1.0007161</v>
      </c>
    </row>
    <row r="13" spans="1:5" x14ac:dyDescent="0.2">
      <c r="A13" t="s">
        <v>87</v>
      </c>
      <c r="B13">
        <v>3</v>
      </c>
      <c r="C13">
        <v>2</v>
      </c>
      <c r="D13">
        <v>1.5</v>
      </c>
      <c r="E13" s="11" t="s">
        <v>93</v>
      </c>
    </row>
    <row r="14" spans="1:5" x14ac:dyDescent="0.2">
      <c r="A14" t="s">
        <v>97</v>
      </c>
      <c r="B14" t="s">
        <v>49</v>
      </c>
      <c r="C14" t="s">
        <v>49</v>
      </c>
      <c r="D14" t="s">
        <v>49</v>
      </c>
      <c r="E14" t="s">
        <v>49</v>
      </c>
    </row>
    <row r="15" spans="1:5" x14ac:dyDescent="0.2">
      <c r="A15" t="s">
        <v>94</v>
      </c>
      <c r="B15">
        <v>1.0008300000000001</v>
      </c>
      <c r="C15">
        <v>1.0001899999999999</v>
      </c>
      <c r="D15">
        <v>0.99853000000000003</v>
      </c>
    </row>
    <row r="16" spans="1:5" x14ac:dyDescent="0.2">
      <c r="A16" t="s">
        <v>96</v>
      </c>
      <c r="B16">
        <f>100000*(B15-1)/B15</f>
        <v>82.931167131291858</v>
      </c>
      <c r="C16">
        <f>100000*(C15-1)/C15</f>
        <v>18.996390685760954</v>
      </c>
      <c r="D16">
        <f>100000*(D15-1)/D15</f>
        <v>-147.21640811993342</v>
      </c>
    </row>
    <row r="17" spans="1:7" x14ac:dyDescent="0.2">
      <c r="A17" t="s">
        <v>98</v>
      </c>
      <c r="B17">
        <f>B16-B11</f>
        <v>8.2411671312918742</v>
      </c>
      <c r="C17">
        <f>C16-C11</f>
        <v>-91.883609314239052</v>
      </c>
      <c r="D17">
        <f>D16-D11</f>
        <v>68.383591880066604</v>
      </c>
    </row>
    <row r="18" spans="1:7" x14ac:dyDescent="0.2">
      <c r="E18" t="s">
        <v>115</v>
      </c>
    </row>
    <row r="21" spans="1:7" x14ac:dyDescent="0.2">
      <c r="A21" s="13" t="s">
        <v>116</v>
      </c>
      <c r="B21" s="13" t="s">
        <v>83</v>
      </c>
      <c r="C21" s="13" t="s">
        <v>84</v>
      </c>
      <c r="D21" s="13" t="s">
        <v>85</v>
      </c>
      <c r="E21" s="13" t="s">
        <v>86</v>
      </c>
      <c r="F21" s="13" t="s">
        <v>121</v>
      </c>
      <c r="G21" s="18" t="s">
        <v>124</v>
      </c>
    </row>
    <row r="22" spans="1:7" x14ac:dyDescent="0.2">
      <c r="A22" s="14" t="s">
        <v>77</v>
      </c>
      <c r="B22" s="14" t="s">
        <v>88</v>
      </c>
      <c r="C22" s="14" t="s">
        <v>89</v>
      </c>
      <c r="D22" s="14" t="s">
        <v>90</v>
      </c>
      <c r="E22" s="14" t="s">
        <v>88</v>
      </c>
      <c r="F22" s="14" t="s">
        <v>88</v>
      </c>
      <c r="G22" s="19" t="s">
        <v>88</v>
      </c>
    </row>
    <row r="23" spans="1:7" x14ac:dyDescent="0.2">
      <c r="A23" t="s">
        <v>78</v>
      </c>
      <c r="G23" s="5"/>
    </row>
    <row r="24" spans="1:7" x14ac:dyDescent="0.2">
      <c r="A24" s="14" t="s">
        <v>79</v>
      </c>
      <c r="B24" s="14" t="s">
        <v>90</v>
      </c>
      <c r="C24" s="14" t="s">
        <v>90</v>
      </c>
      <c r="D24" s="14" t="s">
        <v>90</v>
      </c>
      <c r="E24" s="14" t="s">
        <v>122</v>
      </c>
      <c r="F24" s="14" t="s">
        <v>123</v>
      </c>
      <c r="G24" s="19" t="s">
        <v>90</v>
      </c>
    </row>
    <row r="25" spans="1:7" x14ac:dyDescent="0.2">
      <c r="A25" t="s">
        <v>80</v>
      </c>
      <c r="B25">
        <v>38</v>
      </c>
      <c r="C25">
        <v>25</v>
      </c>
      <c r="D25">
        <v>0</v>
      </c>
      <c r="E25">
        <v>20</v>
      </c>
      <c r="F25">
        <v>21</v>
      </c>
      <c r="G25" s="5">
        <v>21</v>
      </c>
    </row>
    <row r="26" spans="1:7" x14ac:dyDescent="0.2">
      <c r="A26" s="14" t="s">
        <v>81</v>
      </c>
      <c r="B26" s="14">
        <v>178</v>
      </c>
      <c r="C26" s="14">
        <v>186</v>
      </c>
      <c r="D26" s="14">
        <v>211</v>
      </c>
      <c r="E26" s="14">
        <v>191</v>
      </c>
      <c r="F26" s="14">
        <v>191</v>
      </c>
      <c r="G26" s="19">
        <v>191</v>
      </c>
    </row>
    <row r="27" spans="1:7" x14ac:dyDescent="0.2">
      <c r="A27" t="s">
        <v>91</v>
      </c>
      <c r="B27">
        <v>9.6999999999999993</v>
      </c>
      <c r="C27">
        <v>14.4</v>
      </c>
      <c r="D27">
        <v>-28</v>
      </c>
      <c r="E27">
        <v>9.3000000000000007</v>
      </c>
      <c r="F27">
        <v>9.3000000000000007</v>
      </c>
      <c r="G27" s="5">
        <v>374</v>
      </c>
    </row>
    <row r="28" spans="1:7" x14ac:dyDescent="0.2">
      <c r="A28" s="14" t="s">
        <v>82</v>
      </c>
      <c r="B28" s="16">
        <v>7.7000000000000002E-3</v>
      </c>
      <c r="C28" s="16">
        <v>7.7000000000000002E-3</v>
      </c>
      <c r="D28" s="16">
        <v>7.7000000000000002E-3</v>
      </c>
      <c r="E28" s="16">
        <v>7.7000000000000002E-3</v>
      </c>
      <c r="F28" s="16">
        <v>7.7000000000000002E-3</v>
      </c>
      <c r="G28" s="20">
        <v>7.7000000000000002E-3</v>
      </c>
    </row>
    <row r="29" spans="1:7" x14ac:dyDescent="0.2">
      <c r="A29" t="s">
        <v>92</v>
      </c>
      <c r="B29">
        <f>0.01*B27*$B$10*100000</f>
        <v>74.689999999999984</v>
      </c>
      <c r="C29">
        <f t="shared" ref="C29:E29" si="2">0.01*C27*$B$10*100000</f>
        <v>110.88000000000001</v>
      </c>
      <c r="D29">
        <f t="shared" si="2"/>
        <v>-215.60000000000002</v>
      </c>
      <c r="E29">
        <f t="shared" si="2"/>
        <v>71.610000000000014</v>
      </c>
      <c r="F29">
        <f t="shared" ref="F29" si="3">0.01*F27*$B$10*100000</f>
        <v>71.610000000000014</v>
      </c>
      <c r="G29">
        <f>0.01*G27*$B$10*100000</f>
        <v>2879.8000000000006</v>
      </c>
    </row>
    <row r="30" spans="1:7" x14ac:dyDescent="0.2">
      <c r="A30" s="14" t="s">
        <v>95</v>
      </c>
      <c r="B30" s="17">
        <f>1+B29*0.00001</f>
        <v>1.0007469</v>
      </c>
      <c r="C30" s="17">
        <f t="shared" ref="C30:E30" si="4">1+C29*0.00001</f>
        <v>1.0011087999999999</v>
      </c>
      <c r="D30" s="17">
        <f t="shared" si="4"/>
        <v>0.99784399999999995</v>
      </c>
      <c r="E30" s="17">
        <f t="shared" si="4"/>
        <v>1.0007161</v>
      </c>
      <c r="F30" s="17">
        <f t="shared" ref="F30" si="5">1+F29*0.00001</f>
        <v>1.0007161</v>
      </c>
      <c r="G30" s="17">
        <f>1+G29*0.00001</f>
        <v>1.0287980000000001</v>
      </c>
    </row>
    <row r="31" spans="1:7" x14ac:dyDescent="0.2">
      <c r="A31" t="s">
        <v>94</v>
      </c>
      <c r="B31">
        <v>1.00064</v>
      </c>
      <c r="C31">
        <v>1.0016700000000001</v>
      </c>
      <c r="D31">
        <f>0.99769</f>
        <v>0.99768999999999997</v>
      </c>
      <c r="E31">
        <v>0.99802999999999997</v>
      </c>
      <c r="F31">
        <v>1.0003500000000001</v>
      </c>
      <c r="G31">
        <v>1.02685</v>
      </c>
    </row>
    <row r="32" spans="1:7" x14ac:dyDescent="0.2">
      <c r="A32" s="26" t="s">
        <v>96</v>
      </c>
      <c r="B32" s="26">
        <f t="shared" ref="B32:G32" si="6">100000*(B31-1)/B31</f>
        <v>63.959066197630911</v>
      </c>
      <c r="C32" s="26">
        <f t="shared" si="6"/>
        <v>166.72157496980643</v>
      </c>
      <c r="D32" s="26">
        <f t="shared" si="6"/>
        <v>-231.53484549309246</v>
      </c>
      <c r="E32" s="26">
        <f t="shared" si="6"/>
        <v>-197.38885604641416</v>
      </c>
      <c r="F32" s="26">
        <f t="shared" si="6"/>
        <v>34.987754286007146</v>
      </c>
      <c r="G32" s="26">
        <f t="shared" si="6"/>
        <v>2614.7928129717134</v>
      </c>
    </row>
    <row r="33" spans="1:7" x14ac:dyDescent="0.2">
      <c r="A33" s="27" t="s">
        <v>98</v>
      </c>
      <c r="B33" s="27">
        <f t="shared" ref="B33:G33" si="7">ABS(B32-B29)</f>
        <v>10.730933802369073</v>
      </c>
      <c r="C33" s="27">
        <f t="shared" si="7"/>
        <v>55.841574969806416</v>
      </c>
      <c r="D33" s="27">
        <f t="shared" si="7"/>
        <v>15.934845493092439</v>
      </c>
      <c r="E33" s="27">
        <f t="shared" si="7"/>
        <v>268.99885604641418</v>
      </c>
      <c r="F33" s="27">
        <f t="shared" si="7"/>
        <v>36.622245713992868</v>
      </c>
      <c r="G33" s="27">
        <f t="shared" si="7"/>
        <v>265.00718702828726</v>
      </c>
    </row>
    <row r="34" spans="1:7" ht="16" x14ac:dyDescent="0.25">
      <c r="A34" s="14" t="s">
        <v>125</v>
      </c>
      <c r="B34" s="24">
        <v>1.6390800000000001</v>
      </c>
      <c r="C34" s="24">
        <v>1.6634</v>
      </c>
      <c r="D34" s="24">
        <v>1.6850799999999999</v>
      </c>
      <c r="E34">
        <v>1.6724600000000001</v>
      </c>
      <c r="F34" s="24">
        <v>1.6724699999999999</v>
      </c>
      <c r="G34" s="6">
        <v>1.6678999999999999</v>
      </c>
    </row>
    <row r="35" spans="1:7" ht="16" x14ac:dyDescent="0.25">
      <c r="A35" s="25" t="s">
        <v>126</v>
      </c>
      <c r="B35" s="23">
        <f>B31/B34</f>
        <v>0.61048881079630035</v>
      </c>
      <c r="C35" s="23">
        <f>C31/C34</f>
        <v>0.60218227726343643</v>
      </c>
      <c r="D35" s="23">
        <f>D31/D34</f>
        <v>0.59207277992736251</v>
      </c>
      <c r="E35" s="23">
        <f>E31/E34</f>
        <v>0.59674371883333532</v>
      </c>
      <c r="F35" s="23">
        <f>F31/F34</f>
        <v>0.59812732066942909</v>
      </c>
      <c r="G35" s="23">
        <f>G31/G34</f>
        <v>0.61565441573235813</v>
      </c>
    </row>
    <row r="36" spans="1:7" ht="16" x14ac:dyDescent="0.25">
      <c r="A36" s="14" t="s">
        <v>127</v>
      </c>
      <c r="B36" s="24">
        <v>2.0011000000000001</v>
      </c>
      <c r="C36" s="24">
        <v>2.0004</v>
      </c>
      <c r="D36" s="24">
        <v>1.99919</v>
      </c>
      <c r="E36">
        <v>2.0003299999999999</v>
      </c>
      <c r="F36" s="24">
        <v>2.0003600000000001</v>
      </c>
      <c r="G36" s="24">
        <v>2.0000300000000002</v>
      </c>
    </row>
    <row r="37" spans="1:7" ht="16" x14ac:dyDescent="0.25">
      <c r="A37" s="25" t="s">
        <v>128</v>
      </c>
      <c r="B37" s="22">
        <v>0.86847799999999997</v>
      </c>
      <c r="C37" s="22">
        <v>0.89410599999999996</v>
      </c>
      <c r="D37" s="22">
        <v>0.92319099999999998</v>
      </c>
      <c r="E37" s="1">
        <v>0.90189699999999995</v>
      </c>
      <c r="F37" s="22">
        <v>0.90159900000000004</v>
      </c>
      <c r="G37" s="22">
        <v>0.89528300000000005</v>
      </c>
    </row>
  </sheetData>
  <phoneticPr fontId="3" type="noConversion"/>
  <conditionalFormatting sqref="B33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and Core Comp Verification</vt:lpstr>
      <vt:lpstr>Core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Naupa Aguirre, Isaac E</cp:lastModifiedBy>
  <dcterms:created xsi:type="dcterms:W3CDTF">2022-09-27T03:05:13Z</dcterms:created>
  <dcterms:modified xsi:type="dcterms:W3CDTF">2023-02-13T21:36:59Z</dcterms:modified>
</cp:coreProperties>
</file>