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\Documents\SNAP-REACTORS\snapReactors\reference_calc\"/>
    </mc:Choice>
  </mc:AlternateContent>
  <xr:revisionPtr revIDLastSave="0" documentId="8_{AD71D7C9-E116-4ED0-94A6-47BF9A9E4DA1}" xr6:coauthVersionLast="47" xr6:coauthVersionMax="47" xr10:uidLastSave="{00000000-0000-0000-0000-000000000000}"/>
  <bookViews>
    <workbookView xWindow="-120" yWindow="-120" windowWidth="38640" windowHeight="21120" firstSheet="5" activeTab="7" xr2:uid="{69F113DC-7633-4730-BD7E-3337CEB2EA1E}"/>
  </bookViews>
  <sheets>
    <sheet name="Differential &amp; Integral Worth" sheetId="1" r:id="rId1"/>
    <sheet name="Fuel and Rod Worths" sheetId="2" r:id="rId2"/>
    <sheet name="Beta" sheetId="3" r:id="rId3"/>
    <sheet name="Critical Configuration" sheetId="5" r:id="rId4"/>
    <sheet name="Poison Worth" sheetId="4" r:id="rId5"/>
    <sheet name="Fuel Composition Table " sheetId="6" r:id="rId6"/>
    <sheet name="Lucite Positioning" sheetId="9" r:id="rId7"/>
    <sheet name="Reflector Shim Worth" sheetId="7" r:id="rId8"/>
    <sheet name="Power Distribution" sheetId="8" r:id="rId9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6" i="7" l="1"/>
  <c r="D26" i="7"/>
  <c r="E26" i="7"/>
  <c r="B26" i="7"/>
  <c r="C25" i="7"/>
  <c r="D25" i="7"/>
  <c r="E25" i="7"/>
  <c r="B9" i="7"/>
  <c r="B25" i="7"/>
  <c r="AC5" i="1"/>
  <c r="AB5" i="1"/>
  <c r="AA6" i="1"/>
  <c r="Z6" i="1"/>
  <c r="W5" i="1"/>
  <c r="B10" i="7"/>
  <c r="B13" i="7" s="1"/>
  <c r="C13" i="7"/>
  <c r="B11" i="7"/>
  <c r="B12" i="7"/>
  <c r="C9" i="7"/>
  <c r="C8" i="7"/>
  <c r="I5" i="7"/>
  <c r="B10" i="9"/>
  <c r="C10" i="9"/>
  <c r="C8" i="9"/>
  <c r="D8" i="9"/>
  <c r="B8" i="9"/>
  <c r="D9" i="9"/>
  <c r="D11" i="9"/>
  <c r="D12" i="9"/>
  <c r="D14" i="9" s="1"/>
  <c r="D13" i="9"/>
  <c r="E13" i="9"/>
  <c r="F12" i="9"/>
  <c r="F14" i="9" s="1"/>
  <c r="E12" i="9"/>
  <c r="E14" i="9" s="1"/>
  <c r="C12" i="9"/>
  <c r="C14" i="9" s="1"/>
  <c r="B12" i="9"/>
  <c r="F11" i="9"/>
  <c r="E11" i="9"/>
  <c r="C11" i="9"/>
  <c r="C13" i="9" s="1"/>
  <c r="B11" i="9"/>
  <c r="F9" i="9"/>
  <c r="E9" i="9"/>
  <c r="C9" i="9"/>
  <c r="B9" i="9"/>
  <c r="C7" i="9"/>
  <c r="C5" i="8"/>
  <c r="D5" i="8"/>
  <c r="E5" i="8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V5" i="8"/>
  <c r="W5" i="8"/>
  <c r="X5" i="8"/>
  <c r="Y5" i="8"/>
  <c r="Z5" i="8"/>
  <c r="AA5" i="8"/>
  <c r="AB5" i="8"/>
  <c r="AC5" i="8"/>
  <c r="AD5" i="8"/>
  <c r="AE5" i="8"/>
  <c r="AF5" i="8"/>
  <c r="AG5" i="8"/>
  <c r="AH5" i="8"/>
  <c r="AI5" i="8"/>
  <c r="AJ5" i="8"/>
  <c r="AK5" i="8"/>
  <c r="AL5" i="8"/>
  <c r="AM5" i="8"/>
  <c r="AN5" i="8"/>
  <c r="AO5" i="8"/>
  <c r="AP5" i="8"/>
  <c r="AQ5" i="8"/>
  <c r="AR5" i="8"/>
  <c r="AS5" i="8"/>
  <c r="AT5" i="8"/>
  <c r="AU5" i="8"/>
  <c r="AV5" i="8"/>
  <c r="AW5" i="8"/>
  <c r="AX5" i="8"/>
  <c r="AY5" i="8"/>
  <c r="AZ5" i="8"/>
  <c r="BA5" i="8"/>
  <c r="BB5" i="8"/>
  <c r="BC5" i="8"/>
  <c r="BD5" i="8"/>
  <c r="BE5" i="8"/>
  <c r="BF5" i="8"/>
  <c r="BG5" i="8"/>
  <c r="BH5" i="8"/>
  <c r="BI5" i="8"/>
  <c r="BJ5" i="8"/>
  <c r="BK5" i="8"/>
  <c r="BL5" i="8"/>
  <c r="BM5" i="8"/>
  <c r="BN5" i="8"/>
  <c r="BO5" i="8"/>
  <c r="BP5" i="8"/>
  <c r="BQ5" i="8"/>
  <c r="BR5" i="8"/>
  <c r="BS5" i="8"/>
  <c r="BT5" i="8"/>
  <c r="BU5" i="8"/>
  <c r="BV5" i="8"/>
  <c r="BW5" i="8"/>
  <c r="BX5" i="8"/>
  <c r="BY5" i="8"/>
  <c r="BZ5" i="8"/>
  <c r="CA5" i="8"/>
  <c r="CB5" i="8"/>
  <c r="CC5" i="8"/>
  <c r="CD5" i="8"/>
  <c r="CE5" i="8"/>
  <c r="CF5" i="8"/>
  <c r="CG5" i="8"/>
  <c r="CH5" i="8"/>
  <c r="CI5" i="8"/>
  <c r="CJ5" i="8"/>
  <c r="CK5" i="8"/>
  <c r="CL5" i="8"/>
  <c r="CM5" i="8"/>
  <c r="CN5" i="8"/>
  <c r="CO5" i="8"/>
  <c r="CP5" i="8"/>
  <c r="CQ5" i="8"/>
  <c r="CR5" i="8"/>
  <c r="CS5" i="8"/>
  <c r="CT5" i="8"/>
  <c r="CU5" i="8"/>
  <c r="CV5" i="8"/>
  <c r="CW5" i="8"/>
  <c r="B5" i="8"/>
  <c r="K32" i="2"/>
  <c r="K33" i="2"/>
  <c r="K34" i="2"/>
  <c r="O12" i="2"/>
  <c r="N12" i="2"/>
  <c r="J34" i="2"/>
  <c r="J32" i="2"/>
  <c r="M34" i="2"/>
  <c r="N14" i="2"/>
  <c r="O14" i="2"/>
  <c r="P14" i="2"/>
  <c r="O9" i="2"/>
  <c r="N9" i="2"/>
  <c r="N8" i="2"/>
  <c r="D19" i="7"/>
  <c r="D20" i="7" s="1"/>
  <c r="D22" i="7" s="1"/>
  <c r="D18" i="7"/>
  <c r="D21" i="7" s="1"/>
  <c r="B19" i="7"/>
  <c r="B20" i="7" s="1"/>
  <c r="B21" i="7"/>
  <c r="B6" i="4"/>
  <c r="C5" i="4"/>
  <c r="B5" i="4"/>
  <c r="B7" i="4" s="1"/>
  <c r="I28" i="2"/>
  <c r="I29" i="2"/>
  <c r="I27" i="2"/>
  <c r="K28" i="2"/>
  <c r="K29" i="2"/>
  <c r="K27" i="2"/>
  <c r="K26" i="2"/>
  <c r="J26" i="2"/>
  <c r="R10" i="2"/>
  <c r="P4" i="2"/>
  <c r="R4" i="2" s="1"/>
  <c r="P5" i="2"/>
  <c r="R5" i="2" s="1"/>
  <c r="P6" i="2"/>
  <c r="R6" i="2" s="1"/>
  <c r="P7" i="2"/>
  <c r="R7" i="2" s="1"/>
  <c r="P9" i="2"/>
  <c r="P10" i="2"/>
  <c r="P13" i="2"/>
  <c r="R13" i="2" s="1"/>
  <c r="P3" i="2"/>
  <c r="R3" i="2" s="1"/>
  <c r="O13" i="2"/>
  <c r="N13" i="2"/>
  <c r="P12" i="2"/>
  <c r="R12" i="2" s="1"/>
  <c r="O11" i="2"/>
  <c r="P11" i="2" s="1"/>
  <c r="R11" i="2" s="1"/>
  <c r="N11" i="2"/>
  <c r="O10" i="2"/>
  <c r="N10" i="2"/>
  <c r="O8" i="2"/>
  <c r="P8" i="2" s="1"/>
  <c r="O7" i="2"/>
  <c r="N7" i="2"/>
  <c r="N6" i="2"/>
  <c r="O5" i="2"/>
  <c r="N5" i="2"/>
  <c r="O4" i="2"/>
  <c r="N4" i="2"/>
  <c r="O3" i="2"/>
  <c r="N3" i="2"/>
  <c r="G26" i="2"/>
  <c r="B3" i="2"/>
  <c r="F13" i="4"/>
  <c r="D17" i="4"/>
  <c r="C7" i="7"/>
  <c r="D7" i="7"/>
  <c r="E7" i="7"/>
  <c r="B7" i="7"/>
  <c r="B8" i="7"/>
  <c r="D5" i="4"/>
  <c r="D6" i="4"/>
  <c r="C7" i="4"/>
  <c r="C6" i="4"/>
  <c r="G21" i="7"/>
  <c r="G20" i="7"/>
  <c r="G22" i="7" s="1"/>
  <c r="E20" i="7"/>
  <c r="C10" i="7" s="1"/>
  <c r="F20" i="7"/>
  <c r="C20" i="7"/>
  <c r="B9" i="5"/>
  <c r="F21" i="7"/>
  <c r="E21" i="7"/>
  <c r="D9" i="7" s="1"/>
  <c r="C21" i="7"/>
  <c r="C22" i="7"/>
  <c r="D8" i="7"/>
  <c r="C11" i="5"/>
  <c r="D11" i="5"/>
  <c r="E11" i="5"/>
  <c r="F11" i="5"/>
  <c r="B11" i="5"/>
  <c r="C9" i="5"/>
  <c r="D9" i="5"/>
  <c r="E9" i="5"/>
  <c r="F9" i="5"/>
  <c r="B4" i="4"/>
  <c r="B12" i="5"/>
  <c r="B14" i="5"/>
  <c r="F14" i="5"/>
  <c r="E14" i="5"/>
  <c r="D14" i="5"/>
  <c r="C14" i="5"/>
  <c r="F12" i="5"/>
  <c r="E12" i="5"/>
  <c r="D12" i="5"/>
  <c r="C12" i="5"/>
  <c r="B13" i="5"/>
  <c r="B15" i="5" s="1"/>
  <c r="C13" i="5"/>
  <c r="C15" i="5" s="1"/>
  <c r="D13" i="5"/>
  <c r="D15" i="5" s="1"/>
  <c r="E13" i="5"/>
  <c r="E15" i="5" s="1"/>
  <c r="F13" i="5"/>
  <c r="F15" i="5" s="1"/>
  <c r="U38" i="1"/>
  <c r="X38" i="1" s="1"/>
  <c r="X37" i="1"/>
  <c r="W37" i="1"/>
  <c r="Y37" i="1" s="1"/>
  <c r="X36" i="1"/>
  <c r="W36" i="1"/>
  <c r="Y36" i="1" s="1"/>
  <c r="X35" i="1"/>
  <c r="W35" i="1"/>
  <c r="Y35" i="1" s="1"/>
  <c r="X34" i="1"/>
  <c r="W34" i="1"/>
  <c r="Y34" i="1" s="1"/>
  <c r="X33" i="1"/>
  <c r="AA33" i="1" s="1"/>
  <c r="W33" i="1"/>
  <c r="Y33" i="1" s="1"/>
  <c r="X32" i="1"/>
  <c r="W32" i="1"/>
  <c r="Y32" i="1" s="1"/>
  <c r="X31" i="1"/>
  <c r="AA31" i="1" s="1"/>
  <c r="W31" i="1"/>
  <c r="Y31" i="1" s="1"/>
  <c r="X30" i="1"/>
  <c r="AA30" i="1" s="1"/>
  <c r="W30" i="1"/>
  <c r="Y30" i="1" s="1"/>
  <c r="X29" i="1"/>
  <c r="W29" i="1"/>
  <c r="Y29" i="1" s="1"/>
  <c r="X28" i="1"/>
  <c r="AA28" i="1" s="1"/>
  <c r="W28" i="1"/>
  <c r="Y28" i="1" s="1"/>
  <c r="X27" i="1"/>
  <c r="W27" i="1"/>
  <c r="Y27" i="1" s="1"/>
  <c r="X26" i="1"/>
  <c r="W26" i="1"/>
  <c r="Y26" i="1" s="1"/>
  <c r="X25" i="1"/>
  <c r="W25" i="1"/>
  <c r="Y25" i="1" s="1"/>
  <c r="AE8" i="1"/>
  <c r="AE9" i="1"/>
  <c r="AE10" i="1"/>
  <c r="AE11" i="1"/>
  <c r="AE12" i="1"/>
  <c r="AE13" i="1"/>
  <c r="AE14" i="1"/>
  <c r="AE15" i="1"/>
  <c r="AE16" i="1"/>
  <c r="AE17" i="1"/>
  <c r="AE18" i="1"/>
  <c r="AE7" i="1"/>
  <c r="AD7" i="1"/>
  <c r="AC18" i="1"/>
  <c r="AC6" i="1"/>
  <c r="AC7" i="1"/>
  <c r="AC8" i="1"/>
  <c r="AC9" i="1"/>
  <c r="AC10" i="1"/>
  <c r="AC11" i="1"/>
  <c r="AC12" i="1"/>
  <c r="AC13" i="1"/>
  <c r="AC14" i="1"/>
  <c r="AC15" i="1"/>
  <c r="AC16" i="1"/>
  <c r="AC17" i="1"/>
  <c r="AA7" i="1"/>
  <c r="AA8" i="1"/>
  <c r="AA9" i="1"/>
  <c r="AA10" i="1"/>
  <c r="AA11" i="1"/>
  <c r="AA12" i="1"/>
  <c r="AA13" i="1"/>
  <c r="AA14" i="1"/>
  <c r="AA15" i="1"/>
  <c r="AA16" i="1"/>
  <c r="AA17" i="1"/>
  <c r="AA18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5" i="1"/>
  <c r="C8" i="4"/>
  <c r="D8" i="4"/>
  <c r="D7" i="4"/>
  <c r="C3" i="4"/>
  <c r="C4" i="4" s="1"/>
  <c r="D7" i="5"/>
  <c r="E7" i="5"/>
  <c r="F7" i="5"/>
  <c r="C7" i="5"/>
  <c r="AD57" i="1"/>
  <c r="AE57" i="1" s="1"/>
  <c r="AD56" i="1"/>
  <c r="AE56" i="1" s="1"/>
  <c r="AD55" i="1"/>
  <c r="AE55" i="1" s="1"/>
  <c r="AD54" i="1"/>
  <c r="AE54" i="1" s="1"/>
  <c r="AD53" i="1"/>
  <c r="AE53" i="1" s="1"/>
  <c r="AD52" i="1"/>
  <c r="AE52" i="1" s="1"/>
  <c r="AD51" i="1"/>
  <c r="AE51" i="1" s="1"/>
  <c r="AD50" i="1"/>
  <c r="AE50" i="1" s="1"/>
  <c r="AD49" i="1"/>
  <c r="AE49" i="1" s="1"/>
  <c r="AD48" i="1"/>
  <c r="AE48" i="1" s="1"/>
  <c r="AD47" i="1"/>
  <c r="AE47" i="1" s="1"/>
  <c r="AD46" i="1"/>
  <c r="AD45" i="1"/>
  <c r="AE45" i="1" s="1"/>
  <c r="AD44" i="1"/>
  <c r="AE44" i="1" s="1"/>
  <c r="V55" i="1"/>
  <c r="W55" i="1" s="1"/>
  <c r="U44" i="1"/>
  <c r="C23" i="1"/>
  <c r="D23" i="1" s="1"/>
  <c r="E23" i="1" s="1"/>
  <c r="V57" i="1"/>
  <c r="W57" i="1" s="1"/>
  <c r="V54" i="1"/>
  <c r="W54" i="1" s="1"/>
  <c r="V51" i="1"/>
  <c r="W51" i="1" s="1"/>
  <c r="V49" i="1"/>
  <c r="W49" i="1" s="1"/>
  <c r="V47" i="1"/>
  <c r="W47" i="1" s="1"/>
  <c r="V44" i="1"/>
  <c r="W44" i="1" s="1"/>
  <c r="V45" i="1"/>
  <c r="W45" i="1" s="1"/>
  <c r="V46" i="1"/>
  <c r="W46" i="1" s="1"/>
  <c r="V48" i="1"/>
  <c r="W48" i="1" s="1"/>
  <c r="V50" i="1"/>
  <c r="W50" i="1" s="1"/>
  <c r="V52" i="1"/>
  <c r="W52" i="1" s="1"/>
  <c r="X52" i="1" s="1"/>
  <c r="V53" i="1"/>
  <c r="W53" i="1" s="1"/>
  <c r="V56" i="1"/>
  <c r="W56" i="1" s="1"/>
  <c r="H42" i="1"/>
  <c r="W18" i="1"/>
  <c r="Y18" i="1" s="1"/>
  <c r="W17" i="1"/>
  <c r="Y17" i="1" s="1"/>
  <c r="W16" i="1"/>
  <c r="Y16" i="1" s="1"/>
  <c r="W15" i="1"/>
  <c r="Y15" i="1" s="1"/>
  <c r="W14" i="1"/>
  <c r="Y14" i="1" s="1"/>
  <c r="W13" i="1"/>
  <c r="Y13" i="1" s="1"/>
  <c r="W12" i="1"/>
  <c r="Y12" i="1" s="1"/>
  <c r="W11" i="1"/>
  <c r="Y11" i="1" s="1"/>
  <c r="W10" i="1"/>
  <c r="Y10" i="1" s="1"/>
  <c r="W9" i="1"/>
  <c r="Y9" i="1" s="1"/>
  <c r="W8" i="1"/>
  <c r="Y8" i="1" s="1"/>
  <c r="W7" i="1"/>
  <c r="W6" i="1"/>
  <c r="Y6" i="1" s="1"/>
  <c r="Y5" i="1"/>
  <c r="F46" i="2"/>
  <c r="F47" i="2"/>
  <c r="F48" i="2"/>
  <c r="F49" i="2"/>
  <c r="M44" i="2"/>
  <c r="D12" i="7" l="1"/>
  <c r="B22" i="7"/>
  <c r="E9" i="7"/>
  <c r="E12" i="7" s="1"/>
  <c r="I6" i="7"/>
  <c r="I12" i="7"/>
  <c r="I13" i="7" s="1"/>
  <c r="B14" i="9"/>
  <c r="D7" i="9"/>
  <c r="E7" i="9" s="1"/>
  <c r="F7" i="9" s="1"/>
  <c r="F13" i="9"/>
  <c r="B13" i="9"/>
  <c r="R14" i="2"/>
  <c r="R9" i="2"/>
  <c r="K31" i="2" s="1"/>
  <c r="R8" i="2"/>
  <c r="D10" i="7"/>
  <c r="D13" i="7" s="1"/>
  <c r="C12" i="7"/>
  <c r="D11" i="7"/>
  <c r="E10" i="7"/>
  <c r="E13" i="7" s="1"/>
  <c r="C9" i="4"/>
  <c r="C10" i="4" s="1"/>
  <c r="B8" i="4"/>
  <c r="C11" i="4" s="1"/>
  <c r="E8" i="7"/>
  <c r="C11" i="7"/>
  <c r="D9" i="4"/>
  <c r="E22" i="7"/>
  <c r="F22" i="7"/>
  <c r="W38" i="1"/>
  <c r="Y38" i="1" s="1"/>
  <c r="AA38" i="1"/>
  <c r="AC38" i="1" s="1"/>
  <c r="AA36" i="1"/>
  <c r="Z37" i="1"/>
  <c r="AA35" i="1"/>
  <c r="Z34" i="1"/>
  <c r="AA34" i="1"/>
  <c r="Z30" i="1"/>
  <c r="AB30" i="1" s="1"/>
  <c r="Z29" i="1"/>
  <c r="AA27" i="1"/>
  <c r="AC27" i="1" s="1"/>
  <c r="Z38" i="1"/>
  <c r="AB38" i="1" s="1"/>
  <c r="AA29" i="1"/>
  <c r="AC29" i="1" s="1"/>
  <c r="AA37" i="1"/>
  <c r="Z31" i="1"/>
  <c r="Z26" i="1"/>
  <c r="AB25" i="1" s="1"/>
  <c r="AA26" i="1"/>
  <c r="AC25" i="1" s="1"/>
  <c r="Z32" i="1"/>
  <c r="Z27" i="1"/>
  <c r="Z28" i="1"/>
  <c r="Z35" i="1"/>
  <c r="AB34" i="1" s="1"/>
  <c r="Z36" i="1"/>
  <c r="AB36" i="1" s="1"/>
  <c r="AC30" i="1"/>
  <c r="Z33" i="1"/>
  <c r="AB33" i="1" s="1"/>
  <c r="AA32" i="1"/>
  <c r="AC32" i="1" s="1"/>
  <c r="X56" i="1"/>
  <c r="Z12" i="1"/>
  <c r="X54" i="1"/>
  <c r="AF52" i="1"/>
  <c r="Z13" i="1"/>
  <c r="Z14" i="1"/>
  <c r="X51" i="1"/>
  <c r="Y51" i="1" s="1"/>
  <c r="X55" i="1"/>
  <c r="X47" i="1"/>
  <c r="D3" i="4"/>
  <c r="D4" i="4" s="1"/>
  <c r="D10" i="4" s="1"/>
  <c r="AF57" i="1"/>
  <c r="AG57" i="1" s="1"/>
  <c r="AF56" i="1"/>
  <c r="AF54" i="1"/>
  <c r="AF53" i="1"/>
  <c r="AF51" i="1"/>
  <c r="AF50" i="1"/>
  <c r="AF45" i="1"/>
  <c r="AF48" i="1"/>
  <c r="AF49" i="1"/>
  <c r="AF55" i="1"/>
  <c r="AG55" i="1" s="1"/>
  <c r="AE46" i="1"/>
  <c r="AF47" i="1" s="1"/>
  <c r="Y55" i="1"/>
  <c r="X57" i="1"/>
  <c r="Y57" i="1" s="1"/>
  <c r="X50" i="1"/>
  <c r="X46" i="1"/>
  <c r="X45" i="1"/>
  <c r="Y44" i="1" s="1"/>
  <c r="X48" i="1"/>
  <c r="X49" i="1"/>
  <c r="X53" i="1"/>
  <c r="Z9" i="1"/>
  <c r="Z17" i="1"/>
  <c r="Z18" i="1"/>
  <c r="AB18" i="1" s="1"/>
  <c r="Z10" i="1"/>
  <c r="Z11" i="1"/>
  <c r="Z15" i="1"/>
  <c r="Z16" i="1"/>
  <c r="Y7" i="1"/>
  <c r="Z7" i="1" s="1"/>
  <c r="Q11" i="2"/>
  <c r="Q12" i="2"/>
  <c r="J33" i="2" s="1"/>
  <c r="Q13" i="2"/>
  <c r="Q14" i="2"/>
  <c r="Q10" i="2"/>
  <c r="Q6" i="2"/>
  <c r="Q7" i="2"/>
  <c r="Q8" i="2"/>
  <c r="Q9" i="2"/>
  <c r="Q5" i="2"/>
  <c r="Q3" i="2"/>
  <c r="Q4" i="2"/>
  <c r="G28" i="2"/>
  <c r="G29" i="2"/>
  <c r="G30" i="2"/>
  <c r="G31" i="2"/>
  <c r="G32" i="2"/>
  <c r="G33" i="2"/>
  <c r="G34" i="2"/>
  <c r="F28" i="2"/>
  <c r="F29" i="2"/>
  <c r="F30" i="2"/>
  <c r="F27" i="2"/>
  <c r="N41" i="2"/>
  <c r="N47" i="2" s="1"/>
  <c r="N42" i="2"/>
  <c r="M47" i="2"/>
  <c r="N43" i="2"/>
  <c r="N49" i="2"/>
  <c r="M43" i="2"/>
  <c r="M45" i="2"/>
  <c r="M46" i="2"/>
  <c r="M48" i="2"/>
  <c r="M49" i="2"/>
  <c r="M42" i="2"/>
  <c r="B3" i="3"/>
  <c r="G27" i="2"/>
  <c r="H26" i="2"/>
  <c r="L26" i="2" s="1"/>
  <c r="F4" i="3"/>
  <c r="F3" i="3"/>
  <c r="B5" i="3"/>
  <c r="F5" i="3" s="1"/>
  <c r="C4" i="3"/>
  <c r="R40" i="2"/>
  <c r="R46" i="2"/>
  <c r="R43" i="2"/>
  <c r="R45" i="2" s="1"/>
  <c r="E11" i="7" l="1"/>
  <c r="I30" i="2"/>
  <c r="K30" i="2"/>
  <c r="D11" i="4"/>
  <c r="N48" i="2"/>
  <c r="N46" i="2"/>
  <c r="N45" i="2"/>
  <c r="N44" i="2"/>
  <c r="M32" i="2"/>
  <c r="M26" i="2"/>
  <c r="M33" i="2"/>
  <c r="AC37" i="1"/>
  <c r="AC35" i="1"/>
  <c r="AC34" i="1"/>
  <c r="AC33" i="1"/>
  <c r="AB29" i="1"/>
  <c r="AB28" i="1"/>
  <c r="AE27" i="1"/>
  <c r="AC28" i="1"/>
  <c r="AC26" i="1"/>
  <c r="AC36" i="1"/>
  <c r="AB37" i="1"/>
  <c r="AB27" i="1"/>
  <c r="AC31" i="1"/>
  <c r="AB26" i="1"/>
  <c r="AB32" i="1"/>
  <c r="AB31" i="1"/>
  <c r="AB35" i="1"/>
  <c r="AB11" i="1"/>
  <c r="Y53" i="1"/>
  <c r="AG49" i="1"/>
  <c r="AG51" i="1"/>
  <c r="Y54" i="1"/>
  <c r="Y46" i="1"/>
  <c r="Z46" i="1" s="1"/>
  <c r="AB16" i="1"/>
  <c r="AB15" i="1"/>
  <c r="AB13" i="1"/>
  <c r="AB12" i="1"/>
  <c r="AG56" i="1"/>
  <c r="Y49" i="1"/>
  <c r="AG53" i="1"/>
  <c r="AG52" i="1"/>
  <c r="AG50" i="1"/>
  <c r="AG47" i="1"/>
  <c r="AG48" i="1"/>
  <c r="AG54" i="1"/>
  <c r="AF46" i="1"/>
  <c r="AG44" i="1"/>
  <c r="Y56" i="1"/>
  <c r="Y52" i="1"/>
  <c r="Y48" i="1"/>
  <c r="Y45" i="1"/>
  <c r="Y47" i="1"/>
  <c r="Y50" i="1"/>
  <c r="AB17" i="1"/>
  <c r="AB10" i="1"/>
  <c r="AB9" i="1"/>
  <c r="AB14" i="1"/>
  <c r="Z8" i="1"/>
  <c r="AB8" i="1" s="1"/>
  <c r="J31" i="2"/>
  <c r="M31" i="2" s="1"/>
  <c r="H30" i="2"/>
  <c r="L30" i="2" s="1"/>
  <c r="J30" i="2"/>
  <c r="M30" i="2" s="1"/>
  <c r="H29" i="2"/>
  <c r="L29" i="2" s="1"/>
  <c r="J29" i="2"/>
  <c r="M29" i="2" s="1"/>
  <c r="H28" i="2"/>
  <c r="L28" i="2" s="1"/>
  <c r="J28" i="2"/>
  <c r="M28" i="2" s="1"/>
  <c r="H27" i="2"/>
  <c r="J27" i="2"/>
  <c r="M27" i="2" s="1"/>
  <c r="C5" i="3"/>
  <c r="R47" i="2"/>
  <c r="AE37" i="1" l="1"/>
  <c r="AE38" i="1"/>
  <c r="AE29" i="1"/>
  <c r="AE30" i="1"/>
  <c r="AE35" i="1"/>
  <c r="AE28" i="1"/>
  <c r="AE33" i="1"/>
  <c r="AE31" i="1"/>
  <c r="AE34" i="1"/>
  <c r="AE32" i="1"/>
  <c r="AE36" i="1"/>
  <c r="AD32" i="1"/>
  <c r="AD33" i="1"/>
  <c r="AD38" i="1"/>
  <c r="AD27" i="1"/>
  <c r="AD34" i="1"/>
  <c r="AD30" i="1"/>
  <c r="AD35" i="1"/>
  <c r="AD28" i="1"/>
  <c r="AD36" i="1"/>
  <c r="AD29" i="1"/>
  <c r="AD37" i="1"/>
  <c r="AD31" i="1"/>
  <c r="Z47" i="1"/>
  <c r="Z50" i="1"/>
  <c r="Z49" i="1"/>
  <c r="Z48" i="1"/>
  <c r="Z54" i="1"/>
  <c r="Z57" i="1"/>
  <c r="Z52" i="1"/>
  <c r="Z53" i="1"/>
  <c r="Z56" i="1"/>
  <c r="Z51" i="1"/>
  <c r="Z55" i="1"/>
  <c r="AG46" i="1"/>
  <c r="AG45" i="1"/>
  <c r="AB7" i="1"/>
  <c r="AB6" i="1"/>
  <c r="O42" i="2"/>
  <c r="O43" i="2"/>
  <c r="O44" i="2"/>
  <c r="O45" i="2"/>
  <c r="O46" i="2"/>
  <c r="O47" i="2"/>
  <c r="O48" i="2"/>
  <c r="O49" i="2"/>
  <c r="R48" i="2"/>
  <c r="D44" i="2" s="1"/>
  <c r="E44" i="2" s="1"/>
  <c r="F44" i="2" s="1"/>
  <c r="Q39" i="1"/>
  <c r="R39" i="1" s="1"/>
  <c r="Q38" i="1"/>
  <c r="R38" i="1" s="1"/>
  <c r="Q37" i="1"/>
  <c r="R37" i="1" s="1"/>
  <c r="Q36" i="1"/>
  <c r="R36" i="1" s="1"/>
  <c r="Q35" i="1"/>
  <c r="R35" i="1" s="1"/>
  <c r="Q34" i="1"/>
  <c r="R34" i="1" s="1"/>
  <c r="Q33" i="1"/>
  <c r="R33" i="1" s="1"/>
  <c r="Q32" i="1"/>
  <c r="R32" i="1" s="1"/>
  <c r="Q31" i="1"/>
  <c r="R31" i="1" s="1"/>
  <c r="Q30" i="1"/>
  <c r="R30" i="1" s="1"/>
  <c r="Q29" i="1"/>
  <c r="R29" i="1" s="1"/>
  <c r="Q28" i="1"/>
  <c r="R28" i="1" s="1"/>
  <c r="Q27" i="1"/>
  <c r="R27" i="1" s="1"/>
  <c r="Q26" i="1"/>
  <c r="R26" i="1" s="1"/>
  <c r="Q25" i="1"/>
  <c r="R25" i="1" s="1"/>
  <c r="Q24" i="1"/>
  <c r="R24" i="1" s="1"/>
  <c r="Q23" i="1"/>
  <c r="R23" i="1" s="1"/>
  <c r="L33" i="1"/>
  <c r="M33" i="1" s="1"/>
  <c r="N33" i="1" s="1"/>
  <c r="L32" i="1"/>
  <c r="M32" i="1" s="1"/>
  <c r="N32" i="1" s="1"/>
  <c r="L31" i="1"/>
  <c r="M31" i="1" s="1"/>
  <c r="N31" i="1" s="1"/>
  <c r="L30" i="1"/>
  <c r="M30" i="1" s="1"/>
  <c r="N30" i="1" s="1"/>
  <c r="L29" i="1"/>
  <c r="M29" i="1" s="1"/>
  <c r="N29" i="1" s="1"/>
  <c r="L28" i="1"/>
  <c r="M28" i="1" s="1"/>
  <c r="N28" i="1" s="1"/>
  <c r="L27" i="1"/>
  <c r="M27" i="1" s="1"/>
  <c r="N27" i="1" s="1"/>
  <c r="L26" i="1"/>
  <c r="M26" i="1" s="1"/>
  <c r="N26" i="1" s="1"/>
  <c r="L25" i="1"/>
  <c r="M25" i="1" s="1"/>
  <c r="N25" i="1" s="1"/>
  <c r="L24" i="1"/>
  <c r="M24" i="1" s="1"/>
  <c r="N24" i="1" s="1"/>
  <c r="L23" i="1"/>
  <c r="M23" i="1" s="1"/>
  <c r="N23" i="1" s="1"/>
  <c r="I25" i="1"/>
  <c r="I41" i="1"/>
  <c r="I42" i="1"/>
  <c r="H24" i="1"/>
  <c r="I24" i="1" s="1"/>
  <c r="H25" i="1"/>
  <c r="H26" i="1"/>
  <c r="I26" i="1" s="1"/>
  <c r="H27" i="1"/>
  <c r="I27" i="1" s="1"/>
  <c r="H28" i="1"/>
  <c r="I28" i="1" s="1"/>
  <c r="H29" i="1"/>
  <c r="I29" i="1" s="1"/>
  <c r="H30" i="1"/>
  <c r="I30" i="1" s="1"/>
  <c r="H31" i="1"/>
  <c r="I31" i="1" s="1"/>
  <c r="H32" i="1"/>
  <c r="I32" i="1" s="1"/>
  <c r="H33" i="1"/>
  <c r="I33" i="1" s="1"/>
  <c r="H34" i="1"/>
  <c r="I34" i="1" s="1"/>
  <c r="H35" i="1"/>
  <c r="I35" i="1" s="1"/>
  <c r="H36" i="1"/>
  <c r="I36" i="1" s="1"/>
  <c r="H37" i="1"/>
  <c r="I37" i="1" s="1"/>
  <c r="H38" i="1"/>
  <c r="I38" i="1" s="1"/>
  <c r="H39" i="1"/>
  <c r="I39" i="1" s="1"/>
  <c r="H40" i="1"/>
  <c r="I40" i="1" s="1"/>
  <c r="H41" i="1"/>
  <c r="H23" i="1"/>
  <c r="I23" i="1" s="1"/>
  <c r="C24" i="1"/>
  <c r="D24" i="1" s="1"/>
  <c r="E24" i="1" s="1"/>
  <c r="C25" i="1"/>
  <c r="D25" i="1" s="1"/>
  <c r="E25" i="1" s="1"/>
  <c r="C26" i="1"/>
  <c r="D26" i="1" s="1"/>
  <c r="E26" i="1" s="1"/>
  <c r="C27" i="1"/>
  <c r="D27" i="1" s="1"/>
  <c r="E27" i="1" s="1"/>
  <c r="C28" i="1"/>
  <c r="D28" i="1" s="1"/>
  <c r="E28" i="1" s="1"/>
  <c r="C29" i="1"/>
  <c r="D29" i="1" s="1"/>
  <c r="E29" i="1" s="1"/>
  <c r="C30" i="1"/>
  <c r="D30" i="1" s="1"/>
  <c r="E30" i="1" s="1"/>
  <c r="C31" i="1"/>
  <c r="D31" i="1" s="1"/>
  <c r="E31" i="1" s="1"/>
  <c r="C32" i="1"/>
  <c r="D32" i="1" s="1"/>
  <c r="E32" i="1" s="1"/>
  <c r="C33" i="1"/>
  <c r="D33" i="1" s="1"/>
  <c r="E33" i="1" s="1"/>
  <c r="J17" i="1"/>
  <c r="K17" i="1" s="1"/>
  <c r="J16" i="1"/>
  <c r="K16" i="1" s="1"/>
  <c r="J15" i="1"/>
  <c r="K15" i="1" s="1"/>
  <c r="J14" i="1"/>
  <c r="K14" i="1" s="1"/>
  <c r="J13" i="1"/>
  <c r="K13" i="1" s="1"/>
  <c r="J12" i="1"/>
  <c r="K12" i="1" s="1"/>
  <c r="J11" i="1"/>
  <c r="K11" i="1" s="1"/>
  <c r="J10" i="1"/>
  <c r="K10" i="1" s="1"/>
  <c r="J9" i="1"/>
  <c r="K9" i="1" s="1"/>
  <c r="J8" i="1"/>
  <c r="K8" i="1" s="1"/>
  <c r="J7" i="1"/>
  <c r="K7" i="1" s="1"/>
  <c r="J6" i="1"/>
  <c r="K6" i="1" s="1"/>
  <c r="J5" i="1"/>
  <c r="K5" i="1" s="1"/>
  <c r="C8" i="1"/>
  <c r="D8" i="1" s="1"/>
  <c r="C6" i="1"/>
  <c r="D6" i="1" s="1"/>
  <c r="C7" i="1"/>
  <c r="D7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7" i="1"/>
  <c r="D17" i="1" s="1"/>
  <c r="C16" i="1"/>
  <c r="D16" i="1" s="1"/>
  <c r="C5" i="1"/>
  <c r="D5" i="1" s="1"/>
  <c r="D42" i="2" l="1"/>
  <c r="E42" i="2" s="1"/>
  <c r="F42" i="2" s="1"/>
  <c r="L42" i="2" s="1"/>
  <c r="D43" i="2"/>
  <c r="E43" i="2" s="1"/>
  <c r="F43" i="2" s="1"/>
  <c r="D41" i="2"/>
  <c r="E41" i="2" s="1"/>
  <c r="F41" i="2" s="1"/>
  <c r="K43" i="2" s="1"/>
  <c r="H43" i="2"/>
  <c r="D45" i="2"/>
  <c r="E45" i="2" s="1"/>
  <c r="F45" i="2" s="1"/>
  <c r="E6" i="1"/>
  <c r="F5" i="1" s="1"/>
  <c r="AH47" i="1"/>
  <c r="AH55" i="1"/>
  <c r="AH48" i="1"/>
  <c r="AH56" i="1"/>
  <c r="AH49" i="1"/>
  <c r="AH57" i="1"/>
  <c r="AH50" i="1"/>
  <c r="AH46" i="1"/>
  <c r="AH51" i="1"/>
  <c r="AH52" i="1"/>
  <c r="AH53" i="1"/>
  <c r="AH54" i="1"/>
  <c r="AD8" i="1"/>
  <c r="AD18" i="1"/>
  <c r="AD15" i="1"/>
  <c r="AD16" i="1"/>
  <c r="AD9" i="1"/>
  <c r="AD17" i="1"/>
  <c r="AD10" i="1"/>
  <c r="AD11" i="1"/>
  <c r="AD12" i="1"/>
  <c r="AD13" i="1"/>
  <c r="AD14" i="1"/>
  <c r="E7" i="1"/>
  <c r="F6" i="1" s="1"/>
  <c r="L27" i="2"/>
  <c r="L8" i="1"/>
  <c r="L9" i="1"/>
  <c r="L17" i="1"/>
  <c r="M17" i="1" s="1"/>
  <c r="L16" i="1"/>
  <c r="L11" i="1"/>
  <c r="L10" i="1"/>
  <c r="M10" i="1" s="1"/>
  <c r="L7" i="1"/>
  <c r="L6" i="1"/>
  <c r="M5" i="1" s="1"/>
  <c r="L15" i="1"/>
  <c r="E17" i="1"/>
  <c r="F17" i="1" s="1"/>
  <c r="E16" i="1"/>
  <c r="E15" i="1"/>
  <c r="E14" i="1"/>
  <c r="E13" i="1"/>
  <c r="F13" i="1" s="1"/>
  <c r="E12" i="1"/>
  <c r="F12" i="1" s="1"/>
  <c r="E11" i="1"/>
  <c r="E10" i="1"/>
  <c r="F10" i="1" s="1"/>
  <c r="E9" i="1"/>
  <c r="F9" i="1" s="1"/>
  <c r="E8" i="1"/>
  <c r="F8" i="1" s="1"/>
  <c r="L14" i="1"/>
  <c r="L13" i="1"/>
  <c r="L12" i="1"/>
  <c r="M12" i="1" s="1"/>
  <c r="I42" i="2" l="1"/>
  <c r="L43" i="2"/>
  <c r="J42" i="2"/>
  <c r="L49" i="2"/>
  <c r="L46" i="2"/>
  <c r="H47" i="2"/>
  <c r="J46" i="2"/>
  <c r="H48" i="2"/>
  <c r="K46" i="2"/>
  <c r="I48" i="2"/>
  <c r="J48" i="2"/>
  <c r="K48" i="2"/>
  <c r="I47" i="2"/>
  <c r="L48" i="2"/>
  <c r="I46" i="2"/>
  <c r="L47" i="2"/>
  <c r="H46" i="2"/>
  <c r="I49" i="2"/>
  <c r="K47" i="2"/>
  <c r="H49" i="2"/>
  <c r="K49" i="2"/>
  <c r="J49" i="2"/>
  <c r="J47" i="2"/>
  <c r="I44" i="2"/>
  <c r="I43" i="2"/>
  <c r="K44" i="2"/>
  <c r="J44" i="2"/>
  <c r="K42" i="2"/>
  <c r="H44" i="2"/>
  <c r="J43" i="2"/>
  <c r="K45" i="2"/>
  <c r="I45" i="2"/>
  <c r="L45" i="2"/>
  <c r="H45" i="2"/>
  <c r="J45" i="2"/>
  <c r="H42" i="2"/>
  <c r="L44" i="2"/>
  <c r="F16" i="1"/>
  <c r="F11" i="1"/>
  <c r="M14" i="1"/>
  <c r="F15" i="1"/>
  <c r="M16" i="1"/>
  <c r="N5" i="1"/>
  <c r="M7" i="1"/>
  <c r="M15" i="1"/>
  <c r="M13" i="1"/>
  <c r="F14" i="1"/>
  <c r="M11" i="1"/>
  <c r="M9" i="1"/>
  <c r="M8" i="1"/>
  <c r="M6" i="1"/>
  <c r="F7" i="1"/>
  <c r="G7" i="1" s="1"/>
  <c r="N17" i="1" l="1"/>
  <c r="N8" i="1"/>
  <c r="N15" i="1"/>
  <c r="N11" i="1"/>
  <c r="N16" i="1"/>
  <c r="N9" i="1"/>
  <c r="N12" i="1"/>
  <c r="N7" i="1"/>
  <c r="N10" i="1"/>
  <c r="N14" i="1"/>
  <c r="N6" i="1"/>
  <c r="N13" i="1"/>
  <c r="G17" i="1"/>
  <c r="G16" i="1"/>
  <c r="G15" i="1"/>
  <c r="G14" i="1"/>
  <c r="G13" i="1"/>
  <c r="G12" i="1"/>
  <c r="G11" i="1"/>
  <c r="G10" i="1"/>
  <c r="G9" i="1"/>
  <c r="G8" i="1"/>
</calcChain>
</file>

<file path=xl/sharedStrings.xml><?xml version="1.0" encoding="utf-8"?>
<sst xmlns="http://schemas.openxmlformats.org/spreadsheetml/2006/main" count="334" uniqueCount="188">
  <si>
    <t>A Shim Rotation (Drum 6)</t>
  </si>
  <si>
    <t>AB Shim Rotation (Drum 6)</t>
  </si>
  <si>
    <t>A Shim Rotation (Drum 5)</t>
  </si>
  <si>
    <t>drum position</t>
  </si>
  <si>
    <t>keff</t>
  </si>
  <si>
    <t>rho</t>
  </si>
  <si>
    <t>rho pcm</t>
  </si>
  <si>
    <t>rho pcm per degree</t>
  </si>
  <si>
    <t>integral worth at ith segment</t>
  </si>
  <si>
    <t>Integral worth</t>
  </si>
  <si>
    <t>A Shim Rotation (experiment)</t>
  </si>
  <si>
    <t>AB Shim Rotation (experiment)</t>
  </si>
  <si>
    <t>cents/deg</t>
  </si>
  <si>
    <t>$/deg</t>
  </si>
  <si>
    <t>rho/deg</t>
  </si>
  <si>
    <t>pcm/deg</t>
  </si>
  <si>
    <t>pcm</t>
  </si>
  <si>
    <t>Rod No.</t>
  </si>
  <si>
    <t>Fuel Weight (gm)</t>
  </si>
  <si>
    <t>N_H (x10^22)</t>
  </si>
  <si>
    <t>Percent Uranium</t>
  </si>
  <si>
    <t>Position</t>
  </si>
  <si>
    <r>
      <t>Experimental Worths (</t>
    </r>
    <r>
      <rPr>
        <b/>
        <sz val="11"/>
        <color theme="1"/>
        <rFont val="Calibri"/>
        <family val="2"/>
      </rPr>
      <t>₵)</t>
    </r>
  </si>
  <si>
    <t>Serpent Solutions (₵)</t>
  </si>
  <si>
    <t>Raw Serpent Solutions</t>
  </si>
  <si>
    <t>Relative to Lucite</t>
  </si>
  <si>
    <t>Relative to Void</t>
  </si>
  <si>
    <t>Lucite Delta [₵]</t>
  </si>
  <si>
    <t>Void Delta [₵]</t>
  </si>
  <si>
    <t>Type</t>
  </si>
  <si>
    <t>k_eff</t>
  </si>
  <si>
    <t>$</t>
  </si>
  <si>
    <t>Lucite</t>
  </si>
  <si>
    <t>-</t>
  </si>
  <si>
    <t>I-1</t>
  </si>
  <si>
    <t>Lucite I-1</t>
  </si>
  <si>
    <t>E-181</t>
  </si>
  <si>
    <t>Void I-1</t>
  </si>
  <si>
    <t>E-672</t>
  </si>
  <si>
    <t>E-181 I-1</t>
  </si>
  <si>
    <t>E-669</t>
  </si>
  <si>
    <t>E-672 I-1</t>
  </si>
  <si>
    <t>E-671</t>
  </si>
  <si>
    <t>E-669 I-1</t>
  </si>
  <si>
    <t>E-661</t>
  </si>
  <si>
    <t>E-671 I-1</t>
  </si>
  <si>
    <t>E-660</t>
  </si>
  <si>
    <t>V-23</t>
  </si>
  <si>
    <t>E-661 I-1</t>
  </si>
  <si>
    <t>Void V-23</t>
  </si>
  <si>
    <t>IX-45</t>
  </si>
  <si>
    <t>E-660 V-23</t>
  </si>
  <si>
    <t>E-661 V-23</t>
  </si>
  <si>
    <t>Void IX-45</t>
  </si>
  <si>
    <t>E-661 IX-45</t>
  </si>
  <si>
    <t>``</t>
  </si>
  <si>
    <t>Experimental Worths (pcm)</t>
  </si>
  <si>
    <t>Serpent Solutions (pcm)</t>
  </si>
  <si>
    <t>Lucite Delta [pcm]</t>
  </si>
  <si>
    <t>Void Delta [pcm]</t>
  </si>
  <si>
    <t>Isotopic and Fuel Rod Densities</t>
  </si>
  <si>
    <t xml:space="preserve">Rod No. </t>
  </si>
  <si>
    <t>Fuel Weight</t>
  </si>
  <si>
    <t>N_H</t>
  </si>
  <si>
    <t>H mass</t>
  </si>
  <si>
    <t>H wt%</t>
  </si>
  <si>
    <t>Z wt%</t>
  </si>
  <si>
    <t>U wt%</t>
  </si>
  <si>
    <t>Z-90 atomic density</t>
  </si>
  <si>
    <t>Z-91 atomic density</t>
  </si>
  <si>
    <t>Z-92 atomic density</t>
  </si>
  <si>
    <t>Z-94 atomic density</t>
  </si>
  <si>
    <t>Z-96 atomic density</t>
  </si>
  <si>
    <t>U 238 atomic dens</t>
  </si>
  <si>
    <t>U-235 atomic dens</t>
  </si>
  <si>
    <t>Overall Density</t>
  </si>
  <si>
    <t>b to cm^2</t>
  </si>
  <si>
    <t>C-4 Reference</t>
  </si>
  <si>
    <t>cm per inch</t>
  </si>
  <si>
    <t>Fuel Rod Radius [in]</t>
  </si>
  <si>
    <t>Fuel Rod Length [in]</t>
  </si>
  <si>
    <t>Fuel Rod Radius [cm]</t>
  </si>
  <si>
    <t>Fuel Rod Length [cm]</t>
  </si>
  <si>
    <t>Fuel Rod Volume [cc^3]</t>
  </si>
  <si>
    <t>Avogadros Number</t>
  </si>
  <si>
    <t>Reference Density</t>
  </si>
  <si>
    <t>Serpent Quantity</t>
  </si>
  <si>
    <t>Serpent Uncertainty [%]</t>
  </si>
  <si>
    <t>Experiment Quantity</t>
  </si>
  <si>
    <t>Experiment Uncertainty</t>
  </si>
  <si>
    <t>Discrepancy</t>
  </si>
  <si>
    <t>beta</t>
  </si>
  <si>
    <t>prompt neutron lifetime</t>
  </si>
  <si>
    <t>beta/l</t>
  </si>
  <si>
    <t>AB Shim Rotation (Drum 5)</t>
  </si>
  <si>
    <t>A Shim Rotation w/ Room and drum rod (Drum 5)</t>
  </si>
  <si>
    <t>Configuration</t>
  </si>
  <si>
    <t>C-1</t>
  </si>
  <si>
    <t>C-2</t>
  </si>
  <si>
    <t>C-3</t>
  </si>
  <si>
    <t>C-4</t>
  </si>
  <si>
    <t>C-5</t>
  </si>
  <si>
    <t>Shims Installed</t>
  </si>
  <si>
    <t>Drums Locked Out</t>
  </si>
  <si>
    <t>Number of Lucite Rods</t>
  </si>
  <si>
    <t>Number of Fuel Elements</t>
  </si>
  <si>
    <t>Effective Delayed Neutron Fraction</t>
  </si>
  <si>
    <t>Experimental Excess Reactivity [pcm]</t>
  </si>
  <si>
    <t>Serpent Excess Reactivity (pcm)</t>
  </si>
  <si>
    <t>A-B</t>
  </si>
  <si>
    <t>A</t>
  </si>
  <si>
    <t>None</t>
  </si>
  <si>
    <t>No. 6 @ 105 Degrees</t>
  </si>
  <si>
    <t>Experimental Excess Reactivity [¢]</t>
  </si>
  <si>
    <r>
      <t>Serpent k</t>
    </r>
    <r>
      <rPr>
        <vertAlign val="subscript"/>
        <sz val="11"/>
        <color theme="1"/>
        <rFont val="Calibri"/>
        <family val="2"/>
        <scheme val="minor"/>
      </rPr>
      <t>eff</t>
    </r>
  </si>
  <si>
    <t>Difference Excess Reactivity (Δ pcm)</t>
  </si>
  <si>
    <t>Serpent Excess Reactivity (uncertainty)</t>
  </si>
  <si>
    <t>Serpent keff uncertainty</t>
  </si>
  <si>
    <t>I-1,I-2</t>
  </si>
  <si>
    <t>Experimental Delayed Neutron Fraction</t>
  </si>
  <si>
    <t>Case</t>
  </si>
  <si>
    <t>Poison Worth</t>
  </si>
  <si>
    <t>N/A</t>
  </si>
  <si>
    <t>Difference Exceess Uncertainty</t>
  </si>
  <si>
    <t>keff sigma</t>
  </si>
  <si>
    <t>IW sigma at ith seg</t>
  </si>
  <si>
    <t>rho sigma pcm per deg</t>
  </si>
  <si>
    <t>rho sigma (pcm)</t>
  </si>
  <si>
    <t>integral worth uncertainty</t>
  </si>
  <si>
    <t>Serpent keff uncertainty (pcm)</t>
  </si>
  <si>
    <t xml:space="preserve">Parameter </t>
  </si>
  <si>
    <t>Reported Value</t>
  </si>
  <si>
    <t>Modelled Value</t>
  </si>
  <si>
    <t>Material</t>
  </si>
  <si>
    <t>Outside Diameter (in)</t>
  </si>
  <si>
    <t>Axial Length (in)</t>
  </si>
  <si>
    <t>Total Weight (g)</t>
  </si>
  <si>
    <t>U Weight (g)</t>
  </si>
  <si>
    <t>U-235 Enrichment (wt%)</t>
  </si>
  <si>
    <t>U (wt%)</t>
  </si>
  <si>
    <t>Zr (wt%)</t>
  </si>
  <si>
    <t>H (wt%)</t>
  </si>
  <si>
    <t>H/Zr Atom Ratio</t>
  </si>
  <si>
    <t>Fuel Rod Density (g/cm^3)</t>
  </si>
  <si>
    <t>Enriched U-Zr Alloy, Zr-Hydrided</t>
  </si>
  <si>
    <r>
      <t>N</t>
    </r>
    <r>
      <rPr>
        <vertAlign val="subscript"/>
        <sz val="11"/>
        <color theme="1"/>
        <rFont val="Calibri"/>
        <family val="2"/>
        <scheme val="minor"/>
      </rPr>
      <t>H</t>
    </r>
    <r>
      <rPr>
        <sz val="11"/>
        <color theme="1"/>
        <rFont val="Calibri"/>
        <family val="2"/>
        <scheme val="minor"/>
      </rPr>
      <t xml:space="preserve"> (atoms/barn-cm)</t>
    </r>
  </si>
  <si>
    <t>Experimental k_eff</t>
  </si>
  <si>
    <t xml:space="preserve">Serpent uncertainty </t>
  </si>
  <si>
    <t>A-C-B</t>
  </si>
  <si>
    <t>A-B-B</t>
  </si>
  <si>
    <t>Shim Measured</t>
  </si>
  <si>
    <t>Shim Configuration</t>
  </si>
  <si>
    <t>B</t>
  </si>
  <si>
    <t>C</t>
  </si>
  <si>
    <t>Second B</t>
  </si>
  <si>
    <t>Experimental Single Shim Worth [pcm]</t>
  </si>
  <si>
    <t>Experimental Single Shim Worth [¢]</t>
  </si>
  <si>
    <t>Modeled Single Shim Worth [pcm]</t>
  </si>
  <si>
    <t>Modeled Single Shim Worth [uncertainty]</t>
  </si>
  <si>
    <t>AB</t>
  </si>
  <si>
    <t>ACB</t>
  </si>
  <si>
    <t>ABB</t>
  </si>
  <si>
    <t>Experimental Six Shim Worth [$]</t>
  </si>
  <si>
    <t>Experimental Six Shim Worth [pcm]</t>
  </si>
  <si>
    <t>Difference Excess Reactivity for single shim (Δ pcm)</t>
  </si>
  <si>
    <t>Difference for Six Shim Worth</t>
  </si>
  <si>
    <t>Difference Uncertainty</t>
  </si>
  <si>
    <t>Empty Unocate</t>
  </si>
  <si>
    <t>keff uncertainty</t>
  </si>
  <si>
    <t>uncertainty pcm</t>
  </si>
  <si>
    <t>rho uncertainty</t>
  </si>
  <si>
    <t>Lucite unc</t>
  </si>
  <si>
    <t>Void Unc</t>
  </si>
  <si>
    <t>Axial Power Distribution</t>
  </si>
  <si>
    <t>norm tallies</t>
  </si>
  <si>
    <t>axial grid</t>
  </si>
  <si>
    <t>experimental grid</t>
  </si>
  <si>
    <t>experimental tallies</t>
  </si>
  <si>
    <t>error</t>
  </si>
  <si>
    <t>error (3 sig)</t>
  </si>
  <si>
    <t>C-4 Drum 6</t>
  </si>
  <si>
    <t>C-4 Drum 2</t>
  </si>
  <si>
    <t>C-4 Base Case</t>
  </si>
  <si>
    <t>Total A Worth</t>
  </si>
  <si>
    <t>Single A Shim Worth</t>
  </si>
  <si>
    <t>B-Shim Removed</t>
  </si>
  <si>
    <t>Modeled Six Shim Worth [pcm]</t>
  </si>
  <si>
    <t>Modeled uncertainty [pcm]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</si>
</sst>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2" x14ac:knownFonts="1">
    <font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 Unicode MS"/>
      <family val="2"/>
    </font>
    <font>
      <vertAlign val="subscript"/>
      <sz val="11"/>
      <color theme="1"/>
      <name val="Calibri"/>
      <family val="2"/>
      <scheme val="minor"/>
    </font>
    <font>
      <sz val="10"/>
      <color rgb="FFFFFFFF"/>
      <name val="Arial Unicode MS"/>
      <family val="2"/>
    </font>
    <font>
      <sz val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59">
    <xf numFmtId="0" fontId="0" fillId="0" borderId="0" xfId="0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2" xfId="0" applyBorder="1"/>
    <xf numFmtId="0" fontId="0" fillId="0" borderId="3" xfId="0" applyBorder="1"/>
    <xf numFmtId="0" fontId="0" fillId="0" borderId="8" xfId="0" applyBorder="1"/>
    <xf numFmtId="11" fontId="0" fillId="0" borderId="0" xfId="0" applyNumberFormat="1"/>
    <xf numFmtId="11" fontId="0" fillId="0" borderId="0" xfId="0" applyNumberFormat="1" applyAlignment="1">
      <alignment vertical="center"/>
    </xf>
    <xf numFmtId="0" fontId="4" fillId="0" borderId="0" xfId="0" applyFont="1"/>
    <xf numFmtId="0" fontId="5" fillId="0" borderId="0" xfId="0" applyFont="1"/>
    <xf numFmtId="9" fontId="0" fillId="0" borderId="0" xfId="1" applyFont="1"/>
    <xf numFmtId="10" fontId="0" fillId="0" borderId="0" xfId="1" applyNumberFormat="1" applyFont="1"/>
    <xf numFmtId="0" fontId="0" fillId="0" borderId="0" xfId="1" applyNumberFormat="1" applyFont="1"/>
    <xf numFmtId="0" fontId="0" fillId="0" borderId="10" xfId="0" applyBorder="1" applyAlignment="1">
      <alignment horizontal="center" vertical="center"/>
    </xf>
    <xf numFmtId="11" fontId="0" fillId="0" borderId="10" xfId="0" applyNumberForma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1" xfId="0" applyFont="1" applyBorder="1"/>
    <xf numFmtId="11" fontId="0" fillId="0" borderId="7" xfId="0" applyNumberFormat="1" applyBorder="1"/>
    <xf numFmtId="11" fontId="8" fillId="0" borderId="0" xfId="0" applyNumberFormat="1" applyFont="1" applyAlignment="1">
      <alignment vertical="center"/>
    </xf>
    <xf numFmtId="11" fontId="10" fillId="0" borderId="0" xfId="0" applyNumberFormat="1" applyFont="1" applyAlignment="1">
      <alignment vertical="center"/>
    </xf>
    <xf numFmtId="0" fontId="7" fillId="0" borderId="0" xfId="0" applyFont="1" applyAlignment="1">
      <alignment vertical="center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11" fontId="0" fillId="0" borderId="18" xfId="0" applyNumberFormat="1" applyBorder="1"/>
    <xf numFmtId="0" fontId="0" fillId="0" borderId="18" xfId="0" applyBorder="1"/>
    <xf numFmtId="0" fontId="0" fillId="0" borderId="19" xfId="0" applyBorder="1"/>
    <xf numFmtId="0" fontId="1" fillId="0" borderId="0" xfId="0" applyFont="1"/>
    <xf numFmtId="0" fontId="2" fillId="0" borderId="0" xfId="0" applyFont="1"/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0" fontId="0" fillId="0" borderId="0" xfId="0" applyAlignment="1">
      <alignment horizontal="right"/>
    </xf>
    <xf numFmtId="1" fontId="0" fillId="0" borderId="0" xfId="0" applyNumberFormat="1" applyAlignment="1">
      <alignment horizontal="right"/>
    </xf>
    <xf numFmtId="0" fontId="2" fillId="0" borderId="0" xfId="0" applyFont="1" applyAlignment="1">
      <alignment horizontal="right"/>
    </xf>
    <xf numFmtId="11" fontId="11" fillId="0" borderId="0" xfId="0" applyNumberFormat="1" applyFont="1" applyAlignment="1">
      <alignment vertical="center"/>
    </xf>
    <xf numFmtId="0" fontId="2" fillId="0" borderId="1" xfId="0" applyFont="1" applyBorder="1"/>
    <xf numFmtId="0" fontId="2" fillId="0" borderId="9" xfId="0" applyFont="1" applyBorder="1"/>
    <xf numFmtId="0" fontId="2" fillId="0" borderId="3" xfId="0" applyFont="1" applyBorder="1"/>
    <xf numFmtId="0" fontId="0" fillId="0" borderId="20" xfId="0" applyBorder="1" applyAlignment="1">
      <alignment horizontal="center" vertical="center"/>
    </xf>
    <xf numFmtId="0" fontId="0" fillId="0" borderId="9" xfId="0" applyBorder="1"/>
    <xf numFmtId="0" fontId="0" fillId="0" borderId="22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165" fontId="0" fillId="0" borderId="0" xfId="0" applyNumberFormat="1" applyAlignment="1">
      <alignment horizontal="right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Drum No. 5 with A Shim Differential Worth</a:t>
            </a:r>
          </a:p>
        </c:rich>
      </c:tx>
      <c:layout>
        <c:manualLayout>
          <c:xMode val="edge"/>
          <c:yMode val="edge"/>
          <c:x val="0.10574803149606302"/>
          <c:y val="4.31393992417614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Serpent Solution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'Differential &amp; Integral Worth'!$T$5:$T$18</c:f>
              <c:numCache>
                <c:formatCode>General</c:formatCode>
                <c:ptCount val="14"/>
                <c:pt idx="0">
                  <c:v>-20</c:v>
                </c:pt>
                <c:pt idx="1">
                  <c:v>-10</c:v>
                </c:pt>
                <c:pt idx="2">
                  <c:v>0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100</c:v>
                </c:pt>
                <c:pt idx="13">
                  <c:v>105</c:v>
                </c:pt>
              </c:numCache>
            </c:numRef>
          </c:xVal>
          <c:yVal>
            <c:numRef>
              <c:f>'Differential &amp; Integral Worth'!$Z$5:$Z$18</c:f>
              <c:numCache>
                <c:formatCode>General</c:formatCode>
                <c:ptCount val="14"/>
                <c:pt idx="0">
                  <c:v>0</c:v>
                </c:pt>
                <c:pt idx="1">
                  <c:v>1.3560789039013343</c:v>
                </c:pt>
                <c:pt idx="2">
                  <c:v>5.9044945424484014</c:v>
                </c:pt>
                <c:pt idx="3">
                  <c:v>8.1305192225187053</c:v>
                </c:pt>
                <c:pt idx="4">
                  <c:v>20.436309752982879</c:v>
                </c:pt>
                <c:pt idx="5">
                  <c:v>32.618018147210385</c:v>
                </c:pt>
                <c:pt idx="6">
                  <c:v>48.874404912206636</c:v>
                </c:pt>
                <c:pt idx="7">
                  <c:v>57.056650427155681</c:v>
                </c:pt>
                <c:pt idx="8">
                  <c:v>57.32060323322073</c:v>
                </c:pt>
                <c:pt idx="9">
                  <c:v>46.557012061309742</c:v>
                </c:pt>
                <c:pt idx="10">
                  <c:v>35.240617714013432</c:v>
                </c:pt>
                <c:pt idx="11">
                  <c:v>20.881368050649918</c:v>
                </c:pt>
                <c:pt idx="12">
                  <c:v>10.704988152114851</c:v>
                </c:pt>
                <c:pt idx="13">
                  <c:v>0.32191898800872421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A3E4-4484-8F16-A1216694DE4D}"/>
            </c:ext>
          </c:extLst>
        </c:ser>
        <c:ser>
          <c:idx val="2"/>
          <c:order val="2"/>
          <c:tx>
            <c:v>Experiment Measurement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percentage"/>
            <c:noEndCap val="0"/>
            <c:val val="1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'Differential &amp; Integral Worth'!$A$23:$A$33</c:f>
              <c:numCache>
                <c:formatCode>General</c:formatCode>
                <c:ptCount val="11"/>
                <c:pt idx="0">
                  <c:v>0.14285714285714199</c:v>
                </c:pt>
                <c:pt idx="1">
                  <c:v>10.285714285714199</c:v>
                </c:pt>
                <c:pt idx="2">
                  <c:v>20.428571428571399</c:v>
                </c:pt>
                <c:pt idx="3">
                  <c:v>30.714285714285701</c:v>
                </c:pt>
                <c:pt idx="4">
                  <c:v>40.857142857142797</c:v>
                </c:pt>
                <c:pt idx="5">
                  <c:v>50.428571428571402</c:v>
                </c:pt>
                <c:pt idx="6">
                  <c:v>60.571428571428498</c:v>
                </c:pt>
                <c:pt idx="7">
                  <c:v>70.428571428571402</c:v>
                </c:pt>
                <c:pt idx="8">
                  <c:v>80.428571428571402</c:v>
                </c:pt>
                <c:pt idx="9">
                  <c:v>90.142857142857096</c:v>
                </c:pt>
                <c:pt idx="10">
                  <c:v>100.142857142857</c:v>
                </c:pt>
              </c:numCache>
            </c:numRef>
          </c:xVal>
          <c:yVal>
            <c:numRef>
              <c:f>'Differential &amp; Integral Worth'!$E$23:$E$33</c:f>
              <c:numCache>
                <c:formatCode>General</c:formatCode>
                <c:ptCount val="11"/>
                <c:pt idx="0">
                  <c:v>1.1701574803149541</c:v>
                </c:pt>
                <c:pt idx="1">
                  <c:v>3.6256692913385788</c:v>
                </c:pt>
                <c:pt idx="2">
                  <c:v>8.3184251968503844</c:v>
                </c:pt>
                <c:pt idx="3">
                  <c:v>13.665984251968434</c:v>
                </c:pt>
                <c:pt idx="4">
                  <c:v>18.195039370078725</c:v>
                </c:pt>
                <c:pt idx="5">
                  <c:v>22.451259842519665</c:v>
                </c:pt>
                <c:pt idx="6">
                  <c:v>18.904409448818893</c:v>
                </c:pt>
                <c:pt idx="7">
                  <c:v>15.52125984251966</c:v>
                </c:pt>
                <c:pt idx="8">
                  <c:v>12.956614173228342</c:v>
                </c:pt>
                <c:pt idx="9">
                  <c:v>7.1725196850393704</c:v>
                </c:pt>
                <c:pt idx="10">
                  <c:v>2.5343307086614133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3E-45BF-B3E7-727FB04996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1289488"/>
        <c:axId val="35062345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Serpent Solution Drum 6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errBars>
                  <c:errDir val="x"/>
                  <c:errBarType val="both"/>
                  <c:errValType val="stdErr"/>
                  <c:noEndCap val="0"/>
                  <c:spPr>
                    <a:noFill/>
                    <a:ln w="9525" cap="flat" cmpd="sng" algn="ctr">
                      <a:noFill/>
                      <a:round/>
                    </a:ln>
                    <a:effectLst/>
                  </c:spPr>
                </c:errBars>
                <c:errBars>
                  <c:errDir val="y"/>
                  <c:errBarType val="both"/>
                  <c:errValType val="percentage"/>
                  <c:noEndCap val="0"/>
                  <c:val val="1.0000000000000002E-2"/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xVal>
                  <c:numRef>
                    <c:extLst>
                      <c:ext uri="{02D57815-91ED-43cb-92C2-25804820EDAC}">
                        <c15:formulaRef>
                          <c15:sqref>'Differential &amp; Integral Worth'!$A$7:$A$17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40</c:v>
                      </c:pt>
                      <c:pt idx="5">
                        <c:v>50</c:v>
                      </c:pt>
                      <c:pt idx="6">
                        <c:v>60</c:v>
                      </c:pt>
                      <c:pt idx="7">
                        <c:v>70</c:v>
                      </c:pt>
                      <c:pt idx="8">
                        <c:v>80</c:v>
                      </c:pt>
                      <c:pt idx="9">
                        <c:v>90</c:v>
                      </c:pt>
                      <c:pt idx="10">
                        <c:v>100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'Differential &amp; Integral Worth'!$E$5:$E$17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0</c:v>
                      </c:pt>
                      <c:pt idx="1">
                        <c:v>14.851977232236639</c:v>
                      </c:pt>
                      <c:pt idx="2">
                        <c:v>7.7807123979966324</c:v>
                      </c:pt>
                      <c:pt idx="3">
                        <c:v>3.4119860967612823</c:v>
                      </c:pt>
                      <c:pt idx="4">
                        <c:v>8.4898654678227725</c:v>
                      </c:pt>
                      <c:pt idx="5">
                        <c:v>18.718350288921279</c:v>
                      </c:pt>
                      <c:pt idx="6">
                        <c:v>26.706940142196419</c:v>
                      </c:pt>
                      <c:pt idx="7">
                        <c:v>36.375974446118654</c:v>
                      </c:pt>
                      <c:pt idx="8">
                        <c:v>39.110959116546084</c:v>
                      </c:pt>
                      <c:pt idx="9">
                        <c:v>41.262691764353441</c:v>
                      </c:pt>
                      <c:pt idx="10">
                        <c:v>29.856930906026218</c:v>
                      </c:pt>
                      <c:pt idx="11">
                        <c:v>20.858394749046873</c:v>
                      </c:pt>
                      <c:pt idx="12">
                        <c:v>9.5732566172473526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2CD4-4FC6-8EA2-8626B93182C0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Room Modelled w/ Drum Rod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'Differential &amp; Integral Worth'!$T$44:$T$58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-20</c:v>
                      </c:pt>
                      <c:pt idx="1">
                        <c:v>-10</c:v>
                      </c:pt>
                      <c:pt idx="2">
                        <c:v>0</c:v>
                      </c:pt>
                      <c:pt idx="3">
                        <c:v>10</c:v>
                      </c:pt>
                      <c:pt idx="4">
                        <c:v>20</c:v>
                      </c:pt>
                      <c:pt idx="5">
                        <c:v>30</c:v>
                      </c:pt>
                      <c:pt idx="6">
                        <c:v>40</c:v>
                      </c:pt>
                      <c:pt idx="7">
                        <c:v>50</c:v>
                      </c:pt>
                      <c:pt idx="8">
                        <c:v>60</c:v>
                      </c:pt>
                      <c:pt idx="9">
                        <c:v>70</c:v>
                      </c:pt>
                      <c:pt idx="10">
                        <c:v>80</c:v>
                      </c:pt>
                      <c:pt idx="11">
                        <c:v>90</c:v>
                      </c:pt>
                      <c:pt idx="12">
                        <c:v>100</c:v>
                      </c:pt>
                      <c:pt idx="13">
                        <c:v>105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'Differential &amp; Integral Worth'!$X$44:$X$58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0</c:v>
                      </c:pt>
                      <c:pt idx="1">
                        <c:v>1.9225239937081824</c:v>
                      </c:pt>
                      <c:pt idx="2">
                        <c:v>4.8621970250240789</c:v>
                      </c:pt>
                      <c:pt idx="3">
                        <c:v>14.163406339297035</c:v>
                      </c:pt>
                      <c:pt idx="4">
                        <c:v>17.527260123253292</c:v>
                      </c:pt>
                      <c:pt idx="5">
                        <c:v>33.383397320646736</c:v>
                      </c:pt>
                      <c:pt idx="6">
                        <c:v>48.156021549533307</c:v>
                      </c:pt>
                      <c:pt idx="7">
                        <c:v>55.561955725254549</c:v>
                      </c:pt>
                      <c:pt idx="8">
                        <c:v>59.171377862649024</c:v>
                      </c:pt>
                      <c:pt idx="9">
                        <c:v>41.551102715379308</c:v>
                      </c:pt>
                      <c:pt idx="10">
                        <c:v>34.737029216674969</c:v>
                      </c:pt>
                      <c:pt idx="11">
                        <c:v>20.908806201640441</c:v>
                      </c:pt>
                      <c:pt idx="12">
                        <c:v>15.647195558708592</c:v>
                      </c:pt>
                      <c:pt idx="13">
                        <c:v>9.9987581703075143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27BC-4F5A-9A64-6D6DEB98856A}"/>
                  </c:ext>
                </c:extLst>
              </c15:ser>
            </c15:filteredScatterSeries>
          </c:ext>
        </c:extLst>
      </c:scatterChart>
      <c:valAx>
        <c:axId val="911289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Degrees</a:t>
                </a:r>
                <a:r>
                  <a:rPr lang="en-US" baseline="0"/>
                  <a:t> Inserted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623456"/>
        <c:crosses val="autoZero"/>
        <c:crossBetween val="midCat"/>
      </c:valAx>
      <c:valAx>
        <c:axId val="35062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pcm/deg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289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Drum No. 5 with A-B Shim Differential</a:t>
            </a:r>
            <a:r>
              <a:rPr lang="en-US" baseline="0"/>
              <a:t> Worth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1"/>
          <c:tx>
            <c:v>Serpent Solution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'Differential &amp; Integral Worth'!$T$25:$T$38</c:f>
              <c:numCache>
                <c:formatCode>General</c:formatCode>
                <c:ptCount val="14"/>
                <c:pt idx="0">
                  <c:v>-20</c:v>
                </c:pt>
                <c:pt idx="1">
                  <c:v>-10</c:v>
                </c:pt>
                <c:pt idx="2">
                  <c:v>0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100</c:v>
                </c:pt>
                <c:pt idx="13">
                  <c:v>105</c:v>
                </c:pt>
              </c:numCache>
            </c:numRef>
          </c:xVal>
          <c:yVal>
            <c:numRef>
              <c:f>'Differential &amp; Integral Worth'!$Z$25:$Z$38</c:f>
              <c:numCache>
                <c:formatCode>General</c:formatCode>
                <c:ptCount val="14"/>
                <c:pt idx="0">
                  <c:v>0</c:v>
                </c:pt>
                <c:pt idx="1">
                  <c:v>5.5343193239832997</c:v>
                </c:pt>
                <c:pt idx="2">
                  <c:v>9.5103453866808643</c:v>
                </c:pt>
                <c:pt idx="3">
                  <c:v>17.646263191548996</c:v>
                </c:pt>
                <c:pt idx="4">
                  <c:v>30.598716108741474</c:v>
                </c:pt>
                <c:pt idx="5">
                  <c:v>43.710037227418162</c:v>
                </c:pt>
                <c:pt idx="6">
                  <c:v>55.218070242751267</c:v>
                </c:pt>
                <c:pt idx="7">
                  <c:v>57.30025674690917</c:v>
                </c:pt>
                <c:pt idx="8">
                  <c:v>51.411179472817722</c:v>
                </c:pt>
                <c:pt idx="9">
                  <c:v>39.797984577516765</c:v>
                </c:pt>
                <c:pt idx="10">
                  <c:v>29.116030291281891</c:v>
                </c:pt>
                <c:pt idx="11">
                  <c:v>17.666865238340083</c:v>
                </c:pt>
                <c:pt idx="12">
                  <c:v>6.8175598878721004</c:v>
                </c:pt>
                <c:pt idx="13">
                  <c:v>0.99891089104923769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A7-4CE6-927E-B6EA008A534D}"/>
            </c:ext>
          </c:extLst>
        </c:ser>
        <c:ser>
          <c:idx val="1"/>
          <c:order val="2"/>
          <c:tx>
            <c:v>Experiment Measurement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percentage"/>
            <c:noEndCap val="0"/>
            <c:val val="1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'Differential &amp; Integral Worth'!$J$23:$J$33</c:f>
              <c:numCache>
                <c:formatCode>General</c:formatCode>
                <c:ptCount val="11"/>
                <c:pt idx="0">
                  <c:v>6.0260809883321897</c:v>
                </c:pt>
                <c:pt idx="1">
                  <c:v>14.5916266300617</c:v>
                </c:pt>
                <c:pt idx="2">
                  <c:v>23.1571722717913</c:v>
                </c:pt>
                <c:pt idx="3">
                  <c:v>32.052161976664301</c:v>
                </c:pt>
                <c:pt idx="4">
                  <c:v>40.864790665751499</c:v>
                </c:pt>
                <c:pt idx="5">
                  <c:v>49.018531228551801</c:v>
                </c:pt>
                <c:pt idx="6">
                  <c:v>57.8311599176389</c:v>
                </c:pt>
                <c:pt idx="7">
                  <c:v>66.314344543582706</c:v>
                </c:pt>
                <c:pt idx="8">
                  <c:v>74.797529169526399</c:v>
                </c:pt>
                <c:pt idx="9">
                  <c:v>83.115991763898407</c:v>
                </c:pt>
                <c:pt idx="10">
                  <c:v>91.928620452985498</c:v>
                </c:pt>
              </c:numCache>
            </c:numRef>
          </c:xVal>
          <c:yVal>
            <c:numRef>
              <c:f>'Differential &amp; Integral Worth'!$N$23:$N$33</c:f>
              <c:numCache>
                <c:formatCode>General</c:formatCode>
                <c:ptCount val="11"/>
                <c:pt idx="0">
                  <c:v>5.0969947368420998</c:v>
                </c:pt>
                <c:pt idx="1">
                  <c:v>8.64223684210525</c:v>
                </c:pt>
                <c:pt idx="2">
                  <c:v>13.566184210526256</c:v>
                </c:pt>
                <c:pt idx="3">
                  <c:v>19.081005263157842</c:v>
                </c:pt>
                <c:pt idx="4">
                  <c:v>23.446905263157838</c:v>
                </c:pt>
                <c:pt idx="5">
                  <c:v>23.840821052631508</c:v>
                </c:pt>
                <c:pt idx="6">
                  <c:v>22.068200000000001</c:v>
                </c:pt>
                <c:pt idx="7">
                  <c:v>18.293173684210501</c:v>
                </c:pt>
                <c:pt idx="8">
                  <c:v>12.745526315789421</c:v>
                </c:pt>
                <c:pt idx="9">
                  <c:v>8.5765842105262546</c:v>
                </c:pt>
                <c:pt idx="10">
                  <c:v>4.7687315789473672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7DE-4D82-BCFF-D38E06E7F5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2696240"/>
        <c:axId val="134264587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Room Modelled w/ Drum Rod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'Differential &amp; Integral Worth'!$AB$44:$AB$57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-20</c:v>
                      </c:pt>
                      <c:pt idx="1">
                        <c:v>-10</c:v>
                      </c:pt>
                      <c:pt idx="2">
                        <c:v>0</c:v>
                      </c:pt>
                      <c:pt idx="3">
                        <c:v>10</c:v>
                      </c:pt>
                      <c:pt idx="4">
                        <c:v>20</c:v>
                      </c:pt>
                      <c:pt idx="5">
                        <c:v>30</c:v>
                      </c:pt>
                      <c:pt idx="6">
                        <c:v>40</c:v>
                      </c:pt>
                      <c:pt idx="7">
                        <c:v>50</c:v>
                      </c:pt>
                      <c:pt idx="8">
                        <c:v>60</c:v>
                      </c:pt>
                      <c:pt idx="9">
                        <c:v>70</c:v>
                      </c:pt>
                      <c:pt idx="10">
                        <c:v>80</c:v>
                      </c:pt>
                      <c:pt idx="11">
                        <c:v>90</c:v>
                      </c:pt>
                      <c:pt idx="12">
                        <c:v>100</c:v>
                      </c:pt>
                      <c:pt idx="13">
                        <c:v>105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'Differential &amp; Integral Worth'!$AF$44:$AF$57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0</c:v>
                      </c:pt>
                      <c:pt idx="1">
                        <c:v>5.5466100306786306</c:v>
                      </c:pt>
                      <c:pt idx="2">
                        <c:v>15.494662405909002</c:v>
                      </c:pt>
                      <c:pt idx="3">
                        <c:v>19.234082096355859</c:v>
                      </c:pt>
                      <c:pt idx="4">
                        <c:v>27.617676407995852</c:v>
                      </c:pt>
                      <c:pt idx="5">
                        <c:v>42.969715202703448</c:v>
                      </c:pt>
                      <c:pt idx="6">
                        <c:v>52.107121290210124</c:v>
                      </c:pt>
                      <c:pt idx="7">
                        <c:v>57.45277936674686</c:v>
                      </c:pt>
                      <c:pt idx="8">
                        <c:v>51.1532064630901</c:v>
                      </c:pt>
                      <c:pt idx="9">
                        <c:v>40.441256743050879</c:v>
                      </c:pt>
                      <c:pt idx="10">
                        <c:v>27.135176798926089</c:v>
                      </c:pt>
                      <c:pt idx="11">
                        <c:v>16.240776545189515</c:v>
                      </c:pt>
                      <c:pt idx="12">
                        <c:v>9.6813083367186827</c:v>
                      </c:pt>
                      <c:pt idx="13">
                        <c:v>0.59828169965944655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67CA-452B-953D-B759A36581FC}"/>
                  </c:ext>
                </c:extLst>
              </c15:ser>
            </c15:filteredScatterSeries>
          </c:ext>
        </c:extLst>
      </c:scatterChart>
      <c:valAx>
        <c:axId val="1332696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Degrees</a:t>
                </a:r>
                <a:r>
                  <a:rPr lang="en-US" baseline="0"/>
                  <a:t> Inserted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645872"/>
        <c:crosses val="autoZero"/>
        <c:crossBetween val="midCat"/>
      </c:valAx>
      <c:valAx>
        <c:axId val="134264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pcm/deg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2696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Drum No.5 with A Shim</a:t>
            </a:r>
            <a:r>
              <a:rPr lang="en-US" baseline="0"/>
              <a:t> </a:t>
            </a:r>
            <a:r>
              <a:rPr lang="en-US"/>
              <a:t>Integral</a:t>
            </a:r>
            <a:r>
              <a:rPr lang="en-US" baseline="0"/>
              <a:t> Worth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Serpent Solution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'Differential &amp; Integral Worth'!$AE$7:$AE$18</c:f>
                <c:numCache>
                  <c:formatCode>General</c:formatCode>
                  <c:ptCount val="12"/>
                  <c:pt idx="0">
                    <c:v>5.1866346924367912</c:v>
                  </c:pt>
                  <c:pt idx="1">
                    <c:v>10.256281104640397</c:v>
                  </c:pt>
                  <c:pt idx="2">
                    <c:v>15.22435092700961</c:v>
                  </c:pt>
                  <c:pt idx="3">
                    <c:v>20.134769540047085</c:v>
                  </c:pt>
                  <c:pt idx="4">
                    <c:v>24.948086751779421</c:v>
                  </c:pt>
                  <c:pt idx="5">
                    <c:v>29.682874039761412</c:v>
                  </c:pt>
                  <c:pt idx="6">
                    <c:v>34.316982985449414</c:v>
                  </c:pt>
                  <c:pt idx="7">
                    <c:v>38.856450944600567</c:v>
                  </c:pt>
                  <c:pt idx="8">
                    <c:v>43.415225911651362</c:v>
                  </c:pt>
                  <c:pt idx="9">
                    <c:v>48.004782254067756</c:v>
                  </c:pt>
                  <c:pt idx="10">
                    <c:v>51.592497152290107</c:v>
                  </c:pt>
                  <c:pt idx="11">
                    <c:v>54.793559488616125</c:v>
                  </c:pt>
                </c:numCache>
              </c:numRef>
            </c:plus>
            <c:minus>
              <c:numRef>
                <c:f>'Differential &amp; Integral Worth'!$AE$7:$AE$18</c:f>
                <c:numCache>
                  <c:formatCode>General</c:formatCode>
                  <c:ptCount val="12"/>
                  <c:pt idx="0">
                    <c:v>5.1866346924367912</c:v>
                  </c:pt>
                  <c:pt idx="1">
                    <c:v>10.256281104640397</c:v>
                  </c:pt>
                  <c:pt idx="2">
                    <c:v>15.22435092700961</c:v>
                  </c:pt>
                  <c:pt idx="3">
                    <c:v>20.134769540047085</c:v>
                  </c:pt>
                  <c:pt idx="4">
                    <c:v>24.948086751779421</c:v>
                  </c:pt>
                  <c:pt idx="5">
                    <c:v>29.682874039761412</c:v>
                  </c:pt>
                  <c:pt idx="6">
                    <c:v>34.316982985449414</c:v>
                  </c:pt>
                  <c:pt idx="7">
                    <c:v>38.856450944600567</c:v>
                  </c:pt>
                  <c:pt idx="8">
                    <c:v>43.415225911651362</c:v>
                  </c:pt>
                  <c:pt idx="9">
                    <c:v>48.004782254067756</c:v>
                  </c:pt>
                  <c:pt idx="10">
                    <c:v>51.592497152290107</c:v>
                  </c:pt>
                  <c:pt idx="11">
                    <c:v>54.793559488616125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xVal>
            <c:numRef>
              <c:f>'Differential &amp; Integral Worth'!$T$5:$T$18</c:f>
              <c:numCache>
                <c:formatCode>General</c:formatCode>
                <c:ptCount val="14"/>
                <c:pt idx="0">
                  <c:v>-20</c:v>
                </c:pt>
                <c:pt idx="1">
                  <c:v>-10</c:v>
                </c:pt>
                <c:pt idx="2">
                  <c:v>0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100</c:v>
                </c:pt>
                <c:pt idx="13">
                  <c:v>105</c:v>
                </c:pt>
              </c:numCache>
            </c:numRef>
          </c:xVal>
          <c:yVal>
            <c:numRef>
              <c:f>'Differential &amp; Integral Worth'!$AD$5:$AD$18</c:f>
              <c:numCache>
                <c:formatCode>General</c:formatCode>
                <c:ptCount val="14"/>
                <c:pt idx="2">
                  <c:v>70.175068824835535</c:v>
                </c:pt>
                <c:pt idx="3">
                  <c:v>213.00921370234346</c:v>
                </c:pt>
                <c:pt idx="4">
                  <c:v>478.28085320330979</c:v>
                </c:pt>
                <c:pt idx="5">
                  <c:v>885.74296850039491</c:v>
                </c:pt>
                <c:pt idx="6">
                  <c:v>1415.3982451972065</c:v>
                </c:pt>
                <c:pt idx="7">
                  <c:v>1987.2845134990885</c:v>
                </c:pt>
                <c:pt idx="8">
                  <c:v>2506.6725899717408</c:v>
                </c:pt>
                <c:pt idx="9">
                  <c:v>2915.6607388483567</c:v>
                </c:pt>
                <c:pt idx="10">
                  <c:v>3196.2706676716734</c:v>
                </c:pt>
                <c:pt idx="11">
                  <c:v>3354.2024486854971</c:v>
                </c:pt>
                <c:pt idx="12">
                  <c:v>3381.7697165358059</c:v>
                </c:pt>
                <c:pt idx="13">
                  <c:v>3382.5745140058275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BA-4B67-925B-BBF872810B45}"/>
            </c:ext>
          </c:extLst>
        </c:ser>
        <c:ser>
          <c:idx val="2"/>
          <c:order val="2"/>
          <c:tx>
            <c:v>Experiment Measurement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percentage"/>
            <c:noEndCap val="0"/>
            <c:val val="1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'Differential &amp; Integral Worth'!$F$23:$F$42</c:f>
              <c:numCache>
                <c:formatCode>General</c:formatCode>
                <c:ptCount val="20"/>
                <c:pt idx="0">
                  <c:v>-21.285714285714199</c:v>
                </c:pt>
                <c:pt idx="1">
                  <c:v>0.28571428571428398</c:v>
                </c:pt>
                <c:pt idx="2">
                  <c:v>15</c:v>
                </c:pt>
                <c:pt idx="3">
                  <c:v>19.428571428571399</c:v>
                </c:pt>
                <c:pt idx="4">
                  <c:v>23.285714285714199</c:v>
                </c:pt>
                <c:pt idx="5">
                  <c:v>26.285714285714199</c:v>
                </c:pt>
                <c:pt idx="6">
                  <c:v>31.857142857142801</c:v>
                </c:pt>
                <c:pt idx="7">
                  <c:v>37.285714285714199</c:v>
                </c:pt>
                <c:pt idx="8">
                  <c:v>40.142857142857103</c:v>
                </c:pt>
                <c:pt idx="9">
                  <c:v>43.857142857142797</c:v>
                </c:pt>
                <c:pt idx="10">
                  <c:v>47.428571428571402</c:v>
                </c:pt>
                <c:pt idx="11">
                  <c:v>50.428571428571402</c:v>
                </c:pt>
                <c:pt idx="12">
                  <c:v>53.857142857142797</c:v>
                </c:pt>
                <c:pt idx="13">
                  <c:v>56.142857142857103</c:v>
                </c:pt>
                <c:pt idx="14">
                  <c:v>72.285714285714207</c:v>
                </c:pt>
                <c:pt idx="15">
                  <c:v>76.142857142857096</c:v>
                </c:pt>
                <c:pt idx="16">
                  <c:v>81.428571428571402</c:v>
                </c:pt>
                <c:pt idx="17">
                  <c:v>88.142857142857096</c:v>
                </c:pt>
                <c:pt idx="18">
                  <c:v>98.428571428571402</c:v>
                </c:pt>
                <c:pt idx="19">
                  <c:v>105</c:v>
                </c:pt>
              </c:numCache>
            </c:numRef>
          </c:xVal>
          <c:yVal>
            <c:numRef>
              <c:f>'Differential &amp; Integral Worth'!$I$23:$I$42</c:f>
              <c:numCache>
                <c:formatCode>General</c:formatCode>
                <c:ptCount val="20"/>
                <c:pt idx="0">
                  <c:v>-52.141732283464513</c:v>
                </c:pt>
                <c:pt idx="1">
                  <c:v>-19.40157480314954</c:v>
                </c:pt>
                <c:pt idx="2">
                  <c:v>62.448818897637793</c:v>
                </c:pt>
                <c:pt idx="3">
                  <c:v>138.84251968503918</c:v>
                </c:pt>
                <c:pt idx="4">
                  <c:v>204.32283464566896</c:v>
                </c:pt>
                <c:pt idx="5">
                  <c:v>275.2598425196843</c:v>
                </c:pt>
                <c:pt idx="6">
                  <c:v>406.22047244094472</c:v>
                </c:pt>
                <c:pt idx="7">
                  <c:v>602.66141732283415</c:v>
                </c:pt>
                <c:pt idx="8">
                  <c:v>722.70866141732256</c:v>
                </c:pt>
                <c:pt idx="9">
                  <c:v>870.03937007873265</c:v>
                </c:pt>
                <c:pt idx="10">
                  <c:v>995.54330708661303</c:v>
                </c:pt>
                <c:pt idx="11">
                  <c:v>1142.8740157480261</c:v>
                </c:pt>
                <c:pt idx="12">
                  <c:v>1312.0314960629878</c:v>
                </c:pt>
                <c:pt idx="13">
                  <c:v>1426.6220472440937</c:v>
                </c:pt>
                <c:pt idx="14">
                  <c:v>1977.7480314960599</c:v>
                </c:pt>
                <c:pt idx="15">
                  <c:v>2108.7086614173195</c:v>
                </c:pt>
                <c:pt idx="16">
                  <c:v>2250.5826771653533</c:v>
                </c:pt>
                <c:pt idx="17">
                  <c:v>2408.8267716535406</c:v>
                </c:pt>
                <c:pt idx="18">
                  <c:v>2528.8740157480261</c:v>
                </c:pt>
                <c:pt idx="19">
                  <c:v>2561.6141732283409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2E-4BA0-A738-717147A723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4443871"/>
        <c:axId val="1605617215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Room Modelled with Drive Rod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'Differential &amp; Integral Worth'!$T$44:$T$57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-20</c:v>
                      </c:pt>
                      <c:pt idx="1">
                        <c:v>-10</c:v>
                      </c:pt>
                      <c:pt idx="2">
                        <c:v>0</c:v>
                      </c:pt>
                      <c:pt idx="3">
                        <c:v>10</c:v>
                      </c:pt>
                      <c:pt idx="4">
                        <c:v>20</c:v>
                      </c:pt>
                      <c:pt idx="5">
                        <c:v>30</c:v>
                      </c:pt>
                      <c:pt idx="6">
                        <c:v>40</c:v>
                      </c:pt>
                      <c:pt idx="7">
                        <c:v>50</c:v>
                      </c:pt>
                      <c:pt idx="8">
                        <c:v>60</c:v>
                      </c:pt>
                      <c:pt idx="9">
                        <c:v>70</c:v>
                      </c:pt>
                      <c:pt idx="10">
                        <c:v>80</c:v>
                      </c:pt>
                      <c:pt idx="11">
                        <c:v>90</c:v>
                      </c:pt>
                      <c:pt idx="12">
                        <c:v>100</c:v>
                      </c:pt>
                      <c:pt idx="13">
                        <c:v>105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'Differential &amp; Integral Worth'!$Z$44:$Z$57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2">
                        <c:v>95.12801682160557</c:v>
                      </c:pt>
                      <c:pt idx="3">
                        <c:v>253.5813491343572</c:v>
                      </c:pt>
                      <c:pt idx="4">
                        <c:v>508.13463635385733</c:v>
                      </c:pt>
                      <c:pt idx="5">
                        <c:v>915.83173070475755</c:v>
                      </c:pt>
                      <c:pt idx="6">
                        <c:v>1434.4216170786967</c:v>
                      </c:pt>
                      <c:pt idx="7">
                        <c:v>2008.0882850182147</c:v>
                      </c:pt>
                      <c:pt idx="8">
                        <c:v>2511.7006879083565</c:v>
                      </c:pt>
                      <c:pt idx="9">
                        <c:v>2893.1413475686277</c:v>
                      </c:pt>
                      <c:pt idx="10">
                        <c:v>3171.3705246602049</c:v>
                      </c:pt>
                      <c:pt idx="11">
                        <c:v>3354.1505334619501</c:v>
                      </c:pt>
                      <c:pt idx="12">
                        <c:v>3418.2654177844902</c:v>
                      </c:pt>
                      <c:pt idx="13">
                        <c:v>3443.262313210259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C6BA-4B67-925B-BBF872810B45}"/>
                  </c:ext>
                </c:extLst>
              </c15:ser>
            </c15:filteredScatterSeries>
          </c:ext>
        </c:extLst>
      </c:scatterChart>
      <c:valAx>
        <c:axId val="1054443871"/>
        <c:scaling>
          <c:orientation val="minMax"/>
          <c:min val="-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Degrees Inserted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5617215"/>
        <c:crosses val="autoZero"/>
        <c:crossBetween val="midCat"/>
      </c:valAx>
      <c:valAx>
        <c:axId val="1605617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pcm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4443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Drum No.5 with A-B Shim</a:t>
            </a:r>
            <a:r>
              <a:rPr lang="en-US" baseline="0"/>
              <a:t> </a:t>
            </a:r>
            <a:r>
              <a:rPr lang="en-US"/>
              <a:t>Integral</a:t>
            </a:r>
            <a:r>
              <a:rPr lang="en-US" baseline="0"/>
              <a:t> Worth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Serpent Solution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'Differential &amp; Integral Worth'!$AE$27:$AE$38</c:f>
                <c:numCache>
                  <c:formatCode>General</c:formatCode>
                  <c:ptCount val="12"/>
                  <c:pt idx="0">
                    <c:v>5.0273289162865797</c:v>
                  </c:pt>
                  <c:pt idx="1">
                    <c:v>10.038408468611976</c:v>
                  </c:pt>
                  <c:pt idx="2">
                    <c:v>14.913976117615197</c:v>
                  </c:pt>
                  <c:pt idx="3">
                    <c:v>19.694135640406735</c:v>
                  </c:pt>
                  <c:pt idx="4">
                    <c:v>24.477320255294085</c:v>
                  </c:pt>
                  <c:pt idx="5">
                    <c:v>29.262045678150127</c:v>
                  </c:pt>
                  <c:pt idx="6">
                    <c:v>33.899914323664056</c:v>
                  </c:pt>
                  <c:pt idx="7">
                    <c:v>38.421329609798718</c:v>
                  </c:pt>
                  <c:pt idx="8">
                    <c:v>42.942323774857194</c:v>
                  </c:pt>
                  <c:pt idx="9">
                    <c:v>47.473133093663868</c:v>
                  </c:pt>
                  <c:pt idx="10">
                    <c:v>51.099500900938892</c:v>
                  </c:pt>
                  <c:pt idx="11">
                    <c:v>54.349424291828953</c:v>
                  </c:pt>
                </c:numCache>
              </c:numRef>
            </c:plus>
            <c:minus>
              <c:numRef>
                <c:f>'Differential &amp; Integral Worth'!$AE$27:$AE$38</c:f>
                <c:numCache>
                  <c:formatCode>General</c:formatCode>
                  <c:ptCount val="12"/>
                  <c:pt idx="0">
                    <c:v>5.0273289162865797</c:v>
                  </c:pt>
                  <c:pt idx="1">
                    <c:v>10.038408468611976</c:v>
                  </c:pt>
                  <c:pt idx="2">
                    <c:v>14.913976117615197</c:v>
                  </c:pt>
                  <c:pt idx="3">
                    <c:v>19.694135640406735</c:v>
                  </c:pt>
                  <c:pt idx="4">
                    <c:v>24.477320255294085</c:v>
                  </c:pt>
                  <c:pt idx="5">
                    <c:v>29.262045678150127</c:v>
                  </c:pt>
                  <c:pt idx="6">
                    <c:v>33.899914323664056</c:v>
                  </c:pt>
                  <c:pt idx="7">
                    <c:v>38.421329609798718</c:v>
                  </c:pt>
                  <c:pt idx="8">
                    <c:v>42.942323774857194</c:v>
                  </c:pt>
                  <c:pt idx="9">
                    <c:v>47.473133093663868</c:v>
                  </c:pt>
                  <c:pt idx="10">
                    <c:v>51.099500900938892</c:v>
                  </c:pt>
                  <c:pt idx="11">
                    <c:v>54.349424291828953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'Differential &amp; Integral Worth'!$T$25:$T$38</c:f>
              <c:numCache>
                <c:formatCode>General</c:formatCode>
                <c:ptCount val="14"/>
                <c:pt idx="0">
                  <c:v>-20</c:v>
                </c:pt>
                <c:pt idx="1">
                  <c:v>-10</c:v>
                </c:pt>
                <c:pt idx="2">
                  <c:v>0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100</c:v>
                </c:pt>
                <c:pt idx="13">
                  <c:v>105</c:v>
                </c:pt>
              </c:numCache>
            </c:numRef>
          </c:xVal>
          <c:yVal>
            <c:numRef>
              <c:f>'Differential &amp; Integral Worth'!$AD$25:$AD$38</c:f>
              <c:numCache>
                <c:formatCode>General</c:formatCode>
                <c:ptCount val="14"/>
                <c:pt idx="2">
                  <c:v>135.78304289114931</c:v>
                </c:pt>
                <c:pt idx="3">
                  <c:v>377.00793939260166</c:v>
                </c:pt>
                <c:pt idx="4">
                  <c:v>748.55170607339983</c:v>
                </c:pt>
                <c:pt idx="5">
                  <c:v>1243.192243424247</c:v>
                </c:pt>
                <c:pt idx="6">
                  <c:v>1805.7838783725492</c:v>
                </c:pt>
                <c:pt idx="7">
                  <c:v>2349.3410594711836</c:v>
                </c:pt>
                <c:pt idx="8">
                  <c:v>2805.3868797228561</c:v>
                </c:pt>
                <c:pt idx="9">
                  <c:v>3149.9569540668494</c:v>
                </c:pt>
                <c:pt idx="10">
                  <c:v>3383.8714317149593</c:v>
                </c:pt>
                <c:pt idx="11">
                  <c:v>3506.2935573460204</c:v>
                </c:pt>
                <c:pt idx="12">
                  <c:v>3525.8347342933239</c:v>
                </c:pt>
                <c:pt idx="13">
                  <c:v>3528.3320115209472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BC53-46DC-9E9F-384560DB142F}"/>
            </c:ext>
          </c:extLst>
        </c:ser>
        <c:ser>
          <c:idx val="2"/>
          <c:order val="1"/>
          <c:tx>
            <c:v>Experiment Measurement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percentage"/>
            <c:noEndCap val="0"/>
            <c:val val="1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'Differential &amp; Integral Worth'!$O$23:$O$39</c:f>
              <c:numCache>
                <c:formatCode>General</c:formatCode>
                <c:ptCount val="17"/>
                <c:pt idx="0">
                  <c:v>7.0967741935483799</c:v>
                </c:pt>
                <c:pt idx="1">
                  <c:v>13.356211393273799</c:v>
                </c:pt>
                <c:pt idx="2">
                  <c:v>21.921757035003399</c:v>
                </c:pt>
                <c:pt idx="3">
                  <c:v>23.1571722717913</c:v>
                </c:pt>
                <c:pt idx="4">
                  <c:v>26.6163349347975</c:v>
                </c:pt>
                <c:pt idx="5">
                  <c:v>30.404941660947099</c:v>
                </c:pt>
                <c:pt idx="6">
                  <c:v>41.606039807824203</c:v>
                </c:pt>
                <c:pt idx="7">
                  <c:v>43.5003431708991</c:v>
                </c:pt>
                <c:pt idx="8">
                  <c:v>47.371310912834502</c:v>
                </c:pt>
                <c:pt idx="9">
                  <c:v>55.525051475634797</c:v>
                </c:pt>
                <c:pt idx="10">
                  <c:v>65.573095401509903</c:v>
                </c:pt>
                <c:pt idx="11">
                  <c:v>67.467398764584701</c:v>
                </c:pt>
                <c:pt idx="12">
                  <c:v>69.855868222374696</c:v>
                </c:pt>
                <c:pt idx="13">
                  <c:v>74.056280027453596</c:v>
                </c:pt>
                <c:pt idx="14">
                  <c:v>79.245024021962905</c:v>
                </c:pt>
                <c:pt idx="15">
                  <c:v>84.680851063829707</c:v>
                </c:pt>
                <c:pt idx="16">
                  <c:v>96.540837336993803</c:v>
                </c:pt>
              </c:numCache>
            </c:numRef>
          </c:xVal>
          <c:yVal>
            <c:numRef>
              <c:f>'Differential &amp; Integral Worth'!$R$23:$R$39</c:f>
              <c:numCache>
                <c:formatCode>General</c:formatCode>
                <c:ptCount val="17"/>
                <c:pt idx="0">
                  <c:v>306.17631578947339</c:v>
                </c:pt>
                <c:pt idx="1">
                  <c:v>371.82894736842087</c:v>
                </c:pt>
                <c:pt idx="2">
                  <c:v>529.39526315789419</c:v>
                </c:pt>
                <c:pt idx="3">
                  <c:v>552.37368421052588</c:v>
                </c:pt>
                <c:pt idx="4">
                  <c:v>657.41789473684173</c:v>
                </c:pt>
                <c:pt idx="5">
                  <c:v>782.15789473684174</c:v>
                </c:pt>
                <c:pt idx="6">
                  <c:v>1231.8784210526255</c:v>
                </c:pt>
                <c:pt idx="7">
                  <c:v>1330.3573684210501</c:v>
                </c:pt>
                <c:pt idx="8">
                  <c:v>1524.0326315789421</c:v>
                </c:pt>
                <c:pt idx="9">
                  <c:v>1875.2742105263089</c:v>
                </c:pt>
                <c:pt idx="10">
                  <c:v>2311.8642105263093</c:v>
                </c:pt>
                <c:pt idx="11">
                  <c:v>2380.7994736842088</c:v>
                </c:pt>
                <c:pt idx="12">
                  <c:v>2462.8652631578921</c:v>
                </c:pt>
                <c:pt idx="13">
                  <c:v>2567.9094736842085</c:v>
                </c:pt>
                <c:pt idx="14">
                  <c:v>2672.9536842105254</c:v>
                </c:pt>
                <c:pt idx="15">
                  <c:v>2748.454210526309</c:v>
                </c:pt>
                <c:pt idx="16">
                  <c:v>2856.7810526315752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53-46DC-9E9F-384560DB14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4443871"/>
        <c:axId val="1605617215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2"/>
                <c:tx>
                  <c:v>Room Modelled w/ Drum Rod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'Differential &amp; Integral Worth'!$AB$44:$AB$57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-20</c:v>
                      </c:pt>
                      <c:pt idx="1">
                        <c:v>-10</c:v>
                      </c:pt>
                      <c:pt idx="2">
                        <c:v>0</c:v>
                      </c:pt>
                      <c:pt idx="3">
                        <c:v>10</c:v>
                      </c:pt>
                      <c:pt idx="4">
                        <c:v>20</c:v>
                      </c:pt>
                      <c:pt idx="5">
                        <c:v>30</c:v>
                      </c:pt>
                      <c:pt idx="6">
                        <c:v>40</c:v>
                      </c:pt>
                      <c:pt idx="7">
                        <c:v>50</c:v>
                      </c:pt>
                      <c:pt idx="8">
                        <c:v>60</c:v>
                      </c:pt>
                      <c:pt idx="9">
                        <c:v>70</c:v>
                      </c:pt>
                      <c:pt idx="10">
                        <c:v>80</c:v>
                      </c:pt>
                      <c:pt idx="11">
                        <c:v>90</c:v>
                      </c:pt>
                      <c:pt idx="12">
                        <c:v>100</c:v>
                      </c:pt>
                      <c:pt idx="13">
                        <c:v>105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'Differential &amp; Integral Worth'!$AH$44:$AH$57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2">
                        <c:v>173.64372251132431</c:v>
                      </c:pt>
                      <c:pt idx="3">
                        <c:v>407.90251503308286</c:v>
                      </c:pt>
                      <c:pt idx="4">
                        <c:v>760.83947308657935</c:v>
                      </c:pt>
                      <c:pt idx="5">
                        <c:v>1236.2236555511472</c:v>
                      </c:pt>
                      <c:pt idx="6">
                        <c:v>1784.023158835932</c:v>
                      </c:pt>
                      <c:pt idx="7">
                        <c:v>2327.0530879851167</c:v>
                      </c:pt>
                      <c:pt idx="8">
                        <c:v>2785.0254040158216</c:v>
                      </c:pt>
                      <c:pt idx="9">
                        <c:v>3122.9075717257065</c:v>
                      </c:pt>
                      <c:pt idx="10">
                        <c:v>3339.7873384462846</c:v>
                      </c:pt>
                      <c:pt idx="11">
                        <c:v>3469.3977628558255</c:v>
                      </c:pt>
                      <c:pt idx="12">
                        <c:v>3495.0967379467706</c:v>
                      </c:pt>
                      <c:pt idx="13">
                        <c:v>3496.5924421959194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CA72-4BAA-AC57-498F242A1FCC}"/>
                  </c:ext>
                </c:extLst>
              </c15:ser>
            </c15:filteredScatterSeries>
          </c:ext>
        </c:extLst>
      </c:scatterChart>
      <c:valAx>
        <c:axId val="1054443871"/>
        <c:scaling>
          <c:orientation val="minMax"/>
          <c:min val="-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Degrees Inserted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5617215"/>
        <c:crosses val="autoZero"/>
        <c:crossBetween val="midCat"/>
      </c:valAx>
      <c:valAx>
        <c:axId val="1605617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pcm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4443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19050" cap="rnd">
              <a:solidFill>
                <a:schemeClr val="accent1">
                  <a:shade val="7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76000"/>
                </a:schemeClr>
              </a:solidFill>
              <a:ln w="9525">
                <a:solidFill>
                  <a:schemeClr val="accent1">
                    <a:shade val="76000"/>
                  </a:schemeClr>
                </a:solidFill>
              </a:ln>
              <a:effectLst/>
            </c:spPr>
          </c:marker>
          <c:xVal>
            <c:strRef>
              <c:f>'Critical Configuration'!$B$1:$E$1</c:f>
              <c:strCache>
                <c:ptCount val="4"/>
                <c:pt idx="0">
                  <c:v>C-1</c:v>
                </c:pt>
                <c:pt idx="1">
                  <c:v>C-2</c:v>
                </c:pt>
                <c:pt idx="2">
                  <c:v>C-3</c:v>
                </c:pt>
                <c:pt idx="3">
                  <c:v>C-4</c:v>
                </c:pt>
              </c:strCache>
            </c:strRef>
          </c:xVal>
          <c:yVal>
            <c:numRef>
              <c:f>'Critical Configuration'!$B$9:$E$9</c:f>
              <c:numCache>
                <c:formatCode>General</c:formatCode>
                <c:ptCount val="4"/>
                <c:pt idx="0">
                  <c:v>1.0007474582765867</c:v>
                </c:pt>
                <c:pt idx="1">
                  <c:v>1.0011100308021534</c:v>
                </c:pt>
                <c:pt idx="2">
                  <c:v>0.99784863833574811</c:v>
                </c:pt>
                <c:pt idx="3">
                  <c:v>1.0007166131666887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85-4706-8304-64F4911A02DF}"/>
            </c:ext>
          </c:extLst>
        </c:ser>
        <c:ser>
          <c:idx val="1"/>
          <c:order val="1"/>
          <c:tx>
            <c:v>Modelled</c:v>
          </c:tx>
          <c:spPr>
            <a:ln w="19050" cap="rnd">
              <a:solidFill>
                <a:schemeClr val="accent1">
                  <a:tint val="7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77000"/>
                </a:schemeClr>
              </a:solidFill>
              <a:ln w="9525">
                <a:solidFill>
                  <a:schemeClr val="accent1">
                    <a:tint val="77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'Critical Configuration'!$B$11:$F$11</c:f>
                <c:numCache>
                  <c:formatCode>General</c:formatCode>
                  <c:ptCount val="5"/>
                  <c:pt idx="0">
                    <c:v>1.5900000000000002E-4</c:v>
                  </c:pt>
                  <c:pt idx="1">
                    <c:v>1.56E-4</c:v>
                  </c:pt>
                  <c:pt idx="2">
                    <c:v>1.56E-4</c:v>
                  </c:pt>
                  <c:pt idx="3">
                    <c:v>1.5900000000000002E-4</c:v>
                  </c:pt>
                  <c:pt idx="4">
                    <c:v>1.5900000000000002E-4</c:v>
                  </c:pt>
                </c:numCache>
              </c:numRef>
            </c:plus>
            <c:minus>
              <c:numRef>
                <c:f>'Critical Configuration'!$B$11:$F$11</c:f>
                <c:numCache>
                  <c:formatCode>General</c:formatCode>
                  <c:ptCount val="5"/>
                  <c:pt idx="0">
                    <c:v>1.5900000000000002E-4</c:v>
                  </c:pt>
                  <c:pt idx="1">
                    <c:v>1.56E-4</c:v>
                  </c:pt>
                  <c:pt idx="2">
                    <c:v>1.56E-4</c:v>
                  </c:pt>
                  <c:pt idx="3">
                    <c:v>1.5900000000000002E-4</c:v>
                  </c:pt>
                  <c:pt idx="4">
                    <c:v>1.5900000000000002E-4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strRef>
              <c:f>'Critical Configuration'!$B$1:$E$1</c:f>
              <c:strCache>
                <c:ptCount val="4"/>
                <c:pt idx="0">
                  <c:v>C-1</c:v>
                </c:pt>
                <c:pt idx="1">
                  <c:v>C-2</c:v>
                </c:pt>
                <c:pt idx="2">
                  <c:v>C-3</c:v>
                </c:pt>
                <c:pt idx="3">
                  <c:v>C-4</c:v>
                </c:pt>
              </c:strCache>
            </c:strRef>
          </c:xVal>
          <c:yVal>
            <c:numRef>
              <c:f>'Critical Configuration'!$B$10:$E$10</c:f>
              <c:numCache>
                <c:formatCode>General</c:formatCode>
                <c:ptCount val="4"/>
                <c:pt idx="0">
                  <c:v>1.0005500000000001</c:v>
                </c:pt>
                <c:pt idx="1">
                  <c:v>1.0015099999999999</c:v>
                </c:pt>
                <c:pt idx="2">
                  <c:v>0.99760300000000002</c:v>
                </c:pt>
                <c:pt idx="3">
                  <c:v>0.99789499999999998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85-4706-8304-64F4911A02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0054095"/>
        <c:axId val="2130056015"/>
      </c:scatterChart>
      <c:valAx>
        <c:axId val="2130054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Configuration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0056015"/>
        <c:crosses val="autoZero"/>
        <c:crossBetween val="midCat"/>
      </c:valAx>
      <c:valAx>
        <c:axId val="2130056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Effective Multiplication</a:t>
                </a:r>
                <a:r>
                  <a:rPr lang="en-US" baseline="0"/>
                  <a:t> Factor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00540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Serpent Solution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'Power Distribution'!$B$5:$CW$5</c:f>
                <c:numCache>
                  <c:formatCode>General</c:formatCode>
                  <c:ptCount val="100"/>
                  <c:pt idx="0">
                    <c:v>2.7389999999999998E-2</c:v>
                  </c:pt>
                  <c:pt idx="1">
                    <c:v>2.4419999999999997E-2</c:v>
                  </c:pt>
                  <c:pt idx="2">
                    <c:v>2.2890000000000001E-2</c:v>
                  </c:pt>
                  <c:pt idx="3">
                    <c:v>2.154E-2</c:v>
                  </c:pt>
                  <c:pt idx="4">
                    <c:v>1.9859999999999999E-2</c:v>
                  </c:pt>
                  <c:pt idx="5">
                    <c:v>1.8450000000000001E-2</c:v>
                  </c:pt>
                  <c:pt idx="6">
                    <c:v>1.6500000000000001E-2</c:v>
                  </c:pt>
                  <c:pt idx="7">
                    <c:v>1.686E-2</c:v>
                  </c:pt>
                  <c:pt idx="8">
                    <c:v>1.4459999999999999E-2</c:v>
                  </c:pt>
                  <c:pt idx="9">
                    <c:v>1.515E-2</c:v>
                  </c:pt>
                  <c:pt idx="10">
                    <c:v>1.4759999999999999E-2</c:v>
                  </c:pt>
                  <c:pt idx="11">
                    <c:v>1.422E-2</c:v>
                  </c:pt>
                  <c:pt idx="12">
                    <c:v>1.4790000000000001E-2</c:v>
                  </c:pt>
                  <c:pt idx="13">
                    <c:v>1.3559999999999999E-2</c:v>
                  </c:pt>
                  <c:pt idx="14">
                    <c:v>1.2870000000000001E-2</c:v>
                  </c:pt>
                  <c:pt idx="15">
                    <c:v>1.2240000000000001E-2</c:v>
                  </c:pt>
                  <c:pt idx="16">
                    <c:v>1.311E-2</c:v>
                  </c:pt>
                  <c:pt idx="17">
                    <c:v>1.2959999999999999E-2</c:v>
                  </c:pt>
                  <c:pt idx="18">
                    <c:v>1.0290000000000001E-2</c:v>
                  </c:pt>
                  <c:pt idx="19">
                    <c:v>1.0620000000000001E-2</c:v>
                  </c:pt>
                  <c:pt idx="20">
                    <c:v>1.1339999999999999E-2</c:v>
                  </c:pt>
                  <c:pt idx="21">
                    <c:v>1.4459999999999999E-2</c:v>
                  </c:pt>
                  <c:pt idx="22">
                    <c:v>1.0620000000000001E-2</c:v>
                  </c:pt>
                  <c:pt idx="23">
                    <c:v>1.2419999999999999E-2</c:v>
                  </c:pt>
                  <c:pt idx="24">
                    <c:v>1.116E-2</c:v>
                  </c:pt>
                  <c:pt idx="25">
                    <c:v>9.8099999999999993E-3</c:v>
                  </c:pt>
                  <c:pt idx="26">
                    <c:v>1.1520000000000001E-2</c:v>
                  </c:pt>
                  <c:pt idx="27">
                    <c:v>1.1939999999999999E-2</c:v>
                  </c:pt>
                  <c:pt idx="28">
                    <c:v>1.1040000000000001E-2</c:v>
                  </c:pt>
                  <c:pt idx="29">
                    <c:v>1.1010000000000001E-2</c:v>
                  </c:pt>
                  <c:pt idx="30">
                    <c:v>1.269E-2</c:v>
                  </c:pt>
                  <c:pt idx="31">
                    <c:v>1.044E-2</c:v>
                  </c:pt>
                  <c:pt idx="32">
                    <c:v>1.1310000000000001E-2</c:v>
                  </c:pt>
                  <c:pt idx="33">
                    <c:v>1.2120000000000001E-2</c:v>
                  </c:pt>
                  <c:pt idx="34">
                    <c:v>1.116E-2</c:v>
                  </c:pt>
                  <c:pt idx="35">
                    <c:v>9.8999999999999991E-3</c:v>
                  </c:pt>
                  <c:pt idx="36">
                    <c:v>9.8399999999999998E-3</c:v>
                  </c:pt>
                  <c:pt idx="37">
                    <c:v>9.8700000000000003E-3</c:v>
                  </c:pt>
                  <c:pt idx="38">
                    <c:v>1.0020000000000001E-2</c:v>
                  </c:pt>
                  <c:pt idx="39">
                    <c:v>9.9299999999999996E-3</c:v>
                  </c:pt>
                  <c:pt idx="40">
                    <c:v>9.1500000000000001E-3</c:v>
                  </c:pt>
                  <c:pt idx="41">
                    <c:v>1.086E-2</c:v>
                  </c:pt>
                  <c:pt idx="42">
                    <c:v>1.059E-2</c:v>
                  </c:pt>
                  <c:pt idx="43">
                    <c:v>9.389999999999999E-3</c:v>
                  </c:pt>
                  <c:pt idx="44">
                    <c:v>9.6600000000000002E-3</c:v>
                  </c:pt>
                  <c:pt idx="45">
                    <c:v>9.6299999999999997E-3</c:v>
                  </c:pt>
                  <c:pt idx="46">
                    <c:v>9.75E-3</c:v>
                  </c:pt>
                  <c:pt idx="47">
                    <c:v>8.6999999999999994E-3</c:v>
                  </c:pt>
                  <c:pt idx="48">
                    <c:v>1.008E-2</c:v>
                  </c:pt>
                  <c:pt idx="49">
                    <c:v>8.7600000000000004E-3</c:v>
                  </c:pt>
                  <c:pt idx="50">
                    <c:v>9.1799999999999989E-3</c:v>
                  </c:pt>
                  <c:pt idx="51">
                    <c:v>1.098E-2</c:v>
                  </c:pt>
                  <c:pt idx="52">
                    <c:v>1.107E-2</c:v>
                  </c:pt>
                  <c:pt idx="53">
                    <c:v>9.5399999999999999E-3</c:v>
                  </c:pt>
                  <c:pt idx="54">
                    <c:v>9.75E-3</c:v>
                  </c:pt>
                  <c:pt idx="55">
                    <c:v>8.2799999999999992E-3</c:v>
                  </c:pt>
                  <c:pt idx="56">
                    <c:v>1.008E-2</c:v>
                  </c:pt>
                  <c:pt idx="57">
                    <c:v>9.7199999999999995E-3</c:v>
                  </c:pt>
                  <c:pt idx="58">
                    <c:v>8.8500000000000002E-3</c:v>
                  </c:pt>
                  <c:pt idx="59">
                    <c:v>9.8399999999999998E-3</c:v>
                  </c:pt>
                  <c:pt idx="60">
                    <c:v>8.0099999999999998E-3</c:v>
                  </c:pt>
                  <c:pt idx="61">
                    <c:v>8.6999999999999994E-3</c:v>
                  </c:pt>
                  <c:pt idx="62">
                    <c:v>8.7299999999999999E-3</c:v>
                  </c:pt>
                  <c:pt idx="63">
                    <c:v>1.14E-2</c:v>
                  </c:pt>
                  <c:pt idx="64">
                    <c:v>1.035E-2</c:v>
                  </c:pt>
                  <c:pt idx="65">
                    <c:v>9.2700000000000005E-3</c:v>
                  </c:pt>
                  <c:pt idx="66">
                    <c:v>8.5500000000000003E-3</c:v>
                  </c:pt>
                  <c:pt idx="67">
                    <c:v>1.008E-2</c:v>
                  </c:pt>
                  <c:pt idx="68">
                    <c:v>9.5399999999999999E-3</c:v>
                  </c:pt>
                  <c:pt idx="69">
                    <c:v>1.038E-2</c:v>
                  </c:pt>
                  <c:pt idx="70">
                    <c:v>1.0919999999999999E-2</c:v>
                  </c:pt>
                  <c:pt idx="71">
                    <c:v>1.1640000000000001E-2</c:v>
                  </c:pt>
                  <c:pt idx="72">
                    <c:v>9.8099999999999993E-3</c:v>
                  </c:pt>
                  <c:pt idx="73">
                    <c:v>9.8700000000000003E-3</c:v>
                  </c:pt>
                  <c:pt idx="74">
                    <c:v>1.2479999999999998E-2</c:v>
                  </c:pt>
                  <c:pt idx="75">
                    <c:v>9.0600000000000003E-3</c:v>
                  </c:pt>
                  <c:pt idx="76">
                    <c:v>1.107E-2</c:v>
                  </c:pt>
                  <c:pt idx="77">
                    <c:v>9.5399999999999999E-3</c:v>
                  </c:pt>
                  <c:pt idx="78">
                    <c:v>1.038E-2</c:v>
                  </c:pt>
                  <c:pt idx="79">
                    <c:v>1.2330000000000001E-2</c:v>
                  </c:pt>
                  <c:pt idx="80">
                    <c:v>1.341E-2</c:v>
                  </c:pt>
                  <c:pt idx="81">
                    <c:v>1.302E-2</c:v>
                  </c:pt>
                  <c:pt idx="82">
                    <c:v>1.0919999999999999E-2</c:v>
                  </c:pt>
                  <c:pt idx="83">
                    <c:v>1.389E-2</c:v>
                  </c:pt>
                  <c:pt idx="84">
                    <c:v>9.9900000000000006E-3</c:v>
                  </c:pt>
                  <c:pt idx="85">
                    <c:v>1.2149999999999999E-2</c:v>
                  </c:pt>
                  <c:pt idx="86">
                    <c:v>1.14E-2</c:v>
                  </c:pt>
                  <c:pt idx="87">
                    <c:v>1.2240000000000001E-2</c:v>
                  </c:pt>
                  <c:pt idx="88">
                    <c:v>1.2539999999999999E-2</c:v>
                  </c:pt>
                  <c:pt idx="89">
                    <c:v>1.3650000000000001E-2</c:v>
                  </c:pt>
                  <c:pt idx="90">
                    <c:v>1.6140000000000002E-2</c:v>
                  </c:pt>
                  <c:pt idx="91">
                    <c:v>1.482E-2</c:v>
                  </c:pt>
                  <c:pt idx="92">
                    <c:v>1.737E-2</c:v>
                  </c:pt>
                  <c:pt idx="93">
                    <c:v>1.4999999999999999E-2</c:v>
                  </c:pt>
                  <c:pt idx="94">
                    <c:v>1.371E-2</c:v>
                  </c:pt>
                  <c:pt idx="95">
                    <c:v>2.1149999999999999E-2</c:v>
                  </c:pt>
                  <c:pt idx="96">
                    <c:v>1.9980000000000001E-2</c:v>
                  </c:pt>
                  <c:pt idx="97">
                    <c:v>2.0129999999999999E-2</c:v>
                  </c:pt>
                  <c:pt idx="98">
                    <c:v>2.649E-2</c:v>
                  </c:pt>
                  <c:pt idx="99">
                    <c:v>2.8409999999999998E-2</c:v>
                  </c:pt>
                </c:numCache>
              </c:numRef>
            </c:plus>
            <c:minus>
              <c:numRef>
                <c:f>'Power Distribution'!$B$5:$CW$5</c:f>
                <c:numCache>
                  <c:formatCode>General</c:formatCode>
                  <c:ptCount val="100"/>
                  <c:pt idx="0">
                    <c:v>2.7389999999999998E-2</c:v>
                  </c:pt>
                  <c:pt idx="1">
                    <c:v>2.4419999999999997E-2</c:v>
                  </c:pt>
                  <c:pt idx="2">
                    <c:v>2.2890000000000001E-2</c:v>
                  </c:pt>
                  <c:pt idx="3">
                    <c:v>2.154E-2</c:v>
                  </c:pt>
                  <c:pt idx="4">
                    <c:v>1.9859999999999999E-2</c:v>
                  </c:pt>
                  <c:pt idx="5">
                    <c:v>1.8450000000000001E-2</c:v>
                  </c:pt>
                  <c:pt idx="6">
                    <c:v>1.6500000000000001E-2</c:v>
                  </c:pt>
                  <c:pt idx="7">
                    <c:v>1.686E-2</c:v>
                  </c:pt>
                  <c:pt idx="8">
                    <c:v>1.4459999999999999E-2</c:v>
                  </c:pt>
                  <c:pt idx="9">
                    <c:v>1.515E-2</c:v>
                  </c:pt>
                  <c:pt idx="10">
                    <c:v>1.4759999999999999E-2</c:v>
                  </c:pt>
                  <c:pt idx="11">
                    <c:v>1.422E-2</c:v>
                  </c:pt>
                  <c:pt idx="12">
                    <c:v>1.4790000000000001E-2</c:v>
                  </c:pt>
                  <c:pt idx="13">
                    <c:v>1.3559999999999999E-2</c:v>
                  </c:pt>
                  <c:pt idx="14">
                    <c:v>1.2870000000000001E-2</c:v>
                  </c:pt>
                  <c:pt idx="15">
                    <c:v>1.2240000000000001E-2</c:v>
                  </c:pt>
                  <c:pt idx="16">
                    <c:v>1.311E-2</c:v>
                  </c:pt>
                  <c:pt idx="17">
                    <c:v>1.2959999999999999E-2</c:v>
                  </c:pt>
                  <c:pt idx="18">
                    <c:v>1.0290000000000001E-2</c:v>
                  </c:pt>
                  <c:pt idx="19">
                    <c:v>1.0620000000000001E-2</c:v>
                  </c:pt>
                  <c:pt idx="20">
                    <c:v>1.1339999999999999E-2</c:v>
                  </c:pt>
                  <c:pt idx="21">
                    <c:v>1.4459999999999999E-2</c:v>
                  </c:pt>
                  <c:pt idx="22">
                    <c:v>1.0620000000000001E-2</c:v>
                  </c:pt>
                  <c:pt idx="23">
                    <c:v>1.2419999999999999E-2</c:v>
                  </c:pt>
                  <c:pt idx="24">
                    <c:v>1.116E-2</c:v>
                  </c:pt>
                  <c:pt idx="25">
                    <c:v>9.8099999999999993E-3</c:v>
                  </c:pt>
                  <c:pt idx="26">
                    <c:v>1.1520000000000001E-2</c:v>
                  </c:pt>
                  <c:pt idx="27">
                    <c:v>1.1939999999999999E-2</c:v>
                  </c:pt>
                  <c:pt idx="28">
                    <c:v>1.1040000000000001E-2</c:v>
                  </c:pt>
                  <c:pt idx="29">
                    <c:v>1.1010000000000001E-2</c:v>
                  </c:pt>
                  <c:pt idx="30">
                    <c:v>1.269E-2</c:v>
                  </c:pt>
                  <c:pt idx="31">
                    <c:v>1.044E-2</c:v>
                  </c:pt>
                  <c:pt idx="32">
                    <c:v>1.1310000000000001E-2</c:v>
                  </c:pt>
                  <c:pt idx="33">
                    <c:v>1.2120000000000001E-2</c:v>
                  </c:pt>
                  <c:pt idx="34">
                    <c:v>1.116E-2</c:v>
                  </c:pt>
                  <c:pt idx="35">
                    <c:v>9.8999999999999991E-3</c:v>
                  </c:pt>
                  <c:pt idx="36">
                    <c:v>9.8399999999999998E-3</c:v>
                  </c:pt>
                  <c:pt idx="37">
                    <c:v>9.8700000000000003E-3</c:v>
                  </c:pt>
                  <c:pt idx="38">
                    <c:v>1.0020000000000001E-2</c:v>
                  </c:pt>
                  <c:pt idx="39">
                    <c:v>9.9299999999999996E-3</c:v>
                  </c:pt>
                  <c:pt idx="40">
                    <c:v>9.1500000000000001E-3</c:v>
                  </c:pt>
                  <c:pt idx="41">
                    <c:v>1.086E-2</c:v>
                  </c:pt>
                  <c:pt idx="42">
                    <c:v>1.059E-2</c:v>
                  </c:pt>
                  <c:pt idx="43">
                    <c:v>9.389999999999999E-3</c:v>
                  </c:pt>
                  <c:pt idx="44">
                    <c:v>9.6600000000000002E-3</c:v>
                  </c:pt>
                  <c:pt idx="45">
                    <c:v>9.6299999999999997E-3</c:v>
                  </c:pt>
                  <c:pt idx="46">
                    <c:v>9.75E-3</c:v>
                  </c:pt>
                  <c:pt idx="47">
                    <c:v>8.6999999999999994E-3</c:v>
                  </c:pt>
                  <c:pt idx="48">
                    <c:v>1.008E-2</c:v>
                  </c:pt>
                  <c:pt idx="49">
                    <c:v>8.7600000000000004E-3</c:v>
                  </c:pt>
                  <c:pt idx="50">
                    <c:v>9.1799999999999989E-3</c:v>
                  </c:pt>
                  <c:pt idx="51">
                    <c:v>1.098E-2</c:v>
                  </c:pt>
                  <c:pt idx="52">
                    <c:v>1.107E-2</c:v>
                  </c:pt>
                  <c:pt idx="53">
                    <c:v>9.5399999999999999E-3</c:v>
                  </c:pt>
                  <c:pt idx="54">
                    <c:v>9.75E-3</c:v>
                  </c:pt>
                  <c:pt idx="55">
                    <c:v>8.2799999999999992E-3</c:v>
                  </c:pt>
                  <c:pt idx="56">
                    <c:v>1.008E-2</c:v>
                  </c:pt>
                  <c:pt idx="57">
                    <c:v>9.7199999999999995E-3</c:v>
                  </c:pt>
                  <c:pt idx="58">
                    <c:v>8.8500000000000002E-3</c:v>
                  </c:pt>
                  <c:pt idx="59">
                    <c:v>9.8399999999999998E-3</c:v>
                  </c:pt>
                  <c:pt idx="60">
                    <c:v>8.0099999999999998E-3</c:v>
                  </c:pt>
                  <c:pt idx="61">
                    <c:v>8.6999999999999994E-3</c:v>
                  </c:pt>
                  <c:pt idx="62">
                    <c:v>8.7299999999999999E-3</c:v>
                  </c:pt>
                  <c:pt idx="63">
                    <c:v>1.14E-2</c:v>
                  </c:pt>
                  <c:pt idx="64">
                    <c:v>1.035E-2</c:v>
                  </c:pt>
                  <c:pt idx="65">
                    <c:v>9.2700000000000005E-3</c:v>
                  </c:pt>
                  <c:pt idx="66">
                    <c:v>8.5500000000000003E-3</c:v>
                  </c:pt>
                  <c:pt idx="67">
                    <c:v>1.008E-2</c:v>
                  </c:pt>
                  <c:pt idx="68">
                    <c:v>9.5399999999999999E-3</c:v>
                  </c:pt>
                  <c:pt idx="69">
                    <c:v>1.038E-2</c:v>
                  </c:pt>
                  <c:pt idx="70">
                    <c:v>1.0919999999999999E-2</c:v>
                  </c:pt>
                  <c:pt idx="71">
                    <c:v>1.1640000000000001E-2</c:v>
                  </c:pt>
                  <c:pt idx="72">
                    <c:v>9.8099999999999993E-3</c:v>
                  </c:pt>
                  <c:pt idx="73">
                    <c:v>9.8700000000000003E-3</c:v>
                  </c:pt>
                  <c:pt idx="74">
                    <c:v>1.2479999999999998E-2</c:v>
                  </c:pt>
                  <c:pt idx="75">
                    <c:v>9.0600000000000003E-3</c:v>
                  </c:pt>
                  <c:pt idx="76">
                    <c:v>1.107E-2</c:v>
                  </c:pt>
                  <c:pt idx="77">
                    <c:v>9.5399999999999999E-3</c:v>
                  </c:pt>
                  <c:pt idx="78">
                    <c:v>1.038E-2</c:v>
                  </c:pt>
                  <c:pt idx="79">
                    <c:v>1.2330000000000001E-2</c:v>
                  </c:pt>
                  <c:pt idx="80">
                    <c:v>1.341E-2</c:v>
                  </c:pt>
                  <c:pt idx="81">
                    <c:v>1.302E-2</c:v>
                  </c:pt>
                  <c:pt idx="82">
                    <c:v>1.0919999999999999E-2</c:v>
                  </c:pt>
                  <c:pt idx="83">
                    <c:v>1.389E-2</c:v>
                  </c:pt>
                  <c:pt idx="84">
                    <c:v>9.9900000000000006E-3</c:v>
                  </c:pt>
                  <c:pt idx="85">
                    <c:v>1.2149999999999999E-2</c:v>
                  </c:pt>
                  <c:pt idx="86">
                    <c:v>1.14E-2</c:v>
                  </c:pt>
                  <c:pt idx="87">
                    <c:v>1.2240000000000001E-2</c:v>
                  </c:pt>
                  <c:pt idx="88">
                    <c:v>1.2539999999999999E-2</c:v>
                  </c:pt>
                  <c:pt idx="89">
                    <c:v>1.3650000000000001E-2</c:v>
                  </c:pt>
                  <c:pt idx="90">
                    <c:v>1.6140000000000002E-2</c:v>
                  </c:pt>
                  <c:pt idx="91">
                    <c:v>1.482E-2</c:v>
                  </c:pt>
                  <c:pt idx="92">
                    <c:v>1.737E-2</c:v>
                  </c:pt>
                  <c:pt idx="93">
                    <c:v>1.4999999999999999E-2</c:v>
                  </c:pt>
                  <c:pt idx="94">
                    <c:v>1.371E-2</c:v>
                  </c:pt>
                  <c:pt idx="95">
                    <c:v>2.1149999999999999E-2</c:v>
                  </c:pt>
                  <c:pt idx="96">
                    <c:v>1.9980000000000001E-2</c:v>
                  </c:pt>
                  <c:pt idx="97">
                    <c:v>2.0129999999999999E-2</c:v>
                  </c:pt>
                  <c:pt idx="98">
                    <c:v>2.649E-2</c:v>
                  </c:pt>
                  <c:pt idx="99">
                    <c:v>2.8409999999999998E-2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'Power Distribution'!$B$3:$CW$3</c:f>
              <c:numCache>
                <c:formatCode>General</c:formatCode>
                <c:ptCount val="100"/>
                <c:pt idx="0">
                  <c:v>-18.376899999999999</c:v>
                </c:pt>
                <c:pt idx="1">
                  <c:v>-18.009399999999999</c:v>
                </c:pt>
                <c:pt idx="2">
                  <c:v>-17.6418</c:v>
                </c:pt>
                <c:pt idx="3">
                  <c:v>-17.2743</c:v>
                </c:pt>
                <c:pt idx="4">
                  <c:v>-16.906700000000001</c:v>
                </c:pt>
                <c:pt idx="5">
                  <c:v>-16.539200000000001</c:v>
                </c:pt>
                <c:pt idx="6">
                  <c:v>-16.171700000000001</c:v>
                </c:pt>
                <c:pt idx="7">
                  <c:v>-15.8041</c:v>
                </c:pt>
                <c:pt idx="8">
                  <c:v>-15.4366</c:v>
                </c:pt>
                <c:pt idx="9">
                  <c:v>-15.069100000000001</c:v>
                </c:pt>
                <c:pt idx="10">
                  <c:v>-14.701499999999999</c:v>
                </c:pt>
                <c:pt idx="11">
                  <c:v>-14.334</c:v>
                </c:pt>
                <c:pt idx="12">
                  <c:v>-13.9664</c:v>
                </c:pt>
                <c:pt idx="13">
                  <c:v>-13.5989</c:v>
                </c:pt>
                <c:pt idx="14">
                  <c:v>-13.231400000000001</c:v>
                </c:pt>
                <c:pt idx="15">
                  <c:v>-12.863799999999999</c:v>
                </c:pt>
                <c:pt idx="16">
                  <c:v>-12.4963</c:v>
                </c:pt>
                <c:pt idx="17">
                  <c:v>-12.1288</c:v>
                </c:pt>
                <c:pt idx="18">
                  <c:v>-11.761200000000001</c:v>
                </c:pt>
                <c:pt idx="19">
                  <c:v>-11.393700000000001</c:v>
                </c:pt>
                <c:pt idx="20">
                  <c:v>-11.0261</c:v>
                </c:pt>
                <c:pt idx="21">
                  <c:v>-10.6586</c:v>
                </c:pt>
                <c:pt idx="22">
                  <c:v>-10.2911</c:v>
                </c:pt>
                <c:pt idx="23">
                  <c:v>-9.9235299999999995</c:v>
                </c:pt>
                <c:pt idx="24">
                  <c:v>-9.5559899999999995</c:v>
                </c:pt>
                <c:pt idx="25">
                  <c:v>-9.1884499999999996</c:v>
                </c:pt>
                <c:pt idx="26">
                  <c:v>-8.8209099999999996</c:v>
                </c:pt>
                <c:pt idx="27">
                  <c:v>-8.4533699999999996</c:v>
                </c:pt>
                <c:pt idx="28">
                  <c:v>-8.0858399999999993</c:v>
                </c:pt>
                <c:pt idx="29">
                  <c:v>-7.7183000000000002</c:v>
                </c:pt>
                <c:pt idx="30">
                  <c:v>-7.3507600000000002</c:v>
                </c:pt>
                <c:pt idx="31">
                  <c:v>-6.9832200000000002</c:v>
                </c:pt>
                <c:pt idx="32">
                  <c:v>-6.6156800000000002</c:v>
                </c:pt>
                <c:pt idx="33">
                  <c:v>-6.2481499999999999</c:v>
                </c:pt>
                <c:pt idx="34">
                  <c:v>-5.8806099999999999</c:v>
                </c:pt>
                <c:pt idx="35">
                  <c:v>-5.5130699999999999</c:v>
                </c:pt>
                <c:pt idx="36">
                  <c:v>-5.1455299999999999</c:v>
                </c:pt>
                <c:pt idx="37">
                  <c:v>-4.77799</c:v>
                </c:pt>
                <c:pt idx="38">
                  <c:v>-4.4104599999999996</c:v>
                </c:pt>
                <c:pt idx="39">
                  <c:v>-4.0429199999999996</c:v>
                </c:pt>
                <c:pt idx="40">
                  <c:v>-3.6753800000000001</c:v>
                </c:pt>
                <c:pt idx="41">
                  <c:v>-3.3078400000000001</c:v>
                </c:pt>
                <c:pt idx="42">
                  <c:v>-2.9403000000000001</c:v>
                </c:pt>
                <c:pt idx="43">
                  <c:v>-2.5727699999999998</c:v>
                </c:pt>
                <c:pt idx="44">
                  <c:v>-2.2052299999999998</c:v>
                </c:pt>
                <c:pt idx="45">
                  <c:v>-1.83769</c:v>
                </c:pt>
                <c:pt idx="46">
                  <c:v>-1.4701500000000001</c:v>
                </c:pt>
                <c:pt idx="47">
                  <c:v>-1.1026100000000001</c:v>
                </c:pt>
                <c:pt idx="48">
                  <c:v>-0.73507599999999995</c:v>
                </c:pt>
                <c:pt idx="49">
                  <c:v>-0.36753799999999998</c:v>
                </c:pt>
                <c:pt idx="50">
                  <c:v>0</c:v>
                </c:pt>
                <c:pt idx="51">
                  <c:v>0.36753799999999998</c:v>
                </c:pt>
                <c:pt idx="52">
                  <c:v>0.73507599999999995</c:v>
                </c:pt>
                <c:pt idx="53">
                  <c:v>1.1026100000000001</c:v>
                </c:pt>
                <c:pt idx="54">
                  <c:v>1.4701500000000001</c:v>
                </c:pt>
                <c:pt idx="55">
                  <c:v>1.83769</c:v>
                </c:pt>
                <c:pt idx="56">
                  <c:v>2.2052299999999998</c:v>
                </c:pt>
                <c:pt idx="57">
                  <c:v>2.5727699999999998</c:v>
                </c:pt>
                <c:pt idx="58">
                  <c:v>2.9403000000000001</c:v>
                </c:pt>
                <c:pt idx="59">
                  <c:v>3.3078400000000001</c:v>
                </c:pt>
                <c:pt idx="60">
                  <c:v>3.6753800000000001</c:v>
                </c:pt>
                <c:pt idx="61">
                  <c:v>4.0429199999999996</c:v>
                </c:pt>
                <c:pt idx="62">
                  <c:v>4.4104599999999996</c:v>
                </c:pt>
                <c:pt idx="63">
                  <c:v>4.77799</c:v>
                </c:pt>
                <c:pt idx="64">
                  <c:v>5.1455299999999999</c:v>
                </c:pt>
                <c:pt idx="65">
                  <c:v>5.5130699999999999</c:v>
                </c:pt>
                <c:pt idx="66">
                  <c:v>5.8806099999999999</c:v>
                </c:pt>
                <c:pt idx="67">
                  <c:v>6.2481499999999999</c:v>
                </c:pt>
                <c:pt idx="68">
                  <c:v>6.6156800000000002</c:v>
                </c:pt>
                <c:pt idx="69">
                  <c:v>6.9832200000000002</c:v>
                </c:pt>
                <c:pt idx="70">
                  <c:v>7.3507600000000002</c:v>
                </c:pt>
                <c:pt idx="71">
                  <c:v>7.7183000000000002</c:v>
                </c:pt>
                <c:pt idx="72">
                  <c:v>8.0858399999999993</c:v>
                </c:pt>
                <c:pt idx="73">
                  <c:v>8.4533699999999996</c:v>
                </c:pt>
                <c:pt idx="74">
                  <c:v>8.8209099999999996</c:v>
                </c:pt>
                <c:pt idx="75">
                  <c:v>9.1884499999999996</c:v>
                </c:pt>
                <c:pt idx="76">
                  <c:v>9.5559899999999995</c:v>
                </c:pt>
                <c:pt idx="77">
                  <c:v>9.9235299999999995</c:v>
                </c:pt>
                <c:pt idx="78">
                  <c:v>10.2911</c:v>
                </c:pt>
                <c:pt idx="79">
                  <c:v>10.6586</c:v>
                </c:pt>
                <c:pt idx="80">
                  <c:v>11.0261</c:v>
                </c:pt>
                <c:pt idx="81">
                  <c:v>11.393700000000001</c:v>
                </c:pt>
                <c:pt idx="82">
                  <c:v>11.761200000000001</c:v>
                </c:pt>
                <c:pt idx="83">
                  <c:v>12.1288</c:v>
                </c:pt>
                <c:pt idx="84">
                  <c:v>12.4963</c:v>
                </c:pt>
                <c:pt idx="85">
                  <c:v>12.863799999999999</c:v>
                </c:pt>
                <c:pt idx="86">
                  <c:v>13.231400000000001</c:v>
                </c:pt>
                <c:pt idx="87">
                  <c:v>13.5989</c:v>
                </c:pt>
                <c:pt idx="88">
                  <c:v>13.9664</c:v>
                </c:pt>
                <c:pt idx="89">
                  <c:v>14.334</c:v>
                </c:pt>
                <c:pt idx="90">
                  <c:v>14.701499999999999</c:v>
                </c:pt>
                <c:pt idx="91">
                  <c:v>15.069100000000001</c:v>
                </c:pt>
                <c:pt idx="92">
                  <c:v>15.4366</c:v>
                </c:pt>
                <c:pt idx="93">
                  <c:v>15.8041</c:v>
                </c:pt>
                <c:pt idx="94">
                  <c:v>16.171700000000001</c:v>
                </c:pt>
                <c:pt idx="95">
                  <c:v>16.539200000000001</c:v>
                </c:pt>
                <c:pt idx="96">
                  <c:v>16.906700000000001</c:v>
                </c:pt>
                <c:pt idx="97">
                  <c:v>17.2743</c:v>
                </c:pt>
                <c:pt idx="98">
                  <c:v>17.6418</c:v>
                </c:pt>
                <c:pt idx="99">
                  <c:v>18.009399999999999</c:v>
                </c:pt>
              </c:numCache>
            </c:numRef>
          </c:xVal>
          <c:yVal>
            <c:numRef>
              <c:f>'Power Distribution'!$B$2:$CW$2</c:f>
              <c:numCache>
                <c:formatCode>General</c:formatCode>
                <c:ptCount val="100"/>
                <c:pt idx="0">
                  <c:v>0.2051534087038285</c:v>
                </c:pt>
                <c:pt idx="1">
                  <c:v>0.253804611400816</c:v>
                </c:pt>
                <c:pt idx="2">
                  <c:v>0.29752636179861219</c:v>
                </c:pt>
                <c:pt idx="3">
                  <c:v>0.34425055462135001</c:v>
                </c:pt>
                <c:pt idx="4">
                  <c:v>0.39528364438670582</c:v>
                </c:pt>
                <c:pt idx="5">
                  <c:v>0.43473443940580481</c:v>
                </c:pt>
                <c:pt idx="6">
                  <c:v>0.47445925683099921</c:v>
                </c:pt>
                <c:pt idx="7">
                  <c:v>0.50939922147283423</c:v>
                </c:pt>
                <c:pt idx="8">
                  <c:v>0.54661567994992388</c:v>
                </c:pt>
                <c:pt idx="9">
                  <c:v>0.58507999430707913</c:v>
                </c:pt>
                <c:pt idx="10">
                  <c:v>0.62542452394298176</c:v>
                </c:pt>
                <c:pt idx="11">
                  <c:v>0.66318902723226236</c:v>
                </c:pt>
                <c:pt idx="12">
                  <c:v>0.69998391277689753</c:v>
                </c:pt>
                <c:pt idx="13">
                  <c:v>0.73050157735728405</c:v>
                </c:pt>
                <c:pt idx="14">
                  <c:v>0.77665538200241069</c:v>
                </c:pt>
                <c:pt idx="15">
                  <c:v>0.80166730408494058</c:v>
                </c:pt>
                <c:pt idx="16">
                  <c:v>0.83631638340338188</c:v>
                </c:pt>
                <c:pt idx="17">
                  <c:v>0.87485658088837892</c:v>
                </c:pt>
                <c:pt idx="18">
                  <c:v>0.9031356931974317</c:v>
                </c:pt>
                <c:pt idx="19">
                  <c:v>0.93277227034898824</c:v>
                </c:pt>
                <c:pt idx="20">
                  <c:v>0.96688173631388774</c:v>
                </c:pt>
                <c:pt idx="21">
                  <c:v>0.9964466460669269</c:v>
                </c:pt>
                <c:pt idx="22">
                  <c:v>1.024224086586359</c:v>
                </c:pt>
                <c:pt idx="23">
                  <c:v>1.053793212068723</c:v>
                </c:pt>
                <c:pt idx="24">
                  <c:v>1.077519336707266</c:v>
                </c:pt>
                <c:pt idx="25">
                  <c:v>1.104428336985841</c:v>
                </c:pt>
                <c:pt idx="26">
                  <c:v>1.1387949624395379</c:v>
                </c:pt>
                <c:pt idx="27">
                  <c:v>1.154439533962927</c:v>
                </c:pt>
                <c:pt idx="28">
                  <c:v>1.1845018997762631</c:v>
                </c:pt>
                <c:pt idx="29">
                  <c:v>1.2035907221578059</c:v>
                </c:pt>
                <c:pt idx="30">
                  <c:v>1.230259425864882</c:v>
                </c:pt>
                <c:pt idx="31">
                  <c:v>1.242607297056477</c:v>
                </c:pt>
                <c:pt idx="32">
                  <c:v>1.2578682372113319</c:v>
                </c:pt>
                <c:pt idx="33">
                  <c:v>1.2849669453095121</c:v>
                </c:pt>
                <c:pt idx="34">
                  <c:v>1.29885777343389</c:v>
                </c:pt>
                <c:pt idx="35">
                  <c:v>1.312196341016753</c:v>
                </c:pt>
                <c:pt idx="36">
                  <c:v>1.3313821251727611</c:v>
                </c:pt>
                <c:pt idx="37">
                  <c:v>1.3458378610266279</c:v>
                </c:pt>
                <c:pt idx="38">
                  <c:v>1.3543156926982891</c:v>
                </c:pt>
                <c:pt idx="39">
                  <c:v>1.374007364373242</c:v>
                </c:pt>
                <c:pt idx="40">
                  <c:v>1.383513834000093</c:v>
                </c:pt>
                <c:pt idx="41">
                  <c:v>1.3941121775220009</c:v>
                </c:pt>
                <c:pt idx="42">
                  <c:v>1.3945632605597269</c:v>
                </c:pt>
                <c:pt idx="43">
                  <c:v>1.411299705978174</c:v>
                </c:pt>
                <c:pt idx="44">
                  <c:v>1.4137743390916819</c:v>
                </c:pt>
                <c:pt idx="45">
                  <c:v>1.4232723772598841</c:v>
                </c:pt>
                <c:pt idx="46">
                  <c:v>1.426729275306011</c:v>
                </c:pt>
                <c:pt idx="47">
                  <c:v>1.4254561250499991</c:v>
                </c:pt>
                <c:pt idx="48">
                  <c:v>1.4271466325091411</c:v>
                </c:pt>
                <c:pt idx="49">
                  <c:v>1.4391235195201759</c:v>
                </c:pt>
                <c:pt idx="50">
                  <c:v>1.4314677550668009</c:v>
                </c:pt>
                <c:pt idx="51">
                  <c:v>1.4249923948242991</c:v>
                </c:pt>
                <c:pt idx="52">
                  <c:v>1.430089211577674</c:v>
                </c:pt>
                <c:pt idx="53">
                  <c:v>1.424499154493327</c:v>
                </c:pt>
                <c:pt idx="54">
                  <c:v>1.4163375025210061</c:v>
                </c:pt>
                <c:pt idx="55">
                  <c:v>1.408264380864501</c:v>
                </c:pt>
                <c:pt idx="56">
                  <c:v>1.4065232846534641</c:v>
                </c:pt>
                <c:pt idx="57">
                  <c:v>1.396494064590369</c:v>
                </c:pt>
                <c:pt idx="58">
                  <c:v>1.39565091872546</c:v>
                </c:pt>
                <c:pt idx="59">
                  <c:v>1.376781314268793</c:v>
                </c:pt>
                <c:pt idx="60">
                  <c:v>1.372565584944248</c:v>
                </c:pt>
                <c:pt idx="61">
                  <c:v>1.357532294172918</c:v>
                </c:pt>
                <c:pt idx="62">
                  <c:v>1.343531857086101</c:v>
                </c:pt>
                <c:pt idx="63">
                  <c:v>1.330197505232563</c:v>
                </c:pt>
                <c:pt idx="64">
                  <c:v>1.317466002672435</c:v>
                </c:pt>
                <c:pt idx="65">
                  <c:v>1.2984530634187339</c:v>
                </c:pt>
                <c:pt idx="66">
                  <c:v>1.2779224616081959</c:v>
                </c:pt>
                <c:pt idx="67">
                  <c:v>1.2647904647622361</c:v>
                </c:pt>
                <c:pt idx="68">
                  <c:v>1.242872888003923</c:v>
                </c:pt>
                <c:pt idx="69">
                  <c:v>1.228729116120072</c:v>
                </c:pt>
                <c:pt idx="70">
                  <c:v>1.2040418051955319</c:v>
                </c:pt>
                <c:pt idx="71">
                  <c:v>1.180627644527005</c:v>
                </c:pt>
                <c:pt idx="72">
                  <c:v>1.1513831302026321</c:v>
                </c:pt>
                <c:pt idx="73">
                  <c:v>1.1403716452069179</c:v>
                </c:pt>
                <c:pt idx="74">
                  <c:v>1.1091836796639289</c:v>
                </c:pt>
                <c:pt idx="75">
                  <c:v>1.081857322182223</c:v>
                </c:pt>
                <c:pt idx="76">
                  <c:v>1.05483871294121</c:v>
                </c:pt>
                <c:pt idx="77">
                  <c:v>1.026125380511729</c:v>
                </c:pt>
                <c:pt idx="78">
                  <c:v>0.99641292023233052</c:v>
                </c:pt>
                <c:pt idx="79">
                  <c:v>0.96362297754601389</c:v>
                </c:pt>
                <c:pt idx="80">
                  <c:v>0.93447964072542922</c:v>
                </c:pt>
                <c:pt idx="81">
                  <c:v>0.90506228149874912</c:v>
                </c:pt>
                <c:pt idx="82">
                  <c:v>0.87055653697734225</c:v>
                </c:pt>
                <c:pt idx="83">
                  <c:v>0.84240389654802594</c:v>
                </c:pt>
                <c:pt idx="84">
                  <c:v>0.80480802243172711</c:v>
                </c:pt>
                <c:pt idx="85">
                  <c:v>0.77192954942959491</c:v>
                </c:pt>
                <c:pt idx="86">
                  <c:v>0.73496603471197797</c:v>
                </c:pt>
                <c:pt idx="87">
                  <c:v>0.70048558456651844</c:v>
                </c:pt>
                <c:pt idx="88">
                  <c:v>0.66243862741249326</c:v>
                </c:pt>
                <c:pt idx="89">
                  <c:v>0.63025996547823571</c:v>
                </c:pt>
                <c:pt idx="90">
                  <c:v>0.58967513927083393</c:v>
                </c:pt>
                <c:pt idx="91">
                  <c:v>0.55110964740988966</c:v>
                </c:pt>
                <c:pt idx="92">
                  <c:v>0.50922216084120331</c:v>
                </c:pt>
                <c:pt idx="93">
                  <c:v>0.4751885780041456</c:v>
                </c:pt>
                <c:pt idx="94">
                  <c:v>0.43817869026395861</c:v>
                </c:pt>
                <c:pt idx="95">
                  <c:v>0.39494975862420179</c:v>
                </c:pt>
                <c:pt idx="96">
                  <c:v>0.35826743305253211</c:v>
                </c:pt>
                <c:pt idx="97">
                  <c:v>0.31303940256707558</c:v>
                </c:pt>
                <c:pt idx="98">
                  <c:v>0.27136902605860341</c:v>
                </c:pt>
                <c:pt idx="99">
                  <c:v>0.22126297517171509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8A-4891-B38D-94CA06B98AC9}"/>
            </c:ext>
          </c:extLst>
        </c:ser>
        <c:ser>
          <c:idx val="1"/>
          <c:order val="1"/>
          <c:tx>
            <c:v>Experiment Measurement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'Power Distribution'!$B$7:$I$7</c:f>
              <c:numCache>
                <c:formatCode>General</c:formatCode>
                <c:ptCount val="8"/>
                <c:pt idx="0">
                  <c:v>-18.998646820026998</c:v>
                </c:pt>
                <c:pt idx="1">
                  <c:v>-14.8579161028416</c:v>
                </c:pt>
                <c:pt idx="2">
                  <c:v>-9.8782138024357202</c:v>
                </c:pt>
                <c:pt idx="3">
                  <c:v>-4.6820027063599401</c:v>
                </c:pt>
                <c:pt idx="4">
                  <c:v>0.35182679296346397</c:v>
                </c:pt>
                <c:pt idx="5">
                  <c:v>5.46684709066305</c:v>
                </c:pt>
                <c:pt idx="6">
                  <c:v>10.5006765899864</c:v>
                </c:pt>
                <c:pt idx="7">
                  <c:v>16.562922868741499</c:v>
                </c:pt>
              </c:numCache>
            </c:numRef>
          </c:xVal>
          <c:yVal>
            <c:numRef>
              <c:f>'Power Distribution'!$B$6:$I$6</c:f>
              <c:numCache>
                <c:formatCode>General</c:formatCode>
                <c:ptCount val="8"/>
                <c:pt idx="0">
                  <c:v>0.34513981358189</c:v>
                </c:pt>
                <c:pt idx="1">
                  <c:v>0.84793608521970698</c:v>
                </c:pt>
                <c:pt idx="2">
                  <c:v>1.10998668442077</c:v>
                </c:pt>
                <c:pt idx="3">
                  <c:v>1.3613848202396801</c:v>
                </c:pt>
                <c:pt idx="4">
                  <c:v>1.35073235685752</c:v>
                </c:pt>
                <c:pt idx="5">
                  <c:v>1.1589880159786901</c:v>
                </c:pt>
                <c:pt idx="6">
                  <c:v>0.70945406125166399</c:v>
                </c:pt>
                <c:pt idx="7">
                  <c:v>0.29187749667110502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8A-4891-B38D-94CA06B98A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8428143"/>
        <c:axId val="1088429583"/>
      </c:scatterChart>
      <c:valAx>
        <c:axId val="1088428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Axial Position [cm]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429583"/>
        <c:crosses val="autoZero"/>
        <c:crossBetween val="midCat"/>
      </c:valAx>
      <c:valAx>
        <c:axId val="1088429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Normalized</a:t>
                </a:r>
                <a:r>
                  <a:rPr lang="en-US" baseline="0"/>
                  <a:t> Power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4281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285750</xdr:colOff>
      <xdr:row>45</xdr:row>
      <xdr:rowOff>9522</xdr:rowOff>
    </xdr:from>
    <xdr:to>
      <xdr:col>5</xdr:col>
      <xdr:colOff>1181100</xdr:colOff>
      <xdr:row>59</xdr:row>
      <xdr:rowOff>85722</xdr:rowOff>
    </xdr:to>
    <xdr:graphicFrame macro="">
      <xdr:nvGraphicFramePr>
        <xdr:cNvPr id="7" name="Chart 1">
          <a:extLst>
            <a:ext uri="{FF2B5EF4-FFF2-40B4-BE49-F238E27FC236}">
              <a16:creationId xmlns:a16="http://schemas.microsoft.com/office/drawing/2014/main" id="{D1217427-51B4-F3F0-B834-8909F402C1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457200</xdr:colOff>
      <xdr:row>45</xdr:row>
      <xdr:rowOff>28574</xdr:rowOff>
    </xdr:from>
    <xdr:to>
      <xdr:col>13</xdr:col>
      <xdr:colOff>0</xdr:colOff>
      <xdr:row>59</xdr:row>
      <xdr:rowOff>114299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B34B6FF-F91E-51AA-E922-F0DB653475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250029</xdr:colOff>
      <xdr:row>60</xdr:row>
      <xdr:rowOff>95250</xdr:rowOff>
    </xdr:from>
    <xdr:to>
      <xdr:col>5</xdr:col>
      <xdr:colOff>1162050</xdr:colOff>
      <xdr:row>75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28BCC10-FE75-593C-5EAD-9739CC331D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561975</xdr:colOff>
      <xdr:row>60</xdr:row>
      <xdr:rowOff>123825</xdr:rowOff>
    </xdr:from>
    <xdr:to>
      <xdr:col>12</xdr:col>
      <xdr:colOff>1464471</xdr:colOff>
      <xdr:row>75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87D19F4-E05B-4D07-837E-AC8C5C9A50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17</xdr:row>
      <xdr:rowOff>33337</xdr:rowOff>
    </xdr:from>
    <xdr:to>
      <xdr:col>5</xdr:col>
      <xdr:colOff>752475</xdr:colOff>
      <xdr:row>31</xdr:row>
      <xdr:rowOff>109537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ED4DC3C-C1C6-9559-8DE6-56BB33EA28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297655</xdr:colOff>
      <xdr:row>9</xdr:row>
      <xdr:rowOff>95250</xdr:rowOff>
    </xdr:from>
    <xdr:to>
      <xdr:col>10</xdr:col>
      <xdr:colOff>335755</xdr:colOff>
      <xdr:row>24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E12725-B37E-FDBF-C411-00B9CB1A9C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7A4BB-76B8-4F5C-9E59-B1DED5EC6FFB}">
  <dimension ref="A1:AH57"/>
  <sheetViews>
    <sheetView topLeftCell="S1" zoomScale="70" zoomScaleNormal="70" workbookViewId="0">
      <selection activeCell="AB5" sqref="AB5"/>
    </sheetView>
  </sheetViews>
  <sheetFormatPr defaultRowHeight="15" x14ac:dyDescent="0.25"/>
  <cols>
    <col min="1" max="1" width="13.5703125" bestFit="1" customWidth="1"/>
    <col min="4" max="4" width="11.5703125" bestFit="1" customWidth="1"/>
    <col min="5" max="5" width="18.5703125" bestFit="1" customWidth="1"/>
    <col min="6" max="6" width="25.42578125" bestFit="1" customWidth="1"/>
    <col min="7" max="7" width="12" bestFit="1" customWidth="1"/>
    <col min="9" max="9" width="9.28515625" bestFit="1" customWidth="1"/>
    <col min="10" max="10" width="18.5703125" bestFit="1" customWidth="1"/>
    <col min="12" max="12" width="16.140625" bestFit="1" customWidth="1"/>
    <col min="13" max="13" width="24" bestFit="1" customWidth="1"/>
    <col min="14" max="14" width="12" bestFit="1" customWidth="1"/>
    <col min="17" max="17" width="13.5703125" bestFit="1" customWidth="1"/>
    <col min="18" max="18" width="12.5703125" bestFit="1" customWidth="1"/>
    <col min="19" max="19" width="12.85546875" bestFit="1" customWidth="1"/>
    <col min="20" max="20" width="13.5703125" bestFit="1" customWidth="1"/>
    <col min="21" max="21" width="9" bestFit="1" customWidth="1"/>
    <col min="22" max="23" width="12.7109375" bestFit="1" customWidth="1"/>
    <col min="24" max="24" width="42.140625" customWidth="1"/>
    <col min="25" max="25" width="27.28515625" bestFit="1" customWidth="1"/>
    <col min="26" max="26" width="18.5703125" bestFit="1" customWidth="1"/>
    <col min="27" max="28" width="27.28515625" bestFit="1" customWidth="1"/>
    <col min="29" max="29" width="17.7109375" bestFit="1" customWidth="1"/>
    <col min="30" max="30" width="13.7109375" bestFit="1" customWidth="1"/>
    <col min="31" max="31" width="24.5703125" bestFit="1" customWidth="1"/>
    <col min="32" max="32" width="18.5703125" bestFit="1" customWidth="1"/>
    <col min="33" max="33" width="27.28515625" bestFit="1" customWidth="1"/>
    <col min="34" max="34" width="13.7109375" bestFit="1" customWidth="1"/>
  </cols>
  <sheetData>
    <row r="1" spans="1:31" ht="28.5" x14ac:dyDescent="0.45">
      <c r="A1" s="49" t="s">
        <v>0</v>
      </c>
      <c r="B1" s="50"/>
      <c r="C1" s="50"/>
      <c r="D1" s="50"/>
      <c r="E1" s="50"/>
      <c r="F1" s="5"/>
      <c r="G1" s="6"/>
      <c r="H1" s="53" t="s">
        <v>1</v>
      </c>
      <c r="I1" s="53"/>
      <c r="J1" s="53"/>
      <c r="K1" s="53"/>
      <c r="L1" s="53"/>
      <c r="T1" s="51" t="s">
        <v>2</v>
      </c>
      <c r="U1" s="52"/>
      <c r="V1" s="52"/>
      <c r="W1" s="52"/>
      <c r="X1" s="52"/>
      <c r="Y1" s="24"/>
      <c r="Z1" s="24"/>
      <c r="AA1" s="24"/>
      <c r="AB1" s="24"/>
      <c r="AC1" s="24"/>
      <c r="AD1" s="24"/>
      <c r="AE1" s="25"/>
    </row>
    <row r="2" spans="1:31" x14ac:dyDescent="0.25">
      <c r="A2" s="1"/>
      <c r="G2" s="2"/>
      <c r="T2" s="26"/>
      <c r="AE2" s="27"/>
    </row>
    <row r="3" spans="1:31" x14ac:dyDescent="0.25">
      <c r="A3" s="1"/>
      <c r="G3" s="2"/>
      <c r="T3" s="26"/>
      <c r="AE3" s="27"/>
    </row>
    <row r="4" spans="1:31" x14ac:dyDescent="0.25">
      <c r="A4" s="1" t="s">
        <v>3</v>
      </c>
      <c r="B4" t="s">
        <v>4</v>
      </c>
      <c r="C4" t="s">
        <v>5</v>
      </c>
      <c r="D4" t="s">
        <v>6</v>
      </c>
      <c r="E4" t="s">
        <v>7</v>
      </c>
      <c r="F4" t="s">
        <v>8</v>
      </c>
      <c r="G4" s="2" t="s">
        <v>9</v>
      </c>
      <c r="H4" t="s">
        <v>3</v>
      </c>
      <c r="I4" t="s">
        <v>4</v>
      </c>
      <c r="J4" t="s">
        <v>5</v>
      </c>
      <c r="K4" t="s">
        <v>6</v>
      </c>
      <c r="L4" t="s">
        <v>7</v>
      </c>
      <c r="M4" t="s">
        <v>8</v>
      </c>
      <c r="N4" s="2" t="s">
        <v>9</v>
      </c>
      <c r="T4" s="26" t="s">
        <v>3</v>
      </c>
      <c r="U4" t="s">
        <v>4</v>
      </c>
      <c r="V4" t="s">
        <v>124</v>
      </c>
      <c r="W4" t="s">
        <v>5</v>
      </c>
      <c r="X4" t="s">
        <v>127</v>
      </c>
      <c r="Y4" t="s">
        <v>6</v>
      </c>
      <c r="Z4" t="s">
        <v>7</v>
      </c>
      <c r="AA4" t="s">
        <v>126</v>
      </c>
      <c r="AB4" t="s">
        <v>8</v>
      </c>
      <c r="AC4" t="s">
        <v>125</v>
      </c>
      <c r="AD4" t="s">
        <v>9</v>
      </c>
      <c r="AE4" s="27" t="s">
        <v>128</v>
      </c>
    </row>
    <row r="5" spans="1:31" x14ac:dyDescent="0.25">
      <c r="A5" s="1">
        <v>-20</v>
      </c>
      <c r="B5" s="8">
        <v>0.99616099999999996</v>
      </c>
      <c r="C5">
        <f>(B5-1)/B5</f>
        <v>-3.8537947179221399E-3</v>
      </c>
      <c r="D5">
        <f>C5*10^5</f>
        <v>-385.37947179221402</v>
      </c>
      <c r="E5">
        <v>0</v>
      </c>
      <c r="F5">
        <f>(E5+E6)/2*10</f>
        <v>74.259886161183189</v>
      </c>
      <c r="G5" s="2"/>
      <c r="H5">
        <v>-20</v>
      </c>
      <c r="I5" s="8">
        <v>0.99902400000000002</v>
      </c>
      <c r="J5">
        <f>(I5-1)/I5</f>
        <v>-9.7695350662244042E-4</v>
      </c>
      <c r="K5">
        <f>J5*10^5</f>
        <v>-97.695350662244039</v>
      </c>
      <c r="L5">
        <v>0</v>
      </c>
      <c r="M5">
        <f>(L5+L6)/2*10</f>
        <v>51.34755033737698</v>
      </c>
      <c r="N5">
        <f>SUM($M$5:M5)</f>
        <v>51.34755033737698</v>
      </c>
      <c r="T5" s="26">
        <v>-20</v>
      </c>
      <c r="U5" s="8">
        <v>0.96386099999999997</v>
      </c>
      <c r="V5" s="8">
        <v>4.6E-5</v>
      </c>
      <c r="W5" s="8">
        <f>(U5-1)/U5</f>
        <v>-3.7493995503501056E-2</v>
      </c>
      <c r="X5" s="8">
        <f>V5/U5^2*10^5</f>
        <v>4.9514114372467652</v>
      </c>
      <c r="Y5">
        <f t="shared" ref="Y5:Y18" si="0">W5*10^5</f>
        <v>-3749.3995503501055</v>
      </c>
      <c r="Z5">
        <v>0</v>
      </c>
      <c r="AB5">
        <f>(Z5+Z6)/2*ABS(T6-T5)</f>
        <v>6.7803945195066717</v>
      </c>
      <c r="AC5">
        <f>SQRT((AA5*ABS(T6-T5)/2)^2+(AA6*ABS(T6-T5)/2)^2)</f>
        <v>3.5776112416417201</v>
      </c>
      <c r="AE5" s="27"/>
    </row>
    <row r="6" spans="1:31" x14ac:dyDescent="0.25">
      <c r="A6" s="1">
        <v>-10</v>
      </c>
      <c r="B6" s="8">
        <v>0.997637</v>
      </c>
      <c r="C6">
        <f>(B6-1)/B6</f>
        <v>-2.3685969946984765E-3</v>
      </c>
      <c r="D6">
        <f>C6*10^5</f>
        <v>-236.85969946984764</v>
      </c>
      <c r="E6">
        <f>ABS(D6-D5)/(10)</f>
        <v>14.851977232236639</v>
      </c>
      <c r="F6">
        <f t="shared" ref="F6:F16" si="1">(E6+E7)/2*10</f>
        <v>113.16344815116636</v>
      </c>
      <c r="G6" s="2"/>
      <c r="H6">
        <v>-10</v>
      </c>
      <c r="I6" s="8">
        <v>1.0000500000000001</v>
      </c>
      <c r="J6">
        <f>(I6-1)/I6</f>
        <v>4.9997500125099255E-5</v>
      </c>
      <c r="K6">
        <f>J6*10^5</f>
        <v>4.9997500125099252</v>
      </c>
      <c r="L6">
        <f>ABS(K6-K5)/(H6-H5)</f>
        <v>10.269510067475396</v>
      </c>
      <c r="M6">
        <f t="shared" ref="M6:M17" si="2">(L6+L7)/2*10</f>
        <v>87.817279040229067</v>
      </c>
      <c r="N6">
        <f>SUM($M$5:M6)</f>
        <v>139.16482937760605</v>
      </c>
      <c r="T6" s="26">
        <v>-10</v>
      </c>
      <c r="U6" s="8">
        <v>0.96398700000000004</v>
      </c>
      <c r="V6" s="8">
        <v>4.8000000000000001E-5</v>
      </c>
      <c r="W6">
        <f t="shared" ref="W6:W18" si="3">(U6-1)/U6</f>
        <v>-3.7358387613110923E-2</v>
      </c>
      <c r="X6" s="8">
        <f t="shared" ref="X6:X18" si="4">V6/U6^2*10^5</f>
        <v>5.1653396368861122</v>
      </c>
      <c r="Y6">
        <f t="shared" si="0"/>
        <v>-3735.8387613110922</v>
      </c>
      <c r="Z6">
        <f>ABS(Y6-Y5)/ABS(T6-T5)</f>
        <v>1.3560789039013343</v>
      </c>
      <c r="AA6">
        <f>SQRT((X6/ABS(T6-T5))^2+(X5/ABS(T6-T5))^2)</f>
        <v>0.71552224832834399</v>
      </c>
      <c r="AB6">
        <f t="shared" ref="AB6:AB17" si="5">(Z6+Z7)/2*ABS(T7-T6)</f>
        <v>36.302867231748678</v>
      </c>
      <c r="AC6">
        <f t="shared" ref="AC6:AC17" si="6">SQRT((AA6*ABS(T7-T6)/2)^2+(AA7*ABS(T7-T6)/2)^2)</f>
        <v>5.1385480629455644</v>
      </c>
      <c r="AE6" s="27"/>
    </row>
    <row r="7" spans="1:31" x14ac:dyDescent="0.25">
      <c r="A7" s="1">
        <v>0</v>
      </c>
      <c r="B7" s="8">
        <v>0.99841199999999997</v>
      </c>
      <c r="C7">
        <f>(B7-1)/B7</f>
        <v>-1.5905257548988131E-3</v>
      </c>
      <c r="D7">
        <f>C7*10^5</f>
        <v>-159.05257548988132</v>
      </c>
      <c r="E7">
        <f>ABS(D7-D6)/(A7-A6)</f>
        <v>7.7807123979966324</v>
      </c>
      <c r="F7">
        <f>(E7+E8)/2*10</f>
        <v>55.963492473789572</v>
      </c>
      <c r="G7" s="2">
        <f>SUM($F$7:F7)</f>
        <v>55.963492473789572</v>
      </c>
      <c r="H7">
        <v>0</v>
      </c>
      <c r="I7" s="8">
        <v>1.00078</v>
      </c>
      <c r="J7">
        <f>(I7-1)/I7</f>
        <v>7.7939207418214085E-4</v>
      </c>
      <c r="K7">
        <f>J7*10^5</f>
        <v>77.939207418214082</v>
      </c>
      <c r="L7">
        <f t="shared" ref="L7:L17" si="7">ABS(K7-K6)/(H7-H6)</f>
        <v>7.2939457405704164</v>
      </c>
      <c r="M7">
        <f t="shared" si="2"/>
        <v>55.44732921324082</v>
      </c>
      <c r="N7">
        <f>SUM($M$5:M7)</f>
        <v>194.61215859084689</v>
      </c>
      <c r="T7" s="26">
        <v>0</v>
      </c>
      <c r="U7" s="8">
        <v>0.96453599999999995</v>
      </c>
      <c r="V7" s="8">
        <v>4.8999999999999998E-5</v>
      </c>
      <c r="W7">
        <f t="shared" si="3"/>
        <v>-3.676793815886608E-2</v>
      </c>
      <c r="X7" s="8">
        <f t="shared" si="4"/>
        <v>5.2669500122115132</v>
      </c>
      <c r="Y7">
        <f t="shared" si="0"/>
        <v>-3676.7938158866082</v>
      </c>
      <c r="Z7">
        <f t="shared" ref="Z7:Z18" si="8">ABS(Y7-Y6)/ABS(T7-T6)</f>
        <v>5.9044945424484014</v>
      </c>
      <c r="AA7">
        <f t="shared" ref="AA7:AA18" si="9">SQRT((X7/ABS(T7-T6))^2+(X6/ABS(T7-T6))^2)</f>
        <v>0.73770926519545366</v>
      </c>
      <c r="AB7">
        <f t="shared" si="5"/>
        <v>70.175068824835535</v>
      </c>
      <c r="AC7">
        <f t="shared" si="6"/>
        <v>5.1866346924367912</v>
      </c>
      <c r="AD7">
        <f>SUM($AB$7:AB7)</f>
        <v>70.175068824835535</v>
      </c>
      <c r="AE7" s="27">
        <f>SUM($AC$7:AC7)</f>
        <v>5.1866346924367912</v>
      </c>
    </row>
    <row r="8" spans="1:31" x14ac:dyDescent="0.25">
      <c r="A8" s="1">
        <v>10</v>
      </c>
      <c r="B8" s="8">
        <v>0.99807199999999996</v>
      </c>
      <c r="C8">
        <f>(B8-1)/B8</f>
        <v>-1.9317243645749413E-3</v>
      </c>
      <c r="D8">
        <f>C8*10^5</f>
        <v>-193.17243645749414</v>
      </c>
      <c r="E8">
        <f t="shared" ref="E8:E17" si="10">ABS(D8-D7)/(A8-A7)</f>
        <v>3.4119860967612823</v>
      </c>
      <c r="F8">
        <f t="shared" si="1"/>
        <v>59.509257822920276</v>
      </c>
      <c r="G8" s="2">
        <f>SUM($F$7:F8)</f>
        <v>115.47275029670985</v>
      </c>
      <c r="H8">
        <v>10</v>
      </c>
      <c r="I8" s="8">
        <v>1.0004</v>
      </c>
      <c r="J8">
        <f>(I8-1)/I8</f>
        <v>3.9984006397436622E-4</v>
      </c>
      <c r="K8">
        <f>J8*10^5</f>
        <v>39.984006397436623</v>
      </c>
      <c r="L8">
        <f t="shared" si="7"/>
        <v>3.795520102077746</v>
      </c>
      <c r="M8">
        <f t="shared" si="2"/>
        <v>55.925351707677464</v>
      </c>
      <c r="N8">
        <f>SUM($M$5:M8)</f>
        <v>250.53751029852435</v>
      </c>
      <c r="T8" s="26">
        <v>10</v>
      </c>
      <c r="U8" s="8">
        <v>0.96529299999999996</v>
      </c>
      <c r="V8" s="8">
        <v>4.6999999999999997E-5</v>
      </c>
      <c r="W8">
        <f t="shared" si="3"/>
        <v>-3.5954886236614213E-2</v>
      </c>
      <c r="X8" s="8">
        <f t="shared" si="4"/>
        <v>5.0440518736923261</v>
      </c>
      <c r="Y8">
        <f t="shared" si="0"/>
        <v>-3595.4886236614211</v>
      </c>
      <c r="Z8">
        <f t="shared" si="8"/>
        <v>8.1305192225187053</v>
      </c>
      <c r="AA8">
        <f t="shared" si="9"/>
        <v>0.72926827529815064</v>
      </c>
      <c r="AB8">
        <f t="shared" si="5"/>
        <v>142.83414487750792</v>
      </c>
      <c r="AC8">
        <f t="shared" si="6"/>
        <v>5.0696464122036069</v>
      </c>
      <c r="AD8">
        <f>SUM($AB$7:AB8)</f>
        <v>213.00921370234346</v>
      </c>
      <c r="AE8" s="27">
        <f>SUM($AC$7:AC8)</f>
        <v>10.256281104640397</v>
      </c>
    </row>
    <row r="9" spans="1:31" x14ac:dyDescent="0.25">
      <c r="A9" s="1">
        <v>20</v>
      </c>
      <c r="B9" s="8">
        <v>0.99722699999999997</v>
      </c>
      <c r="C9">
        <f t="shared" ref="C9:C17" si="11">(B9-1)/B9</f>
        <v>-2.7807109113572189E-3</v>
      </c>
      <c r="D9">
        <f t="shared" ref="D9:D17" si="12">C9*10^5</f>
        <v>-278.07109113572187</v>
      </c>
      <c r="E9">
        <f t="shared" si="10"/>
        <v>8.4898654678227725</v>
      </c>
      <c r="F9">
        <f t="shared" si="1"/>
        <v>136.04107878372025</v>
      </c>
      <c r="G9" s="2">
        <f>SUM($F$7:F9)</f>
        <v>251.5138290804301</v>
      </c>
      <c r="H9">
        <v>20</v>
      </c>
      <c r="I9" s="8">
        <v>0.99966100000000002</v>
      </c>
      <c r="J9">
        <f t="shared" ref="J9:J17" si="13">(I9-1)/I9</f>
        <v>-3.3911495997140852E-4</v>
      </c>
      <c r="K9">
        <f t="shared" ref="K9:K17" si="14">J9*10^5</f>
        <v>-33.911495997140854</v>
      </c>
      <c r="L9">
        <f t="shared" si="7"/>
        <v>7.3895502394577477</v>
      </c>
      <c r="M9">
        <f t="shared" si="2"/>
        <v>99.568450172957938</v>
      </c>
      <c r="N9">
        <f>SUM($M$5:M9)</f>
        <v>350.10596047148226</v>
      </c>
      <c r="T9" s="26">
        <v>20</v>
      </c>
      <c r="U9" s="8">
        <v>0.96720099999999998</v>
      </c>
      <c r="V9" s="8">
        <v>4.6E-5</v>
      </c>
      <c r="W9">
        <f t="shared" si="3"/>
        <v>-3.3911255261315922E-2</v>
      </c>
      <c r="X9" s="8">
        <f t="shared" si="4"/>
        <v>4.9172734252777373</v>
      </c>
      <c r="Y9">
        <f t="shared" si="0"/>
        <v>-3391.1255261315923</v>
      </c>
      <c r="Z9">
        <f t="shared" si="8"/>
        <v>20.436309752982879</v>
      </c>
      <c r="AA9">
        <f t="shared" si="9"/>
        <v>0.70442911100721628</v>
      </c>
      <c r="AB9">
        <f t="shared" si="5"/>
        <v>265.27163950096633</v>
      </c>
      <c r="AC9">
        <f t="shared" si="6"/>
        <v>4.9680698223692135</v>
      </c>
      <c r="AD9">
        <f>SUM($AB$7:AB9)</f>
        <v>478.28085320330979</v>
      </c>
      <c r="AE9" s="27">
        <f>SUM($AC$7:AC9)</f>
        <v>15.22435092700961</v>
      </c>
    </row>
    <row r="10" spans="1:31" x14ac:dyDescent="0.25">
      <c r="A10" s="1">
        <v>30</v>
      </c>
      <c r="B10" s="8">
        <v>0.99536899999999995</v>
      </c>
      <c r="C10">
        <f t="shared" si="11"/>
        <v>-4.6525459402493464E-3</v>
      </c>
      <c r="D10">
        <f t="shared" si="12"/>
        <v>-465.25459402493465</v>
      </c>
      <c r="E10">
        <f t="shared" si="10"/>
        <v>18.718350288921279</v>
      </c>
      <c r="F10">
        <f t="shared" si="1"/>
        <v>227.12645215558851</v>
      </c>
      <c r="G10" s="2">
        <f>SUM($F$7:F10)</f>
        <v>478.64028123601861</v>
      </c>
      <c r="H10">
        <v>30</v>
      </c>
      <c r="I10" s="8">
        <v>0.99841100000000005</v>
      </c>
      <c r="J10">
        <f t="shared" si="13"/>
        <v>-1.5915289394847927E-3</v>
      </c>
      <c r="K10">
        <f t="shared" si="14"/>
        <v>-159.15289394847926</v>
      </c>
      <c r="L10">
        <f t="shared" si="7"/>
        <v>12.52413979513384</v>
      </c>
      <c r="M10">
        <f t="shared" si="2"/>
        <v>181.37786811871081</v>
      </c>
      <c r="N10">
        <f>SUM($M$5:M10)</f>
        <v>531.48382859019307</v>
      </c>
      <c r="T10" s="26">
        <v>30</v>
      </c>
      <c r="U10" s="8">
        <v>0.97026199999999996</v>
      </c>
      <c r="V10" s="8">
        <v>4.6999999999999997E-5</v>
      </c>
      <c r="W10">
        <f t="shared" si="3"/>
        <v>-3.0649453446594883E-2</v>
      </c>
      <c r="X10" s="8">
        <f t="shared" si="4"/>
        <v>4.9925199906818944</v>
      </c>
      <c r="Y10">
        <f t="shared" si="0"/>
        <v>-3064.9453446594885</v>
      </c>
      <c r="Z10">
        <f t="shared" si="8"/>
        <v>32.618018147210385</v>
      </c>
      <c r="AA10">
        <f t="shared" si="9"/>
        <v>0.70074841274383914</v>
      </c>
      <c r="AB10">
        <f t="shared" si="5"/>
        <v>407.46211529708512</v>
      </c>
      <c r="AC10">
        <f t="shared" si="6"/>
        <v>4.910418613037475</v>
      </c>
      <c r="AD10">
        <f>SUM($AB$7:AB10)</f>
        <v>885.74296850039491</v>
      </c>
      <c r="AE10" s="27">
        <f>SUM($AC$7:AC10)</f>
        <v>20.134769540047085</v>
      </c>
    </row>
    <row r="11" spans="1:31" x14ac:dyDescent="0.25">
      <c r="A11" s="1">
        <v>40</v>
      </c>
      <c r="B11" s="8">
        <v>0.99273</v>
      </c>
      <c r="C11">
        <f t="shared" si="11"/>
        <v>-7.3232399544689878E-3</v>
      </c>
      <c r="D11">
        <f t="shared" si="12"/>
        <v>-732.32399544689883</v>
      </c>
      <c r="E11">
        <f t="shared" si="10"/>
        <v>26.706940142196419</v>
      </c>
      <c r="F11">
        <f t="shared" si="1"/>
        <v>315.41457294157539</v>
      </c>
      <c r="G11" s="2">
        <f>SUM($F$7:F11)</f>
        <v>794.05485417759405</v>
      </c>
      <c r="H11">
        <v>40</v>
      </c>
      <c r="I11" s="8">
        <v>0.99604899999999996</v>
      </c>
      <c r="J11">
        <f t="shared" si="13"/>
        <v>-3.9666723223456251E-3</v>
      </c>
      <c r="K11">
        <f t="shared" si="14"/>
        <v>-396.6672322345625</v>
      </c>
      <c r="L11">
        <f>ABS(K11-K10)/(H11-H10)</f>
        <v>23.751433828608324</v>
      </c>
      <c r="M11">
        <f t="shared" si="2"/>
        <v>264.27203817935953</v>
      </c>
      <c r="N11">
        <f>SUM($M$5:M11)</f>
        <v>795.75586676955254</v>
      </c>
      <c r="T11" s="26">
        <v>40</v>
      </c>
      <c r="U11" s="8">
        <v>0.974885</v>
      </c>
      <c r="V11" s="8">
        <v>4.5000000000000003E-5</v>
      </c>
      <c r="W11">
        <f t="shared" si="3"/>
        <v>-2.5762012955374222E-2</v>
      </c>
      <c r="X11" s="8">
        <f t="shared" si="4"/>
        <v>4.7348446825001762</v>
      </c>
      <c r="Y11">
        <f t="shared" si="0"/>
        <v>-2576.2012955374221</v>
      </c>
      <c r="Z11">
        <f t="shared" si="8"/>
        <v>48.874404912206636</v>
      </c>
      <c r="AA11">
        <f t="shared" si="9"/>
        <v>0.68806983675175393</v>
      </c>
      <c r="AB11">
        <f t="shared" si="5"/>
        <v>529.6552766968116</v>
      </c>
      <c r="AC11">
        <f t="shared" si="6"/>
        <v>4.8133172117323362</v>
      </c>
      <c r="AD11">
        <f>SUM($AB$7:AB11)</f>
        <v>1415.3982451972065</v>
      </c>
      <c r="AE11" s="27">
        <f>SUM($AC$7:AC11)</f>
        <v>24.948086751779421</v>
      </c>
    </row>
    <row r="12" spans="1:31" x14ac:dyDescent="0.25">
      <c r="A12" s="1">
        <v>50</v>
      </c>
      <c r="B12" s="8">
        <v>0.98915799999999998</v>
      </c>
      <c r="C12">
        <f t="shared" si="11"/>
        <v>-1.0960837399080853E-2</v>
      </c>
      <c r="D12">
        <f t="shared" si="12"/>
        <v>-1096.0837399080854</v>
      </c>
      <c r="E12">
        <f t="shared" si="10"/>
        <v>36.375974446118654</v>
      </c>
      <c r="F12">
        <f t="shared" si="1"/>
        <v>377.4346678133237</v>
      </c>
      <c r="G12" s="2">
        <f>SUM($F$7:F12)</f>
        <v>1171.4895219909176</v>
      </c>
      <c r="H12">
        <v>50</v>
      </c>
      <c r="I12" s="8">
        <v>0.99317</v>
      </c>
      <c r="J12">
        <f t="shared" si="13"/>
        <v>-6.8769697030719844E-3</v>
      </c>
      <c r="K12">
        <f t="shared" si="14"/>
        <v>-687.6969703071984</v>
      </c>
      <c r="L12">
        <f t="shared" si="7"/>
        <v>29.102973807263588</v>
      </c>
      <c r="M12">
        <f t="shared" si="2"/>
        <v>346.43793162427482</v>
      </c>
      <c r="N12">
        <f>SUM($M$5:M12)</f>
        <v>1142.1937983938274</v>
      </c>
      <c r="T12" s="26">
        <v>50</v>
      </c>
      <c r="U12" s="8">
        <v>0.98033800000000004</v>
      </c>
      <c r="V12" s="8">
        <v>4.6E-5</v>
      </c>
      <c r="W12">
        <f t="shared" si="3"/>
        <v>-2.0056347912658652E-2</v>
      </c>
      <c r="X12" s="8">
        <f t="shared" si="4"/>
        <v>4.7863687834177897</v>
      </c>
      <c r="Y12">
        <f t="shared" si="0"/>
        <v>-2005.6347912658653</v>
      </c>
      <c r="Z12">
        <f t="shared" si="8"/>
        <v>57.056650427155681</v>
      </c>
      <c r="AA12">
        <f t="shared" si="9"/>
        <v>0.67326131849584592</v>
      </c>
      <c r="AB12">
        <f t="shared" si="5"/>
        <v>571.88626830188207</v>
      </c>
      <c r="AC12">
        <f t="shared" si="6"/>
        <v>4.734787287981991</v>
      </c>
      <c r="AD12">
        <f>SUM($AB$7:AB12)</f>
        <v>1987.2845134990885</v>
      </c>
      <c r="AE12" s="27">
        <f>SUM($AC$7:AC12)</f>
        <v>29.682874039761412</v>
      </c>
    </row>
    <row r="13" spans="1:31" x14ac:dyDescent="0.25">
      <c r="A13" s="1">
        <v>60</v>
      </c>
      <c r="B13" s="8">
        <v>0.98534600000000006</v>
      </c>
      <c r="C13">
        <f t="shared" si="11"/>
        <v>-1.4871933310735462E-2</v>
      </c>
      <c r="D13">
        <f t="shared" si="12"/>
        <v>-1487.1933310735462</v>
      </c>
      <c r="E13">
        <f t="shared" si="10"/>
        <v>39.110959116546084</v>
      </c>
      <c r="F13">
        <f t="shared" si="1"/>
        <v>401.86825440449763</v>
      </c>
      <c r="G13" s="2">
        <f>SUM($F$7:F13)</f>
        <v>1573.3577763954154</v>
      </c>
      <c r="H13">
        <v>60</v>
      </c>
      <c r="I13" s="8">
        <v>0.98922200000000005</v>
      </c>
      <c r="J13">
        <f t="shared" si="13"/>
        <v>-1.0895430954831123E-2</v>
      </c>
      <c r="K13">
        <f t="shared" si="14"/>
        <v>-1089.5430954831122</v>
      </c>
      <c r="L13">
        <f>ABS(K13-K12)/(H13-H12)</f>
        <v>40.184612517591383</v>
      </c>
      <c r="M13">
        <f t="shared" si="2"/>
        <v>401.91119916718122</v>
      </c>
      <c r="N13">
        <f>SUM($M$5:M13)</f>
        <v>1544.1049975610085</v>
      </c>
      <c r="T13" s="26">
        <v>60</v>
      </c>
      <c r="U13" s="8">
        <v>0.98587800000000003</v>
      </c>
      <c r="V13" s="8">
        <v>4.5000000000000003E-5</v>
      </c>
      <c r="W13">
        <f t="shared" si="3"/>
        <v>-1.4324287589336579E-2</v>
      </c>
      <c r="X13" s="8">
        <f t="shared" si="4"/>
        <v>4.6298419217712681</v>
      </c>
      <c r="Y13">
        <f t="shared" si="0"/>
        <v>-1432.4287589336579</v>
      </c>
      <c r="Z13">
        <f t="shared" si="8"/>
        <v>57.32060323322073</v>
      </c>
      <c r="AA13">
        <f t="shared" si="9"/>
        <v>0.66591863130165507</v>
      </c>
      <c r="AB13">
        <f t="shared" si="5"/>
        <v>519.3880764726523</v>
      </c>
      <c r="AC13">
        <f t="shared" si="6"/>
        <v>4.6341089456880029</v>
      </c>
      <c r="AD13">
        <f>SUM($AB$7:AB13)</f>
        <v>2506.6725899717408</v>
      </c>
      <c r="AE13" s="27">
        <f>SUM($AC$7:AC13)</f>
        <v>34.316982985449414</v>
      </c>
    </row>
    <row r="14" spans="1:31" x14ac:dyDescent="0.25">
      <c r="A14" s="1">
        <v>70</v>
      </c>
      <c r="B14" s="8">
        <v>0.98135600000000001</v>
      </c>
      <c r="C14">
        <f t="shared" si="11"/>
        <v>-1.8998202487170806E-2</v>
      </c>
      <c r="D14">
        <f t="shared" si="12"/>
        <v>-1899.8202487170806</v>
      </c>
      <c r="E14">
        <f t="shared" si="10"/>
        <v>41.262691764353441</v>
      </c>
      <c r="F14">
        <f t="shared" si="1"/>
        <v>355.59811335189829</v>
      </c>
      <c r="G14" s="2">
        <f>SUM($F$7:F14)</f>
        <v>1928.9558897473137</v>
      </c>
      <c r="H14">
        <v>70</v>
      </c>
      <c r="I14" s="8">
        <v>0.98530399999999996</v>
      </c>
      <c r="J14">
        <f t="shared" si="13"/>
        <v>-1.4915193686415607E-2</v>
      </c>
      <c r="K14">
        <f t="shared" si="14"/>
        <v>-1491.5193686415607</v>
      </c>
      <c r="L14">
        <f t="shared" si="7"/>
        <v>40.197627315844855</v>
      </c>
      <c r="M14">
        <f t="shared" si="2"/>
        <v>366.85198320354584</v>
      </c>
      <c r="N14">
        <f>SUM($M$5:M14)</f>
        <v>1910.9569807645544</v>
      </c>
      <c r="T14" s="26">
        <v>70</v>
      </c>
      <c r="U14" s="8">
        <v>0.99042399999999997</v>
      </c>
      <c r="V14" s="8">
        <v>4.3999999999999999E-5</v>
      </c>
      <c r="W14">
        <f t="shared" si="3"/>
        <v>-9.668586383205606E-3</v>
      </c>
      <c r="X14" s="8">
        <f t="shared" si="4"/>
        <v>4.4854948790478675</v>
      </c>
      <c r="Y14">
        <f t="shared" si="0"/>
        <v>-966.85863832056054</v>
      </c>
      <c r="Z14">
        <f t="shared" si="8"/>
        <v>46.557012061309742</v>
      </c>
      <c r="AA14">
        <f t="shared" si="9"/>
        <v>0.64463245753340193</v>
      </c>
      <c r="AB14">
        <f t="shared" si="5"/>
        <v>408.98814887661587</v>
      </c>
      <c r="AC14">
        <f t="shared" si="6"/>
        <v>4.5394679591511551</v>
      </c>
      <c r="AD14">
        <f>SUM($AB$7:AB14)</f>
        <v>2915.6607388483567</v>
      </c>
      <c r="AE14" s="27">
        <f>SUM($AC$7:AC14)</f>
        <v>38.856450944600567</v>
      </c>
    </row>
    <row r="15" spans="1:31" x14ac:dyDescent="0.25">
      <c r="A15" s="1">
        <v>80</v>
      </c>
      <c r="B15" s="8">
        <v>0.97848900000000005</v>
      </c>
      <c r="C15">
        <f t="shared" si="11"/>
        <v>-2.198389557777343E-2</v>
      </c>
      <c r="D15">
        <f t="shared" si="12"/>
        <v>-2198.3895577773428</v>
      </c>
      <c r="E15">
        <f t="shared" si="10"/>
        <v>29.856930906026218</v>
      </c>
      <c r="F15">
        <f t="shared" si="1"/>
        <v>253.57662827536544</v>
      </c>
      <c r="G15" s="2">
        <f>SUM($F$7:F15)</f>
        <v>2182.5325180226791</v>
      </c>
      <c r="H15">
        <v>80</v>
      </c>
      <c r="I15" s="8">
        <v>0.98209400000000002</v>
      </c>
      <c r="J15">
        <f t="shared" si="13"/>
        <v>-1.8232470618902038E-2</v>
      </c>
      <c r="K15">
        <f t="shared" si="14"/>
        <v>-1823.2470618902039</v>
      </c>
      <c r="L15">
        <f t="shared" si="7"/>
        <v>33.172769324864319</v>
      </c>
      <c r="M15">
        <f t="shared" si="2"/>
        <v>314.08960742805141</v>
      </c>
      <c r="N15">
        <f>SUM($M$5:M15)</f>
        <v>2225.0465881926057</v>
      </c>
      <c r="T15" s="26">
        <v>80</v>
      </c>
      <c r="U15" s="8">
        <v>0.99389300000000003</v>
      </c>
      <c r="V15" s="8">
        <v>4.5000000000000003E-5</v>
      </c>
      <c r="W15">
        <f t="shared" si="3"/>
        <v>-6.1445246118042619E-3</v>
      </c>
      <c r="X15" s="8">
        <f t="shared" si="4"/>
        <v>4.5554706198284114</v>
      </c>
      <c r="Y15">
        <f t="shared" si="0"/>
        <v>-614.45246118042621</v>
      </c>
      <c r="Z15">
        <f t="shared" si="8"/>
        <v>35.240617714013432</v>
      </c>
      <c r="AA15">
        <f t="shared" si="9"/>
        <v>0.63931194950575176</v>
      </c>
      <c r="AB15">
        <f t="shared" si="5"/>
        <v>280.60992882331675</v>
      </c>
      <c r="AC15">
        <f t="shared" si="6"/>
        <v>4.5587749670507911</v>
      </c>
      <c r="AD15">
        <f>SUM($AB$7:AB15)</f>
        <v>3196.2706676716734</v>
      </c>
      <c r="AE15" s="27">
        <f>SUM($AC$7:AC15)</f>
        <v>43.415225911651362</v>
      </c>
    </row>
    <row r="16" spans="1:31" x14ac:dyDescent="0.25">
      <c r="A16" s="1">
        <v>90</v>
      </c>
      <c r="B16" s="8">
        <v>0.97649600000000003</v>
      </c>
      <c r="C16">
        <f t="shared" si="11"/>
        <v>-2.4069735052678114E-2</v>
      </c>
      <c r="D16">
        <f t="shared" si="12"/>
        <v>-2406.9735052678116</v>
      </c>
      <c r="E16">
        <f t="shared" si="10"/>
        <v>20.858394749046873</v>
      </c>
      <c r="F16">
        <f t="shared" si="1"/>
        <v>152.15825683147114</v>
      </c>
      <c r="G16" s="2">
        <f>SUM($F$7:F16)</f>
        <v>2334.6907748541503</v>
      </c>
      <c r="H16">
        <v>90</v>
      </c>
      <c r="I16" s="8">
        <v>0.97924299999999997</v>
      </c>
      <c r="J16">
        <f t="shared" si="13"/>
        <v>-2.1196985834976634E-2</v>
      </c>
      <c r="K16">
        <f t="shared" si="14"/>
        <v>-2119.6985834976635</v>
      </c>
      <c r="L16">
        <f t="shared" si="7"/>
        <v>29.645152160745965</v>
      </c>
      <c r="M16">
        <f t="shared" si="2"/>
        <v>249.47766059694595</v>
      </c>
      <c r="N16">
        <f>SUM($M$5:M16)</f>
        <v>2474.5242487895516</v>
      </c>
      <c r="T16" s="26">
        <v>90</v>
      </c>
      <c r="U16" s="8">
        <v>0.99595999999999996</v>
      </c>
      <c r="V16" s="8">
        <v>4.6E-5</v>
      </c>
      <c r="W16">
        <f t="shared" si="3"/>
        <v>-4.0563878067392707E-3</v>
      </c>
      <c r="X16" s="8">
        <f t="shared" si="4"/>
        <v>4.6373944575193793</v>
      </c>
      <c r="Y16">
        <f t="shared" si="0"/>
        <v>-405.63878067392704</v>
      </c>
      <c r="Z16">
        <f t="shared" si="8"/>
        <v>20.881368050649918</v>
      </c>
      <c r="AA16">
        <f t="shared" si="9"/>
        <v>0.65005953514083081</v>
      </c>
      <c r="AB16">
        <f t="shared" si="5"/>
        <v>157.93178101382384</v>
      </c>
      <c r="AC16">
        <f t="shared" si="6"/>
        <v>4.5895563424163957</v>
      </c>
      <c r="AD16">
        <f>SUM($AB$7:AB16)</f>
        <v>3354.2024486854971</v>
      </c>
      <c r="AE16" s="27">
        <f>SUM($AC$7:AC16)</f>
        <v>48.004782254067756</v>
      </c>
    </row>
    <row r="17" spans="1:34" x14ac:dyDescent="0.25">
      <c r="A17" s="3">
        <v>100</v>
      </c>
      <c r="B17" s="20">
        <v>0.97558400000000001</v>
      </c>
      <c r="C17" s="4">
        <f t="shared" si="11"/>
        <v>-2.5027060714402853E-2</v>
      </c>
      <c r="D17" s="4">
        <f t="shared" si="12"/>
        <v>-2502.7060714402851</v>
      </c>
      <c r="E17" s="4">
        <f t="shared" si="10"/>
        <v>9.5732566172473526</v>
      </c>
      <c r="F17" s="4">
        <f>(E17+0)/2*10</f>
        <v>47.866283086236763</v>
      </c>
      <c r="G17" s="2">
        <f>SUM($F$7:F17)</f>
        <v>2382.557057940387</v>
      </c>
      <c r="H17">
        <v>100</v>
      </c>
      <c r="I17" s="8">
        <v>0.97730499999999998</v>
      </c>
      <c r="J17">
        <f t="shared" si="13"/>
        <v>-2.3222023830840956E-2</v>
      </c>
      <c r="K17">
        <f t="shared" si="14"/>
        <v>-2322.2023830840958</v>
      </c>
      <c r="L17">
        <f t="shared" si="7"/>
        <v>20.250379958643226</v>
      </c>
      <c r="M17">
        <f t="shared" si="2"/>
        <v>101.25189979321613</v>
      </c>
      <c r="N17">
        <f>SUM($M$5:M17)</f>
        <v>2575.7761485827677</v>
      </c>
      <c r="T17" s="26">
        <v>100</v>
      </c>
      <c r="U17" s="8">
        <v>0.99702299999999999</v>
      </c>
      <c r="V17" s="8">
        <v>4.5000000000000003E-5</v>
      </c>
      <c r="W17">
        <f t="shared" si="3"/>
        <v>-2.9858889915277856E-3</v>
      </c>
      <c r="X17" s="8">
        <f t="shared" si="4"/>
        <v>4.5269131208225639</v>
      </c>
      <c r="Y17">
        <f t="shared" si="0"/>
        <v>-298.58889915277854</v>
      </c>
      <c r="Z17">
        <f t="shared" si="8"/>
        <v>10.704988152114851</v>
      </c>
      <c r="AA17">
        <f t="shared" si="9"/>
        <v>0.64806149212946562</v>
      </c>
      <c r="AB17">
        <f t="shared" si="5"/>
        <v>27.567267850308937</v>
      </c>
      <c r="AC17">
        <f t="shared" si="6"/>
        <v>3.5877148982223552</v>
      </c>
      <c r="AD17">
        <f>SUM($AB$7:AB17)</f>
        <v>3381.7697165358059</v>
      </c>
      <c r="AE17" s="27">
        <f>SUM($AC$7:AC17)</f>
        <v>51.592497152290107</v>
      </c>
    </row>
    <row r="18" spans="1:34" ht="15.75" thickBot="1" x14ac:dyDescent="0.3">
      <c r="T18" s="28">
        <v>105</v>
      </c>
      <c r="U18" s="29">
        <v>0.99700699999999998</v>
      </c>
      <c r="V18" s="29">
        <v>4.5000000000000003E-5</v>
      </c>
      <c r="W18" s="30">
        <f t="shared" si="3"/>
        <v>-3.0019849409282217E-3</v>
      </c>
      <c r="X18" s="29">
        <f t="shared" si="4"/>
        <v>4.5270584180794886</v>
      </c>
      <c r="Y18" s="30">
        <f t="shared" si="0"/>
        <v>-300.19849409282216</v>
      </c>
      <c r="Z18" s="30">
        <f t="shared" si="8"/>
        <v>0.32191898800872421</v>
      </c>
      <c r="AA18" s="30">
        <f t="shared" si="9"/>
        <v>1.2804249345304057</v>
      </c>
      <c r="AB18" s="30">
        <f>(Z18+U19)/2*5</f>
        <v>0.80479747002181057</v>
      </c>
      <c r="AC18" s="30">
        <f>SQRT((AA18*5/2)^2+(AA19*5/2)^2)</f>
        <v>3.2010623363260144</v>
      </c>
      <c r="AD18" s="30">
        <f>SUM($AB$7:AB18)</f>
        <v>3382.5745140058275</v>
      </c>
      <c r="AE18" s="31">
        <f>SUM($AC$7:AC18)</f>
        <v>54.793559488616125</v>
      </c>
    </row>
    <row r="20" spans="1:34" ht="15.75" thickBot="1" x14ac:dyDescent="0.3"/>
    <row r="21" spans="1:34" ht="28.5" x14ac:dyDescent="0.45">
      <c r="A21" s="49" t="s">
        <v>10</v>
      </c>
      <c r="B21" s="50"/>
      <c r="C21" s="50"/>
      <c r="D21" s="50"/>
      <c r="E21" s="50"/>
      <c r="F21" s="5"/>
      <c r="G21" s="5"/>
      <c r="H21" s="5"/>
      <c r="I21" s="6"/>
      <c r="J21" s="49" t="s">
        <v>11</v>
      </c>
      <c r="K21" s="50"/>
      <c r="L21" s="50"/>
      <c r="M21" s="50"/>
      <c r="N21" s="50"/>
      <c r="O21" s="5"/>
      <c r="P21" s="5"/>
      <c r="Q21" s="5"/>
      <c r="R21" s="6"/>
      <c r="T21" s="51" t="s">
        <v>94</v>
      </c>
      <c r="U21" s="52"/>
      <c r="V21" s="52"/>
      <c r="W21" s="52"/>
      <c r="X21" s="52"/>
      <c r="Y21" s="24"/>
      <c r="Z21" s="24"/>
      <c r="AA21" s="24"/>
      <c r="AB21" s="24"/>
      <c r="AC21" s="24"/>
      <c r="AD21" s="24"/>
      <c r="AE21" s="25"/>
      <c r="AF21" s="32"/>
      <c r="AG21" s="32"/>
      <c r="AH21" s="32"/>
    </row>
    <row r="22" spans="1:34" x14ac:dyDescent="0.25">
      <c r="A22" s="1" t="s">
        <v>3</v>
      </c>
      <c r="B22" t="s">
        <v>12</v>
      </c>
      <c r="C22" t="s">
        <v>13</v>
      </c>
      <c r="D22" t="s">
        <v>14</v>
      </c>
      <c r="E22" t="s">
        <v>15</v>
      </c>
      <c r="F22" t="s">
        <v>3</v>
      </c>
      <c r="G22" t="s">
        <v>31</v>
      </c>
      <c r="H22" t="s">
        <v>5</v>
      </c>
      <c r="I22" s="2" t="s">
        <v>16</v>
      </c>
      <c r="J22" s="1" t="s">
        <v>3</v>
      </c>
      <c r="K22" t="s">
        <v>12</v>
      </c>
      <c r="L22" t="s">
        <v>13</v>
      </c>
      <c r="M22" t="s">
        <v>14</v>
      </c>
      <c r="N22" t="s">
        <v>15</v>
      </c>
      <c r="O22" t="s">
        <v>3</v>
      </c>
      <c r="P22" t="s">
        <v>31</v>
      </c>
      <c r="Q22" t="s">
        <v>5</v>
      </c>
      <c r="R22" s="2" t="s">
        <v>16</v>
      </c>
      <c r="T22" s="26"/>
      <c r="AE22" s="27"/>
    </row>
    <row r="23" spans="1:34" x14ac:dyDescent="0.25">
      <c r="A23" s="1">
        <v>0.14285714285714199</v>
      </c>
      <c r="B23">
        <v>0.151968503937007</v>
      </c>
      <c r="C23">
        <f>B23/100</f>
        <v>1.5196850393700701E-3</v>
      </c>
      <c r="D23">
        <f>C23*0.0077</f>
        <v>1.1701574803149541E-5</v>
      </c>
      <c r="E23">
        <f>D23*10^5</f>
        <v>1.1701574803149541</v>
      </c>
      <c r="F23">
        <v>-21.285714285714199</v>
      </c>
      <c r="G23">
        <v>-6.7716535433070796E-2</v>
      </c>
      <c r="H23">
        <f>G23*0.0077</f>
        <v>-5.2141732283464512E-4</v>
      </c>
      <c r="I23" s="2">
        <f>H23*10^5</f>
        <v>-52.141732283464513</v>
      </c>
      <c r="J23" s="1">
        <v>6.0260809883321897</v>
      </c>
      <c r="K23">
        <v>0.66194736842105195</v>
      </c>
      <c r="L23">
        <f>K23/100</f>
        <v>6.6194736842105197E-3</v>
      </c>
      <c r="M23">
        <f>L23*0.0077</f>
        <v>5.0969947368421002E-5</v>
      </c>
      <c r="N23">
        <f>M23*10^5</f>
        <v>5.0969947368420998</v>
      </c>
      <c r="O23">
        <v>7.0967741935483799</v>
      </c>
      <c r="P23">
        <v>0.397631578947368</v>
      </c>
      <c r="Q23">
        <f>P23*0.0077</f>
        <v>3.0617631578947336E-3</v>
      </c>
      <c r="R23" s="2">
        <f>Q23*10^5</f>
        <v>306.17631578947339</v>
      </c>
      <c r="T23" s="26"/>
      <c r="AE23" s="27"/>
    </row>
    <row r="24" spans="1:34" x14ac:dyDescent="0.25">
      <c r="A24" s="1">
        <v>10.285714285714199</v>
      </c>
      <c r="B24">
        <v>0.47086614173228297</v>
      </c>
      <c r="C24">
        <f t="shared" ref="C24:C33" si="15">B24/100</f>
        <v>4.7086614173228293E-3</v>
      </c>
      <c r="D24">
        <f t="shared" ref="D24:D33" si="16">C24*0.0077</f>
        <v>3.6256692913385788E-5</v>
      </c>
      <c r="E24">
        <f t="shared" ref="E24:E33" si="17">D24*10^5</f>
        <v>3.6256692913385788</v>
      </c>
      <c r="F24">
        <v>0.28571428571428398</v>
      </c>
      <c r="G24">
        <v>-2.51968503937007E-2</v>
      </c>
      <c r="H24">
        <f t="shared" ref="H24:H41" si="18">G24*0.0077</f>
        <v>-1.9401574803149541E-4</v>
      </c>
      <c r="I24" s="2">
        <f t="shared" ref="I24:I42" si="19">H24*10^5</f>
        <v>-19.40157480314954</v>
      </c>
      <c r="J24" s="1">
        <v>14.5916266300617</v>
      </c>
      <c r="K24">
        <v>1.1223684210526299</v>
      </c>
      <c r="L24">
        <f t="shared" ref="L24:L33" si="20">K24/100</f>
        <v>1.1223684210526299E-2</v>
      </c>
      <c r="M24">
        <f t="shared" ref="M24:M33" si="21">L24*0.0077</f>
        <v>8.6422368421052502E-5</v>
      </c>
      <c r="N24">
        <f t="shared" ref="N24:N33" si="22">M24*10^5</f>
        <v>8.64223684210525</v>
      </c>
      <c r="O24">
        <v>13.356211393273799</v>
      </c>
      <c r="P24">
        <v>0.48289473684210499</v>
      </c>
      <c r="Q24">
        <f t="shared" ref="Q24:Q39" si="23">P24*0.0077</f>
        <v>3.7182894736842087E-3</v>
      </c>
      <c r="R24" s="2">
        <f t="shared" ref="R24:R39" si="24">Q24*10^5</f>
        <v>371.82894736842087</v>
      </c>
      <c r="T24" s="26" t="s">
        <v>3</v>
      </c>
      <c r="U24" t="s">
        <v>4</v>
      </c>
      <c r="V24" t="s">
        <v>124</v>
      </c>
      <c r="W24" t="s">
        <v>5</v>
      </c>
      <c r="X24" t="s">
        <v>127</v>
      </c>
      <c r="Y24" t="s">
        <v>6</v>
      </c>
      <c r="Z24" t="s">
        <v>7</v>
      </c>
      <c r="AA24" t="s">
        <v>126</v>
      </c>
      <c r="AB24" t="s">
        <v>8</v>
      </c>
      <c r="AC24" t="s">
        <v>125</v>
      </c>
      <c r="AD24" t="s">
        <v>9</v>
      </c>
      <c r="AE24" s="27" t="s">
        <v>128</v>
      </c>
    </row>
    <row r="25" spans="1:34" x14ac:dyDescent="0.25">
      <c r="A25" s="1">
        <v>20.428571428571399</v>
      </c>
      <c r="B25">
        <v>1.0803149606299201</v>
      </c>
      <c r="C25">
        <f t="shared" si="15"/>
        <v>1.08031496062992E-2</v>
      </c>
      <c r="D25">
        <f t="shared" si="16"/>
        <v>8.3184251968503837E-5</v>
      </c>
      <c r="E25">
        <f t="shared" si="17"/>
        <v>8.3184251968503844</v>
      </c>
      <c r="F25">
        <v>15</v>
      </c>
      <c r="G25">
        <v>8.1102362204724401E-2</v>
      </c>
      <c r="H25">
        <f t="shared" si="18"/>
        <v>6.2448818897637792E-4</v>
      </c>
      <c r="I25" s="2">
        <f t="shared" si="19"/>
        <v>62.448818897637793</v>
      </c>
      <c r="J25" s="1">
        <v>23.1571722717913</v>
      </c>
      <c r="K25">
        <v>1.7618421052631501</v>
      </c>
      <c r="L25">
        <f t="shared" si="20"/>
        <v>1.7618421052631502E-2</v>
      </c>
      <c r="M25">
        <f t="shared" si="21"/>
        <v>1.3566184210526256E-4</v>
      </c>
      <c r="N25">
        <f t="shared" si="22"/>
        <v>13.566184210526256</v>
      </c>
      <c r="O25">
        <v>21.921757035003399</v>
      </c>
      <c r="P25">
        <v>0.68752631578947299</v>
      </c>
      <c r="Q25">
        <f t="shared" si="23"/>
        <v>5.2939526315789421E-3</v>
      </c>
      <c r="R25" s="2">
        <f t="shared" si="24"/>
        <v>529.39526315789419</v>
      </c>
      <c r="T25" s="26">
        <v>-20</v>
      </c>
      <c r="U25" s="8">
        <v>0.96533199999999997</v>
      </c>
      <c r="V25" s="8">
        <v>4.5000000000000003E-5</v>
      </c>
      <c r="W25" s="8">
        <f t="shared" ref="W25:W38" si="25">(U25-1)/U25</f>
        <v>-3.5913033029051182E-2</v>
      </c>
      <c r="X25" s="8">
        <f>V25/U25^2*10^5</f>
        <v>4.829021153997517</v>
      </c>
      <c r="Y25">
        <f t="shared" ref="Y25:Y38" si="26">W25*10^5</f>
        <v>-3591.303302905118</v>
      </c>
      <c r="Z25">
        <v>0</v>
      </c>
      <c r="AB25">
        <f t="shared" ref="AB25:AB37" si="27">(Z25+Z26)/2*ABS(T26-T25)</f>
        <v>27.6715966199165</v>
      </c>
      <c r="AC25">
        <f>SQRT((AA25*ABS(T26-T25)/2)^2+(AA26*ABS(T26-T25)/2)^2)</f>
        <v>3.4508982610787733</v>
      </c>
      <c r="AE25" s="27"/>
    </row>
    <row r="26" spans="1:34" x14ac:dyDescent="0.25">
      <c r="A26" s="1">
        <v>30.714285714285701</v>
      </c>
      <c r="B26">
        <v>1.7748031496062899</v>
      </c>
      <c r="C26">
        <f t="shared" si="15"/>
        <v>1.77480314960629E-2</v>
      </c>
      <c r="D26">
        <f t="shared" si="16"/>
        <v>1.3665984251968433E-4</v>
      </c>
      <c r="E26">
        <f t="shared" si="17"/>
        <v>13.665984251968434</v>
      </c>
      <c r="F26">
        <v>19.428571428571399</v>
      </c>
      <c r="G26">
        <v>0.180314960629921</v>
      </c>
      <c r="H26">
        <f t="shared" si="18"/>
        <v>1.3884251968503917E-3</v>
      </c>
      <c r="I26" s="2">
        <f t="shared" si="19"/>
        <v>138.84251968503918</v>
      </c>
      <c r="J26" s="1">
        <v>32.052161976664301</v>
      </c>
      <c r="K26">
        <v>2.4780526315789402</v>
      </c>
      <c r="L26">
        <f t="shared" si="20"/>
        <v>2.4780526315789402E-2</v>
      </c>
      <c r="M26">
        <f t="shared" si="21"/>
        <v>1.908100526315784E-4</v>
      </c>
      <c r="N26">
        <f t="shared" si="22"/>
        <v>19.081005263157842</v>
      </c>
      <c r="O26">
        <v>23.1571722717913</v>
      </c>
      <c r="P26">
        <v>0.71736842105263099</v>
      </c>
      <c r="Q26">
        <f t="shared" si="23"/>
        <v>5.5237368421052584E-3</v>
      </c>
      <c r="R26" s="2">
        <f t="shared" si="24"/>
        <v>552.37368421052588</v>
      </c>
      <c r="T26" s="26">
        <v>-10</v>
      </c>
      <c r="U26" s="8">
        <v>0.96584800000000004</v>
      </c>
      <c r="V26" s="8">
        <v>4.6E-5</v>
      </c>
      <c r="W26">
        <f t="shared" si="25"/>
        <v>-3.535960109665285E-2</v>
      </c>
      <c r="X26" s="8">
        <f t="shared" ref="X26:X38" si="28">V26/U26^2*10^5</f>
        <v>4.9310597164818928</v>
      </c>
      <c r="Y26">
        <f t="shared" si="26"/>
        <v>-3535.960109665285</v>
      </c>
      <c r="Z26">
        <f t="shared" ref="Z26:Z38" si="29">ABS(Y26-Y25)/ABS(T26-T25)</f>
        <v>5.5343193239832997</v>
      </c>
      <c r="AA26">
        <f>SQRT((X26/ABS(T26-T25))^2+(X25/ABS(T26-T25))^2)</f>
        <v>0.69017965221575461</v>
      </c>
      <c r="AB26">
        <f t="shared" si="27"/>
        <v>75.223323553320824</v>
      </c>
      <c r="AC26">
        <f t="shared" ref="AC26:AC37" si="30">SQRT((AA26*ABS(T27-T26)/2)^2+(AA27*ABS(T27-T26)/2)^2)</f>
        <v>4.9305435130579713</v>
      </c>
      <c r="AE26" s="27"/>
    </row>
    <row r="27" spans="1:34" x14ac:dyDescent="0.25">
      <c r="A27" s="1">
        <v>40.857142857142797</v>
      </c>
      <c r="B27">
        <v>2.3629921259842499</v>
      </c>
      <c r="C27">
        <f t="shared" si="15"/>
        <v>2.36299212598425E-2</v>
      </c>
      <c r="D27">
        <f t="shared" si="16"/>
        <v>1.8195039370078725E-4</v>
      </c>
      <c r="E27">
        <f t="shared" si="17"/>
        <v>18.195039370078725</v>
      </c>
      <c r="F27">
        <v>23.285714285714199</v>
      </c>
      <c r="G27">
        <v>0.26535433070866099</v>
      </c>
      <c r="H27">
        <f t="shared" si="18"/>
        <v>2.0432283464566895E-3</v>
      </c>
      <c r="I27" s="2">
        <f t="shared" si="19"/>
        <v>204.32283464566896</v>
      </c>
      <c r="J27" s="1">
        <v>40.864790665751499</v>
      </c>
      <c r="K27">
        <v>3.0450526315789399</v>
      </c>
      <c r="L27">
        <f t="shared" si="20"/>
        <v>3.04505263157894E-2</v>
      </c>
      <c r="M27">
        <f t="shared" si="21"/>
        <v>2.3446905263157838E-4</v>
      </c>
      <c r="N27">
        <f t="shared" si="22"/>
        <v>23.446905263157838</v>
      </c>
      <c r="O27">
        <v>26.6163349347975</v>
      </c>
      <c r="P27">
        <v>0.85378947368420999</v>
      </c>
      <c r="Q27">
        <f t="shared" si="23"/>
        <v>6.5741789473684172E-3</v>
      </c>
      <c r="R27" s="2">
        <f t="shared" si="24"/>
        <v>657.41789473684173</v>
      </c>
      <c r="T27" s="26">
        <v>0</v>
      </c>
      <c r="U27" s="8">
        <v>0.96673600000000004</v>
      </c>
      <c r="V27" s="8">
        <v>4.6999999999999997E-5</v>
      </c>
      <c r="W27">
        <f t="shared" si="25"/>
        <v>-3.4408566557984764E-2</v>
      </c>
      <c r="X27" s="8">
        <f t="shared" si="28"/>
        <v>5.02900508807216</v>
      </c>
      <c r="Y27">
        <f t="shared" si="26"/>
        <v>-3440.8566557984764</v>
      </c>
      <c r="Z27">
        <f t="shared" si="29"/>
        <v>9.5103453866808643</v>
      </c>
      <c r="AA27">
        <f t="shared" ref="AA27:AA38" si="31">SQRT((X27/ABS(T27-T26))^2+(X26/ABS(T27-T26))^2)</f>
        <v>0.70431698902813755</v>
      </c>
      <c r="AB27">
        <f t="shared" si="27"/>
        <v>135.78304289114931</v>
      </c>
      <c r="AC27">
        <f t="shared" si="30"/>
        <v>5.0273289162865797</v>
      </c>
      <c r="AD27">
        <f>SUM($AB$27:AB27)</f>
        <v>135.78304289114931</v>
      </c>
      <c r="AE27" s="27">
        <f>SUM($AC$27:AC27)</f>
        <v>5.0273289162865797</v>
      </c>
    </row>
    <row r="28" spans="1:34" x14ac:dyDescent="0.25">
      <c r="A28" s="1">
        <v>50.428571428571402</v>
      </c>
      <c r="B28">
        <v>2.9157480314960602</v>
      </c>
      <c r="C28">
        <f t="shared" si="15"/>
        <v>2.9157480314960602E-2</v>
      </c>
      <c r="D28">
        <f t="shared" si="16"/>
        <v>2.2451259842519664E-4</v>
      </c>
      <c r="E28">
        <f t="shared" si="17"/>
        <v>22.451259842519665</v>
      </c>
      <c r="F28">
        <v>26.285714285714199</v>
      </c>
      <c r="G28">
        <v>0.35748031496062899</v>
      </c>
      <c r="H28">
        <f t="shared" si="18"/>
        <v>2.7525984251968432E-3</v>
      </c>
      <c r="I28" s="2">
        <f t="shared" si="19"/>
        <v>275.2598425196843</v>
      </c>
      <c r="J28" s="1">
        <v>49.018531228551801</v>
      </c>
      <c r="K28">
        <v>3.09621052631578</v>
      </c>
      <c r="L28">
        <f t="shared" si="20"/>
        <v>3.0962105263157801E-2</v>
      </c>
      <c r="M28">
        <f t="shared" si="21"/>
        <v>2.3840821052631509E-4</v>
      </c>
      <c r="N28">
        <f t="shared" si="22"/>
        <v>23.840821052631508</v>
      </c>
      <c r="O28">
        <v>30.404941660947099</v>
      </c>
      <c r="P28">
        <v>1.0157894736842099</v>
      </c>
      <c r="Q28">
        <f t="shared" si="23"/>
        <v>7.8215789473684173E-3</v>
      </c>
      <c r="R28" s="2">
        <f t="shared" si="24"/>
        <v>782.15789473684174</v>
      </c>
      <c r="T28" s="26">
        <v>10</v>
      </c>
      <c r="U28" s="8">
        <v>0.96838800000000003</v>
      </c>
      <c r="V28" s="8">
        <v>4.8000000000000001E-5</v>
      </c>
      <c r="W28">
        <f t="shared" si="25"/>
        <v>-3.2643940238829862E-2</v>
      </c>
      <c r="X28" s="8">
        <f t="shared" si="28"/>
        <v>5.1184968350974849</v>
      </c>
      <c r="Y28">
        <f t="shared" si="26"/>
        <v>-3264.3940238829864</v>
      </c>
      <c r="Z28">
        <f t="shared" si="29"/>
        <v>17.646263191548996</v>
      </c>
      <c r="AA28">
        <f t="shared" si="31"/>
        <v>0.71756464535788445</v>
      </c>
      <c r="AB28">
        <f t="shared" si="27"/>
        <v>241.22489650145235</v>
      </c>
      <c r="AC28">
        <f t="shared" si="30"/>
        <v>5.0110795523253957</v>
      </c>
      <c r="AD28">
        <f>SUM($AB$27:AB28)</f>
        <v>377.00793939260166</v>
      </c>
      <c r="AE28" s="27">
        <f>SUM($AC$27:AC28)</f>
        <v>10.038408468611976</v>
      </c>
    </row>
    <row r="29" spans="1:34" x14ac:dyDescent="0.25">
      <c r="A29" s="1">
        <v>60.571428571428498</v>
      </c>
      <c r="B29">
        <v>2.4551181102362198</v>
      </c>
      <c r="C29">
        <f t="shared" si="15"/>
        <v>2.4551181102362197E-2</v>
      </c>
      <c r="D29">
        <f t="shared" si="16"/>
        <v>1.8904409448818892E-4</v>
      </c>
      <c r="E29">
        <f t="shared" si="17"/>
        <v>18.904409448818893</v>
      </c>
      <c r="F29">
        <v>31.857142857142801</v>
      </c>
      <c r="G29">
        <v>0.52755905511810997</v>
      </c>
      <c r="H29">
        <f t="shared" si="18"/>
        <v>4.0622047244094472E-3</v>
      </c>
      <c r="I29" s="2">
        <f t="shared" si="19"/>
        <v>406.22047244094472</v>
      </c>
      <c r="J29" s="1">
        <v>57.8311599176389</v>
      </c>
      <c r="K29">
        <v>2.8660000000000001</v>
      </c>
      <c r="L29">
        <f t="shared" si="20"/>
        <v>2.8660000000000001E-2</v>
      </c>
      <c r="M29">
        <f t="shared" si="21"/>
        <v>2.2068200000000001E-4</v>
      </c>
      <c r="N29">
        <f t="shared" si="22"/>
        <v>22.068200000000001</v>
      </c>
      <c r="O29">
        <v>41.606039807824203</v>
      </c>
      <c r="P29">
        <v>1.59984210526315</v>
      </c>
      <c r="Q29">
        <f t="shared" si="23"/>
        <v>1.2318784210526255E-2</v>
      </c>
      <c r="R29" s="2">
        <f t="shared" si="24"/>
        <v>1231.8784210526255</v>
      </c>
      <c r="T29" s="26">
        <v>20</v>
      </c>
      <c r="U29" s="8">
        <v>0.97126599999999996</v>
      </c>
      <c r="V29" s="8">
        <v>4.5000000000000003E-5</v>
      </c>
      <c r="W29">
        <f t="shared" si="25"/>
        <v>-2.9584068627955717E-2</v>
      </c>
      <c r="X29" s="8">
        <f t="shared" si="28"/>
        <v>4.7701950946762279</v>
      </c>
      <c r="Y29">
        <f t="shared" si="26"/>
        <v>-2958.4068627955717</v>
      </c>
      <c r="Z29">
        <f t="shared" si="29"/>
        <v>30.598716108741474</v>
      </c>
      <c r="AA29">
        <f t="shared" si="31"/>
        <v>0.69966971559569524</v>
      </c>
      <c r="AB29">
        <f t="shared" si="27"/>
        <v>371.54376668079817</v>
      </c>
      <c r="AC29">
        <f t="shared" si="30"/>
        <v>4.8755676490032211</v>
      </c>
      <c r="AD29">
        <f>SUM($AB$27:AB29)</f>
        <v>748.55170607339983</v>
      </c>
      <c r="AE29" s="27">
        <f>SUM($AC$27:AC29)</f>
        <v>14.913976117615197</v>
      </c>
    </row>
    <row r="30" spans="1:34" x14ac:dyDescent="0.25">
      <c r="A30" s="1">
        <v>70.428571428571402</v>
      </c>
      <c r="B30">
        <v>2.0157480314960599</v>
      </c>
      <c r="C30">
        <f t="shared" si="15"/>
        <v>2.0157480314960598E-2</v>
      </c>
      <c r="D30">
        <f t="shared" si="16"/>
        <v>1.5521259842519661E-4</v>
      </c>
      <c r="E30">
        <f t="shared" si="17"/>
        <v>15.52125984251966</v>
      </c>
      <c r="F30">
        <v>37.285714285714199</v>
      </c>
      <c r="G30">
        <v>0.78267716535432996</v>
      </c>
      <c r="H30">
        <f t="shared" si="18"/>
        <v>6.026614173228341E-3</v>
      </c>
      <c r="I30" s="2">
        <f t="shared" si="19"/>
        <v>602.66141732283415</v>
      </c>
      <c r="J30" s="1">
        <v>66.314344543582706</v>
      </c>
      <c r="K30">
        <v>2.37573684210526</v>
      </c>
      <c r="L30">
        <f t="shared" si="20"/>
        <v>2.37573684210526E-2</v>
      </c>
      <c r="M30">
        <f t="shared" si="21"/>
        <v>1.8293173684210502E-4</v>
      </c>
      <c r="N30">
        <f t="shared" si="22"/>
        <v>18.293173684210501</v>
      </c>
      <c r="O30">
        <v>43.5003431708991</v>
      </c>
      <c r="P30">
        <v>1.7277368421052599</v>
      </c>
      <c r="Q30">
        <f t="shared" si="23"/>
        <v>1.3303573684210502E-2</v>
      </c>
      <c r="R30" s="2">
        <f t="shared" si="24"/>
        <v>1330.3573684210501</v>
      </c>
      <c r="T30" s="26">
        <v>30</v>
      </c>
      <c r="U30" s="8">
        <v>0.97540700000000002</v>
      </c>
      <c r="V30" s="8">
        <v>4.6E-5</v>
      </c>
      <c r="W30">
        <f t="shared" si="25"/>
        <v>-2.5213064905213901E-2</v>
      </c>
      <c r="X30" s="8">
        <f t="shared" si="28"/>
        <v>4.8348844108807754</v>
      </c>
      <c r="Y30">
        <f t="shared" si="26"/>
        <v>-2521.3064905213901</v>
      </c>
      <c r="Z30">
        <f t="shared" si="29"/>
        <v>43.710037227418162</v>
      </c>
      <c r="AA30">
        <f t="shared" si="31"/>
        <v>0.67919708853801108</v>
      </c>
      <c r="AB30">
        <f t="shared" si="27"/>
        <v>494.64053735084718</v>
      </c>
      <c r="AC30">
        <f t="shared" si="30"/>
        <v>4.7801595227915357</v>
      </c>
      <c r="AD30">
        <f>SUM($AB$27:AB30)</f>
        <v>1243.192243424247</v>
      </c>
      <c r="AE30" s="27">
        <f>SUM($AC$27:AC30)</f>
        <v>19.694135640406735</v>
      </c>
    </row>
    <row r="31" spans="1:34" x14ac:dyDescent="0.25">
      <c r="A31" s="1">
        <v>80.428571428571402</v>
      </c>
      <c r="B31">
        <v>1.68267716535433</v>
      </c>
      <c r="C31">
        <f t="shared" si="15"/>
        <v>1.68267716535433E-2</v>
      </c>
      <c r="D31">
        <f t="shared" si="16"/>
        <v>1.2956614173228342E-4</v>
      </c>
      <c r="E31">
        <f t="shared" si="17"/>
        <v>12.956614173228342</v>
      </c>
      <c r="F31">
        <v>40.142857142857103</v>
      </c>
      <c r="G31">
        <v>0.93858267716535404</v>
      </c>
      <c r="H31">
        <f t="shared" si="18"/>
        <v>7.2270866141732259E-3</v>
      </c>
      <c r="I31" s="2">
        <f t="shared" si="19"/>
        <v>722.70866141732256</v>
      </c>
      <c r="J31" s="1">
        <v>74.797529169526399</v>
      </c>
      <c r="K31">
        <v>1.6552631578947301</v>
      </c>
      <c r="L31">
        <f t="shared" si="20"/>
        <v>1.6552631578947301E-2</v>
      </c>
      <c r="M31">
        <f t="shared" si="21"/>
        <v>1.2745526315789422E-4</v>
      </c>
      <c r="N31">
        <f t="shared" si="22"/>
        <v>12.745526315789421</v>
      </c>
      <c r="O31">
        <v>47.371310912834502</v>
      </c>
      <c r="P31">
        <v>1.97926315789473</v>
      </c>
      <c r="Q31">
        <f t="shared" si="23"/>
        <v>1.5240326315789421E-2</v>
      </c>
      <c r="R31" s="2">
        <f t="shared" si="24"/>
        <v>1524.0326315789421</v>
      </c>
      <c r="T31" s="26">
        <v>40</v>
      </c>
      <c r="U31" s="8">
        <v>0.98068900000000003</v>
      </c>
      <c r="V31" s="8">
        <v>4.5000000000000003E-5</v>
      </c>
      <c r="W31">
        <f t="shared" si="25"/>
        <v>-1.9691257880938774E-2</v>
      </c>
      <c r="X31" s="8">
        <f t="shared" si="28"/>
        <v>4.6789661762946508</v>
      </c>
      <c r="Y31">
        <f t="shared" si="26"/>
        <v>-1969.1257880938774</v>
      </c>
      <c r="Z31">
        <f t="shared" si="29"/>
        <v>55.218070242751267</v>
      </c>
      <c r="AA31">
        <f t="shared" si="31"/>
        <v>0.6728211630551415</v>
      </c>
      <c r="AB31">
        <f t="shared" si="27"/>
        <v>562.59163494830216</v>
      </c>
      <c r="AC31">
        <f t="shared" si="30"/>
        <v>4.7831846148873511</v>
      </c>
      <c r="AD31">
        <f>SUM($AB$27:AB31)</f>
        <v>1805.7838783725492</v>
      </c>
      <c r="AE31" s="27">
        <f>SUM($AC$27:AC31)</f>
        <v>24.477320255294085</v>
      </c>
    </row>
    <row r="32" spans="1:34" x14ac:dyDescent="0.25">
      <c r="A32" s="1">
        <v>90.142857142857096</v>
      </c>
      <c r="B32">
        <v>0.93149606299212595</v>
      </c>
      <c r="C32">
        <f t="shared" si="15"/>
        <v>9.3149606299212599E-3</v>
      </c>
      <c r="D32">
        <f t="shared" si="16"/>
        <v>7.1725196850393701E-5</v>
      </c>
      <c r="E32">
        <f t="shared" si="17"/>
        <v>7.1725196850393704</v>
      </c>
      <c r="F32">
        <v>43.857142857142797</v>
      </c>
      <c r="G32">
        <v>1.1299212598425099</v>
      </c>
      <c r="H32">
        <f t="shared" si="18"/>
        <v>8.7003937007873264E-3</v>
      </c>
      <c r="I32" s="2">
        <f t="shared" si="19"/>
        <v>870.03937007873265</v>
      </c>
      <c r="J32" s="1">
        <v>83.115991763898407</v>
      </c>
      <c r="K32">
        <v>1.11384210526315</v>
      </c>
      <c r="L32">
        <f t="shared" si="20"/>
        <v>1.1138421052631499E-2</v>
      </c>
      <c r="M32">
        <f t="shared" si="21"/>
        <v>8.5765842105262546E-5</v>
      </c>
      <c r="N32">
        <f t="shared" si="22"/>
        <v>8.5765842105262546</v>
      </c>
      <c r="O32">
        <v>55.525051475634797</v>
      </c>
      <c r="P32">
        <v>2.43542105263157</v>
      </c>
      <c r="Q32">
        <f t="shared" si="23"/>
        <v>1.8752742105263089E-2</v>
      </c>
      <c r="R32" s="2">
        <f t="shared" si="24"/>
        <v>1875.2742105263089</v>
      </c>
      <c r="T32" s="26">
        <v>50</v>
      </c>
      <c r="U32" s="8">
        <v>0.98623099999999997</v>
      </c>
      <c r="V32" s="8">
        <v>4.8000000000000001E-5</v>
      </c>
      <c r="W32">
        <f t="shared" si="25"/>
        <v>-1.3961232206247858E-2</v>
      </c>
      <c r="X32" s="8">
        <f t="shared" si="28"/>
        <v>4.9349634260026196</v>
      </c>
      <c r="Y32">
        <f t="shared" si="26"/>
        <v>-1396.1232206247857</v>
      </c>
      <c r="Z32">
        <f t="shared" si="29"/>
        <v>57.30025674690917</v>
      </c>
      <c r="AA32">
        <f t="shared" si="31"/>
        <v>0.68004844308985002</v>
      </c>
      <c r="AB32">
        <f t="shared" si="27"/>
        <v>543.55718109863449</v>
      </c>
      <c r="AC32">
        <f t="shared" si="30"/>
        <v>4.7847254228560407</v>
      </c>
      <c r="AD32">
        <f>SUM($AB$27:AB32)</f>
        <v>2349.3410594711836</v>
      </c>
      <c r="AE32" s="27">
        <f>SUM($AC$27:AC32)</f>
        <v>29.262045678150127</v>
      </c>
    </row>
    <row r="33" spans="1:34" x14ac:dyDescent="0.25">
      <c r="A33" s="1">
        <v>100.142857142857</v>
      </c>
      <c r="B33">
        <v>0.32913385826771602</v>
      </c>
      <c r="C33">
        <f t="shared" si="15"/>
        <v>3.29133858267716E-3</v>
      </c>
      <c r="D33">
        <f t="shared" si="16"/>
        <v>2.5343307086614134E-5</v>
      </c>
      <c r="E33">
        <f t="shared" si="17"/>
        <v>2.5343307086614133</v>
      </c>
      <c r="F33">
        <v>47.428571428571402</v>
      </c>
      <c r="G33">
        <v>1.2929133858267701</v>
      </c>
      <c r="H33">
        <f t="shared" si="18"/>
        <v>9.9554330708661303E-3</v>
      </c>
      <c r="I33" s="2">
        <f t="shared" si="19"/>
        <v>995.54330708661303</v>
      </c>
      <c r="J33" s="1">
        <v>91.928620452985498</v>
      </c>
      <c r="K33">
        <v>0.61931578947368404</v>
      </c>
      <c r="L33">
        <f t="shared" si="20"/>
        <v>6.1931578947368405E-3</v>
      </c>
      <c r="M33">
        <f t="shared" si="21"/>
        <v>4.7687315789473671E-5</v>
      </c>
      <c r="N33">
        <f t="shared" si="22"/>
        <v>4.7687315789473672</v>
      </c>
      <c r="O33">
        <v>65.573095401509903</v>
      </c>
      <c r="P33">
        <v>3.0024210526315702</v>
      </c>
      <c r="Q33">
        <f t="shared" si="23"/>
        <v>2.3118642105263092E-2</v>
      </c>
      <c r="R33" s="2">
        <f t="shared" si="24"/>
        <v>2311.8642105263093</v>
      </c>
      <c r="T33" s="26">
        <v>60</v>
      </c>
      <c r="U33" s="8">
        <v>0.99125700000000005</v>
      </c>
      <c r="V33" s="8">
        <v>4.5000000000000003E-5</v>
      </c>
      <c r="W33">
        <f t="shared" si="25"/>
        <v>-8.8201142589660851E-3</v>
      </c>
      <c r="X33" s="8">
        <f t="shared" si="28"/>
        <v>4.5797311032006309</v>
      </c>
      <c r="Y33">
        <f t="shared" si="26"/>
        <v>-882.01142589660856</v>
      </c>
      <c r="Z33">
        <f t="shared" si="29"/>
        <v>51.411179472817722</v>
      </c>
      <c r="AA33">
        <f t="shared" si="31"/>
        <v>0.67325924422622507</v>
      </c>
      <c r="AB33">
        <f t="shared" si="27"/>
        <v>456.04582025167247</v>
      </c>
      <c r="AC33">
        <f t="shared" si="30"/>
        <v>4.6378686455139322</v>
      </c>
      <c r="AD33">
        <f>SUM($AB$27:AB33)</f>
        <v>2805.3868797228561</v>
      </c>
      <c r="AE33" s="27">
        <f>SUM($AC$27:AC33)</f>
        <v>33.899914323664056</v>
      </c>
    </row>
    <row r="34" spans="1:34" x14ac:dyDescent="0.25">
      <c r="A34" s="1"/>
      <c r="F34">
        <v>50.428571428571402</v>
      </c>
      <c r="G34">
        <v>1.4842519685039299</v>
      </c>
      <c r="H34">
        <f t="shared" si="18"/>
        <v>1.1428740157480261E-2</v>
      </c>
      <c r="I34" s="2">
        <f t="shared" si="19"/>
        <v>1142.8740157480261</v>
      </c>
      <c r="J34" s="1"/>
      <c r="O34">
        <v>67.467398764584701</v>
      </c>
      <c r="P34">
        <v>3.0919473684210499</v>
      </c>
      <c r="Q34">
        <f t="shared" si="23"/>
        <v>2.3807994736842086E-2</v>
      </c>
      <c r="R34" s="2">
        <f t="shared" si="24"/>
        <v>2380.7994736842088</v>
      </c>
      <c r="T34" s="26">
        <v>70</v>
      </c>
      <c r="U34" s="8">
        <v>0.99518300000000004</v>
      </c>
      <c r="V34" s="8">
        <v>4.3999999999999999E-5</v>
      </c>
      <c r="W34">
        <f t="shared" si="25"/>
        <v>-4.8403158012144095E-3</v>
      </c>
      <c r="X34" s="8">
        <f t="shared" si="28"/>
        <v>4.4426978651417306</v>
      </c>
      <c r="Y34">
        <f t="shared" si="26"/>
        <v>-484.03158012144092</v>
      </c>
      <c r="Z34">
        <f t="shared" si="29"/>
        <v>39.797984577516765</v>
      </c>
      <c r="AA34">
        <f t="shared" si="31"/>
        <v>0.63805565038292833</v>
      </c>
      <c r="AB34">
        <f t="shared" si="27"/>
        <v>344.57007434399327</v>
      </c>
      <c r="AC34">
        <f t="shared" si="30"/>
        <v>4.5214152861346584</v>
      </c>
      <c r="AD34">
        <f>SUM($AB$27:AB34)</f>
        <v>3149.9569540668494</v>
      </c>
      <c r="AE34" s="27">
        <f>SUM($AC$27:AC34)</f>
        <v>38.421329609798718</v>
      </c>
    </row>
    <row r="35" spans="1:34" x14ac:dyDescent="0.25">
      <c r="A35" s="1"/>
      <c r="F35">
        <v>53.857142857142797</v>
      </c>
      <c r="G35">
        <v>1.7039370078740099</v>
      </c>
      <c r="H35">
        <f t="shared" si="18"/>
        <v>1.3120314960629877E-2</v>
      </c>
      <c r="I35" s="2">
        <f t="shared" si="19"/>
        <v>1312.0314960629878</v>
      </c>
      <c r="J35" s="1"/>
      <c r="O35">
        <v>69.855868222374696</v>
      </c>
      <c r="P35">
        <v>3.1985263157894699</v>
      </c>
      <c r="Q35">
        <f t="shared" si="23"/>
        <v>2.4628652631578919E-2</v>
      </c>
      <c r="R35" s="2">
        <f t="shared" si="24"/>
        <v>2462.8652631578921</v>
      </c>
      <c r="T35" s="26">
        <v>80</v>
      </c>
      <c r="U35" s="8">
        <v>0.99807500000000005</v>
      </c>
      <c r="V35" s="8">
        <v>4.6E-5</v>
      </c>
      <c r="W35">
        <f t="shared" si="25"/>
        <v>-1.9287127720862204E-3</v>
      </c>
      <c r="X35" s="8">
        <f t="shared" si="28"/>
        <v>4.6177612691947969</v>
      </c>
      <c r="Y35">
        <f t="shared" si="26"/>
        <v>-192.87127720862205</v>
      </c>
      <c r="Z35">
        <f t="shared" si="29"/>
        <v>29.116030291281891</v>
      </c>
      <c r="AA35">
        <f t="shared" si="31"/>
        <v>0.64079078848100202</v>
      </c>
      <c r="AB35">
        <f t="shared" si="27"/>
        <v>233.91447764810988</v>
      </c>
      <c r="AC35">
        <f t="shared" si="30"/>
        <v>4.5209941650584726</v>
      </c>
      <c r="AD35">
        <f>SUM($AB$27:AB35)</f>
        <v>3383.8714317149593</v>
      </c>
      <c r="AE35" s="27">
        <f>SUM($AC$27:AC35)</f>
        <v>42.942323774857194</v>
      </c>
    </row>
    <row r="36" spans="1:34" x14ac:dyDescent="0.25">
      <c r="A36" s="1"/>
      <c r="F36">
        <v>56.142857142857103</v>
      </c>
      <c r="G36">
        <v>1.8527559055118099</v>
      </c>
      <c r="H36">
        <f t="shared" si="18"/>
        <v>1.4266220472440937E-2</v>
      </c>
      <c r="I36" s="2">
        <f t="shared" si="19"/>
        <v>1426.6220472440937</v>
      </c>
      <c r="J36" s="1"/>
      <c r="O36">
        <v>74.056280027453596</v>
      </c>
      <c r="P36">
        <v>3.3349473684210502</v>
      </c>
      <c r="Q36">
        <f t="shared" si="23"/>
        <v>2.5679094736842087E-2</v>
      </c>
      <c r="R36" s="2">
        <f t="shared" si="24"/>
        <v>2567.9094736842085</v>
      </c>
      <c r="T36" s="26">
        <v>90</v>
      </c>
      <c r="U36" s="8">
        <v>0.999838</v>
      </c>
      <c r="V36" s="8">
        <v>4.3999999999999999E-5</v>
      </c>
      <c r="W36">
        <f t="shared" si="25"/>
        <v>-1.6202624825221234E-4</v>
      </c>
      <c r="X36" s="8">
        <f t="shared" si="28"/>
        <v>4.4014259464956416</v>
      </c>
      <c r="Y36">
        <f t="shared" si="26"/>
        <v>-16.202624825221232</v>
      </c>
      <c r="Z36">
        <f t="shared" si="29"/>
        <v>17.666865238340083</v>
      </c>
      <c r="AA36">
        <f t="shared" si="31"/>
        <v>0.63793627817957332</v>
      </c>
      <c r="AB36">
        <f t="shared" si="27"/>
        <v>122.42212563106092</v>
      </c>
      <c r="AC36">
        <f t="shared" si="30"/>
        <v>4.5308093188066723</v>
      </c>
      <c r="AD36">
        <f>SUM($AB$27:AB36)</f>
        <v>3506.2935573460204</v>
      </c>
      <c r="AE36" s="27">
        <f>SUM($AC$27:AC36)</f>
        <v>47.473133093663868</v>
      </c>
    </row>
    <row r="37" spans="1:34" x14ac:dyDescent="0.25">
      <c r="A37" s="1"/>
      <c r="F37">
        <v>72.285714285714207</v>
      </c>
      <c r="G37">
        <v>2.5685039370078702</v>
      </c>
      <c r="H37">
        <f t="shared" si="18"/>
        <v>1.9777480314960599E-2</v>
      </c>
      <c r="I37" s="2">
        <f t="shared" si="19"/>
        <v>1977.7480314960599</v>
      </c>
      <c r="J37" s="1"/>
      <c r="O37">
        <v>79.245024021962905</v>
      </c>
      <c r="P37">
        <v>3.4713684210526301</v>
      </c>
      <c r="Q37">
        <f t="shared" si="23"/>
        <v>2.6729536842105252E-2</v>
      </c>
      <c r="R37" s="2">
        <f t="shared" si="24"/>
        <v>2672.9536842105254</v>
      </c>
      <c r="T37" s="26">
        <v>100</v>
      </c>
      <c r="U37" s="8">
        <v>1.0005200000000001</v>
      </c>
      <c r="V37" s="8">
        <v>4.6999999999999997E-5</v>
      </c>
      <c r="W37">
        <f t="shared" si="25"/>
        <v>5.1972974053499771E-4</v>
      </c>
      <c r="X37" s="8">
        <f t="shared" si="28"/>
        <v>4.6951158099982857</v>
      </c>
      <c r="Y37">
        <f t="shared" si="26"/>
        <v>51.972974053499769</v>
      </c>
      <c r="Z37">
        <f t="shared" si="29"/>
        <v>6.8175598878721004</v>
      </c>
      <c r="AA37">
        <f t="shared" si="31"/>
        <v>0.64355778941584507</v>
      </c>
      <c r="AB37">
        <f t="shared" si="27"/>
        <v>19.541176947303345</v>
      </c>
      <c r="AC37">
        <f t="shared" si="30"/>
        <v>3.6263678072750243</v>
      </c>
      <c r="AD37">
        <f>SUM($AB$27:AB37)</f>
        <v>3525.8347342933239</v>
      </c>
      <c r="AE37" s="27">
        <f>SUM($AC$27:AC37)</f>
        <v>51.099500900938892</v>
      </c>
    </row>
    <row r="38" spans="1:34" ht="15.75" thickBot="1" x14ac:dyDescent="0.3">
      <c r="A38" s="1"/>
      <c r="F38">
        <v>76.142857142857096</v>
      </c>
      <c r="G38">
        <v>2.7385826771653501</v>
      </c>
      <c r="H38">
        <f t="shared" si="18"/>
        <v>2.1087086614173196E-2</v>
      </c>
      <c r="I38" s="2">
        <f t="shared" si="19"/>
        <v>2108.7086614173195</v>
      </c>
      <c r="J38" s="1"/>
      <c r="O38">
        <v>84.680851063829707</v>
      </c>
      <c r="P38">
        <v>3.5694210526315699</v>
      </c>
      <c r="Q38">
        <f t="shared" si="23"/>
        <v>2.7484542105263091E-2</v>
      </c>
      <c r="R38" s="2">
        <f t="shared" si="24"/>
        <v>2748.454210526309</v>
      </c>
      <c r="T38" s="28">
        <v>105</v>
      </c>
      <c r="U38" s="29">
        <f>1.00057</f>
        <v>1.00057</v>
      </c>
      <c r="V38" s="29">
        <v>4.5000000000000003E-5</v>
      </c>
      <c r="W38" s="30">
        <f t="shared" si="25"/>
        <v>5.6967528508745956E-4</v>
      </c>
      <c r="X38" s="29">
        <f t="shared" si="28"/>
        <v>4.4948743828189004</v>
      </c>
      <c r="Y38" s="30">
        <f t="shared" si="26"/>
        <v>56.967528508745957</v>
      </c>
      <c r="Z38" s="30">
        <f t="shared" si="29"/>
        <v>0.99891089104923769</v>
      </c>
      <c r="AA38" s="30">
        <f t="shared" si="31"/>
        <v>1.2999693563560251</v>
      </c>
      <c r="AB38" s="30">
        <f>(Z38+U39)/2*5</f>
        <v>2.4972772276230941</v>
      </c>
      <c r="AC38" s="30">
        <f>SQRT((AA38*5/2)^2+(AA39*5/2)^2)</f>
        <v>3.2499233908900624</v>
      </c>
      <c r="AD38">
        <f>SUM($AB$27:AB38)</f>
        <v>3528.3320115209472</v>
      </c>
      <c r="AE38" s="27">
        <f>SUM($AC$27:AC38)</f>
        <v>54.349424291828953</v>
      </c>
    </row>
    <row r="39" spans="1:34" x14ac:dyDescent="0.25">
      <c r="A39" s="1"/>
      <c r="F39">
        <v>81.428571428571402</v>
      </c>
      <c r="G39">
        <v>2.92283464566929</v>
      </c>
      <c r="H39">
        <f t="shared" si="18"/>
        <v>2.2505826771653532E-2</v>
      </c>
      <c r="I39" s="2">
        <f t="shared" si="19"/>
        <v>2250.5826771653533</v>
      </c>
      <c r="J39" s="1"/>
      <c r="O39">
        <v>96.540837336993803</v>
      </c>
      <c r="P39">
        <v>3.7101052631578901</v>
      </c>
      <c r="Q39">
        <f t="shared" si="23"/>
        <v>2.8567810526315754E-2</v>
      </c>
      <c r="R39" s="2">
        <f t="shared" si="24"/>
        <v>2856.7810526315752</v>
      </c>
    </row>
    <row r="40" spans="1:34" ht="28.5" x14ac:dyDescent="0.45">
      <c r="A40" s="1"/>
      <c r="F40">
        <v>88.142857142857096</v>
      </c>
      <c r="G40">
        <v>3.1283464566929098</v>
      </c>
      <c r="H40">
        <f t="shared" si="18"/>
        <v>2.4088267716535407E-2</v>
      </c>
      <c r="I40" s="2">
        <f t="shared" si="19"/>
        <v>2408.8267716535406</v>
      </c>
      <c r="J40" s="1"/>
      <c r="R40" s="2"/>
      <c r="T40" s="49" t="s">
        <v>95</v>
      </c>
      <c r="U40" s="50"/>
      <c r="V40" s="50"/>
      <c r="W40" s="50"/>
      <c r="X40" s="50"/>
      <c r="Y40" s="5"/>
      <c r="Z40" s="6"/>
      <c r="AB40" s="49" t="s">
        <v>95</v>
      </c>
      <c r="AC40" s="50"/>
      <c r="AD40" s="50"/>
      <c r="AE40" s="50"/>
      <c r="AF40" s="50"/>
      <c r="AG40" s="5"/>
      <c r="AH40" s="6"/>
    </row>
    <row r="41" spans="1:34" x14ac:dyDescent="0.25">
      <c r="A41" s="1"/>
      <c r="F41">
        <v>98.428571428571402</v>
      </c>
      <c r="G41">
        <v>3.2842519685039302</v>
      </c>
      <c r="H41">
        <f t="shared" si="18"/>
        <v>2.5288740157480262E-2</v>
      </c>
      <c r="I41" s="2">
        <f t="shared" si="19"/>
        <v>2528.8740157480261</v>
      </c>
      <c r="J41" s="1"/>
      <c r="R41" s="2"/>
      <c r="T41" s="1"/>
      <c r="Z41" s="2"/>
      <c r="AB41" s="1"/>
      <c r="AH41" s="2"/>
    </row>
    <row r="42" spans="1:34" x14ac:dyDescent="0.25">
      <c r="A42" s="3"/>
      <c r="B42" s="4"/>
      <c r="C42" s="4"/>
      <c r="D42" s="4"/>
      <c r="E42" s="4"/>
      <c r="F42" s="4">
        <v>105</v>
      </c>
      <c r="G42" s="4">
        <v>3.3267716535432998</v>
      </c>
      <c r="H42" s="4">
        <f>G42*0.0077</f>
        <v>2.561614173228341E-2</v>
      </c>
      <c r="I42" s="7">
        <f t="shared" si="19"/>
        <v>2561.6141732283409</v>
      </c>
      <c r="J42" s="3"/>
      <c r="K42" s="4"/>
      <c r="L42" s="4"/>
      <c r="M42" s="4"/>
      <c r="N42" s="4"/>
      <c r="O42" s="4"/>
      <c r="P42" s="4"/>
      <c r="Q42" s="4"/>
      <c r="R42" s="7"/>
      <c r="T42" s="1"/>
      <c r="Z42" s="2"/>
      <c r="AB42" s="1"/>
      <c r="AH42" s="2"/>
    </row>
    <row r="43" spans="1:34" x14ac:dyDescent="0.25">
      <c r="T43" s="1" t="s">
        <v>3</v>
      </c>
      <c r="U43" t="s">
        <v>4</v>
      </c>
      <c r="V43" t="s">
        <v>5</v>
      </c>
      <c r="W43" t="s">
        <v>6</v>
      </c>
      <c r="X43" t="s">
        <v>7</v>
      </c>
      <c r="Y43" t="s">
        <v>8</v>
      </c>
      <c r="Z43" s="2" t="s">
        <v>9</v>
      </c>
      <c r="AB43" s="1" t="s">
        <v>3</v>
      </c>
      <c r="AC43" t="s">
        <v>4</v>
      </c>
      <c r="AD43" t="s">
        <v>5</v>
      </c>
      <c r="AE43" t="s">
        <v>6</v>
      </c>
      <c r="AF43" t="s">
        <v>7</v>
      </c>
      <c r="AG43" t="s">
        <v>8</v>
      </c>
      <c r="AH43" s="2" t="s">
        <v>9</v>
      </c>
    </row>
    <row r="44" spans="1:34" x14ac:dyDescent="0.25">
      <c r="T44" s="1">
        <v>-20</v>
      </c>
      <c r="U44" s="8">
        <f>0.964829</f>
        <v>0.96482900000000005</v>
      </c>
      <c r="V44">
        <f t="shared" ref="V44:V57" si="32">(U44-1)/U44</f>
        <v>-3.6453091687749802E-2</v>
      </c>
      <c r="W44">
        <f t="shared" ref="W44:W57" si="33">V44*10^5</f>
        <v>-3645.3091687749802</v>
      </c>
      <c r="X44">
        <v>0</v>
      </c>
      <c r="Y44">
        <f t="shared" ref="Y44:Y53" si="34">(X44+X45)/2*ABS(T45-T44)</f>
        <v>9.6126199685409119</v>
      </c>
      <c r="Z44" s="2"/>
      <c r="AB44" s="1">
        <v>-20</v>
      </c>
      <c r="AC44" s="8">
        <v>0.96612799999999999</v>
      </c>
      <c r="AD44">
        <f t="shared" ref="AD44:AD57" si="35">(AC44-1)/AC44</f>
        <v>-3.505953662454666E-2</v>
      </c>
      <c r="AE44">
        <f t="shared" ref="AE44:AE57" si="36">AD44*10^5</f>
        <v>-3505.9536624546658</v>
      </c>
      <c r="AF44">
        <v>0</v>
      </c>
      <c r="AG44">
        <f t="shared" ref="AG44:AG53" si="37">(AF44+AF45)/2*ABS(AB45-AB44)</f>
        <v>27.733050153393151</v>
      </c>
      <c r="AH44" s="2"/>
    </row>
    <row r="45" spans="1:34" x14ac:dyDescent="0.25">
      <c r="T45" s="1">
        <v>-10</v>
      </c>
      <c r="U45" s="8">
        <v>0.96500799999999998</v>
      </c>
      <c r="V45">
        <f t="shared" si="32"/>
        <v>-3.6260839288378983E-2</v>
      </c>
      <c r="W45">
        <f t="shared" si="33"/>
        <v>-3626.0839288378984</v>
      </c>
      <c r="X45">
        <f t="shared" ref="X45:X54" si="38">ABS(W45-W44)/ABS(T45-T44)</f>
        <v>1.9225239937081824</v>
      </c>
      <c r="Y45">
        <f t="shared" si="34"/>
        <v>33.923605093661308</v>
      </c>
      <c r="Z45" s="2"/>
      <c r="AB45" s="1">
        <v>-10</v>
      </c>
      <c r="AC45" s="8">
        <v>0.96664600000000001</v>
      </c>
      <c r="AD45">
        <f t="shared" si="35"/>
        <v>-3.4504875621478796E-2</v>
      </c>
      <c r="AE45">
        <f t="shared" si="36"/>
        <v>-3450.4875621478795</v>
      </c>
      <c r="AF45">
        <f t="shared" ref="AF45:AF54" si="39">ABS(AE45-AE44)/ABS(AB45-AB44)</f>
        <v>5.5466100306786306</v>
      </c>
      <c r="AG45">
        <f t="shared" si="37"/>
        <v>105.20636218293816</v>
      </c>
      <c r="AH45" s="2"/>
    </row>
    <row r="46" spans="1:34" x14ac:dyDescent="0.25">
      <c r="T46" s="1">
        <v>0</v>
      </c>
      <c r="U46" s="8">
        <v>0.96546100000000001</v>
      </c>
      <c r="V46">
        <f t="shared" si="32"/>
        <v>-3.5774619585876577E-2</v>
      </c>
      <c r="W46">
        <f t="shared" si="33"/>
        <v>-3577.4619585876576</v>
      </c>
      <c r="X46">
        <f t="shared" si="38"/>
        <v>4.8621970250240789</v>
      </c>
      <c r="Y46">
        <f t="shared" si="34"/>
        <v>95.12801682160557</v>
      </c>
      <c r="Z46" s="2">
        <f>SUM($Y$46:Y46)</f>
        <v>95.12801682160557</v>
      </c>
      <c r="AB46" s="1">
        <v>0</v>
      </c>
      <c r="AC46" s="8">
        <v>0.96809599999999996</v>
      </c>
      <c r="AD46">
        <f t="shared" si="35"/>
        <v>-3.2955409380887896E-2</v>
      </c>
      <c r="AE46">
        <f t="shared" si="36"/>
        <v>-3295.5409380887895</v>
      </c>
      <c r="AF46">
        <f t="shared" si="39"/>
        <v>15.494662405909002</v>
      </c>
      <c r="AG46">
        <f t="shared" si="37"/>
        <v>173.64372251132431</v>
      </c>
      <c r="AH46" s="2">
        <f>SUM($AG$46:AG46)</f>
        <v>173.64372251132431</v>
      </c>
    </row>
    <row r="47" spans="1:34" x14ac:dyDescent="0.25">
      <c r="T47" s="1">
        <v>10</v>
      </c>
      <c r="U47" s="8">
        <v>0.96678299999999995</v>
      </c>
      <c r="V47">
        <f t="shared" si="32"/>
        <v>-3.4358278951946875E-2</v>
      </c>
      <c r="W47">
        <f t="shared" si="33"/>
        <v>-3435.8278951946872</v>
      </c>
      <c r="X47">
        <f t="shared" si="38"/>
        <v>14.163406339297035</v>
      </c>
      <c r="Y47">
        <f t="shared" si="34"/>
        <v>158.45333231275163</v>
      </c>
      <c r="Z47" s="2">
        <f>SUM($Y$46:Y47)</f>
        <v>253.5813491343572</v>
      </c>
      <c r="AB47" s="1">
        <v>10</v>
      </c>
      <c r="AC47" s="8">
        <v>0.96990200000000004</v>
      </c>
      <c r="AD47">
        <f t="shared" si="35"/>
        <v>-3.1032001171252308E-2</v>
      </c>
      <c r="AE47">
        <f t="shared" si="36"/>
        <v>-3103.2001171252309</v>
      </c>
      <c r="AF47">
        <f t="shared" si="39"/>
        <v>19.234082096355859</v>
      </c>
      <c r="AG47">
        <f t="shared" si="37"/>
        <v>234.25879252175855</v>
      </c>
      <c r="AH47" s="2">
        <f>SUM($AG$46:AG47)</f>
        <v>407.90251503308286</v>
      </c>
    </row>
    <row r="48" spans="1:34" x14ac:dyDescent="0.25">
      <c r="T48" s="1">
        <v>20</v>
      </c>
      <c r="U48" s="8">
        <v>0.96842399999999995</v>
      </c>
      <c r="V48">
        <f t="shared" si="32"/>
        <v>-3.2605552939621543E-2</v>
      </c>
      <c r="W48">
        <f t="shared" si="33"/>
        <v>-3260.5552939621543</v>
      </c>
      <c r="X48">
        <f t="shared" si="38"/>
        <v>17.527260123253292</v>
      </c>
      <c r="Y48">
        <f t="shared" si="34"/>
        <v>254.55328721950013</v>
      </c>
      <c r="Z48" s="2">
        <f>SUM($Y$46:Y48)</f>
        <v>508.13463635385733</v>
      </c>
      <c r="AB48" s="1">
        <v>20</v>
      </c>
      <c r="AC48" s="8">
        <v>0.97250700000000001</v>
      </c>
      <c r="AD48">
        <f t="shared" si="35"/>
        <v>-2.8270233530452726E-2</v>
      </c>
      <c r="AE48">
        <f t="shared" si="36"/>
        <v>-2827.0233530452724</v>
      </c>
      <c r="AF48">
        <f t="shared" si="39"/>
        <v>27.617676407995852</v>
      </c>
      <c r="AG48">
        <f t="shared" si="37"/>
        <v>352.93695805349648</v>
      </c>
      <c r="AH48" s="2">
        <f>SUM($AG$46:AG48)</f>
        <v>760.83947308657935</v>
      </c>
    </row>
    <row r="49" spans="20:34" x14ac:dyDescent="0.25">
      <c r="T49" s="1">
        <v>30</v>
      </c>
      <c r="U49" s="8">
        <v>0.97156500000000001</v>
      </c>
      <c r="V49">
        <f t="shared" si="32"/>
        <v>-2.9267213207556868E-2</v>
      </c>
      <c r="W49">
        <f t="shared" si="33"/>
        <v>-2926.721320755687</v>
      </c>
      <c r="X49">
        <f t="shared" si="38"/>
        <v>33.383397320646736</v>
      </c>
      <c r="Y49">
        <f t="shared" si="34"/>
        <v>407.69709435090022</v>
      </c>
      <c r="Z49" s="2">
        <f>SUM($Y$46:Y49)</f>
        <v>915.83173070475755</v>
      </c>
      <c r="AB49" s="1">
        <v>30</v>
      </c>
      <c r="AC49" s="8">
        <v>0.97658800000000001</v>
      </c>
      <c r="AD49">
        <f t="shared" si="35"/>
        <v>-2.3973262010182378E-2</v>
      </c>
      <c r="AE49">
        <f t="shared" si="36"/>
        <v>-2397.326201018238</v>
      </c>
      <c r="AF49">
        <f t="shared" si="39"/>
        <v>42.969715202703448</v>
      </c>
      <c r="AG49">
        <f t="shared" si="37"/>
        <v>475.38418246456786</v>
      </c>
      <c r="AH49" s="2">
        <f>SUM($AG$46:AG49)</f>
        <v>1236.2236555511472</v>
      </c>
    </row>
    <row r="50" spans="20:34" x14ac:dyDescent="0.25">
      <c r="T50" s="1">
        <v>40</v>
      </c>
      <c r="U50" s="8">
        <v>0.976132</v>
      </c>
      <c r="V50">
        <f t="shared" si="32"/>
        <v>-2.4451611052603541E-2</v>
      </c>
      <c r="W50">
        <f t="shared" si="33"/>
        <v>-2445.1611052603539</v>
      </c>
      <c r="X50">
        <f t="shared" si="38"/>
        <v>48.156021549533307</v>
      </c>
      <c r="Y50">
        <f t="shared" si="34"/>
        <v>518.58988637393929</v>
      </c>
      <c r="Z50" s="2">
        <f>SUM($Y$46:Y50)</f>
        <v>1434.4216170786967</v>
      </c>
      <c r="AB50" s="1">
        <v>40</v>
      </c>
      <c r="AC50" s="8">
        <v>0.98158299999999998</v>
      </c>
      <c r="AD50">
        <f t="shared" si="35"/>
        <v>-1.8762549881161366E-2</v>
      </c>
      <c r="AE50">
        <f t="shared" si="36"/>
        <v>-1876.2549881161367</v>
      </c>
      <c r="AF50">
        <f t="shared" si="39"/>
        <v>52.107121290210124</v>
      </c>
      <c r="AG50">
        <f t="shared" si="37"/>
        <v>547.79950328478492</v>
      </c>
      <c r="AH50" s="2">
        <f>SUM($AG$46:AG50)</f>
        <v>1784.023158835932</v>
      </c>
    </row>
    <row r="51" spans="20:34" x14ac:dyDescent="0.25">
      <c r="T51" s="1">
        <v>50</v>
      </c>
      <c r="U51" s="8">
        <v>0.98145499999999997</v>
      </c>
      <c r="V51">
        <f t="shared" si="32"/>
        <v>-1.8895415480078084E-2</v>
      </c>
      <c r="W51">
        <f t="shared" si="33"/>
        <v>-1889.5415480078084</v>
      </c>
      <c r="X51">
        <f t="shared" si="38"/>
        <v>55.561955725254549</v>
      </c>
      <c r="Y51">
        <f t="shared" si="34"/>
        <v>573.66666793951788</v>
      </c>
      <c r="Z51" s="2">
        <f>SUM($Y$46:Y51)</f>
        <v>2008.0882850182147</v>
      </c>
      <c r="AB51" s="1">
        <v>50</v>
      </c>
      <c r="AC51" s="8">
        <v>0.98714999999999997</v>
      </c>
      <c r="AD51">
        <f t="shared" si="35"/>
        <v>-1.3017271944486682E-2</v>
      </c>
      <c r="AE51">
        <f t="shared" si="36"/>
        <v>-1301.7271944486681</v>
      </c>
      <c r="AF51">
        <f t="shared" si="39"/>
        <v>57.45277936674686</v>
      </c>
      <c r="AG51">
        <f t="shared" si="37"/>
        <v>543.0299291491848</v>
      </c>
      <c r="AH51" s="2">
        <f>SUM($AG$46:AG51)</f>
        <v>2327.0530879851167</v>
      </c>
    </row>
    <row r="52" spans="20:34" x14ac:dyDescent="0.25">
      <c r="T52" s="1">
        <v>60</v>
      </c>
      <c r="U52" s="8">
        <v>0.98718799999999995</v>
      </c>
      <c r="V52">
        <f t="shared" si="32"/>
        <v>-1.297827769381318E-2</v>
      </c>
      <c r="W52">
        <f t="shared" si="33"/>
        <v>-1297.8277693813181</v>
      </c>
      <c r="X52">
        <f t="shared" si="38"/>
        <v>59.171377862649024</v>
      </c>
      <c r="Y52">
        <f t="shared" si="34"/>
        <v>503.61240289014165</v>
      </c>
      <c r="Z52" s="2">
        <f>SUM($Y$46:Y52)</f>
        <v>2511.7006879083565</v>
      </c>
      <c r="AB52" s="1">
        <v>60</v>
      </c>
      <c r="AC52" s="8">
        <v>0.99216000000000004</v>
      </c>
      <c r="AD52">
        <f t="shared" si="35"/>
        <v>-7.9019512981776709E-3</v>
      </c>
      <c r="AE52">
        <f t="shared" si="36"/>
        <v>-790.19512981776711</v>
      </c>
      <c r="AF52">
        <f t="shared" si="39"/>
        <v>51.1532064630901</v>
      </c>
      <c r="AG52">
        <f t="shared" si="37"/>
        <v>457.97231603070486</v>
      </c>
      <c r="AH52" s="2">
        <f>SUM($AG$46:AG52)</f>
        <v>2785.0254040158216</v>
      </c>
    </row>
    <row r="53" spans="20:34" x14ac:dyDescent="0.25">
      <c r="T53" s="1">
        <v>70</v>
      </c>
      <c r="U53" s="8">
        <v>0.99125399999999997</v>
      </c>
      <c r="V53">
        <f t="shared" si="32"/>
        <v>-8.823167422275251E-3</v>
      </c>
      <c r="W53">
        <f t="shared" si="33"/>
        <v>-882.31674222752508</v>
      </c>
      <c r="X53">
        <f t="shared" si="38"/>
        <v>41.551102715379308</v>
      </c>
      <c r="Y53">
        <f t="shared" si="34"/>
        <v>381.44065966027142</v>
      </c>
      <c r="Z53" s="2">
        <f>SUM($Y$46:Y53)</f>
        <v>2893.1413475686277</v>
      </c>
      <c r="AB53" s="1">
        <v>70</v>
      </c>
      <c r="AC53" s="8">
        <v>0.99615699999999996</v>
      </c>
      <c r="AD53">
        <f t="shared" si="35"/>
        <v>-3.8578256238725834E-3</v>
      </c>
      <c r="AE53">
        <f t="shared" si="36"/>
        <v>-385.78256238725834</v>
      </c>
      <c r="AF53">
        <f t="shared" si="39"/>
        <v>40.441256743050879</v>
      </c>
      <c r="AG53">
        <f t="shared" si="37"/>
        <v>337.88216770988481</v>
      </c>
      <c r="AH53" s="2">
        <f>SUM($AG$46:AG53)</f>
        <v>3122.9075717257065</v>
      </c>
    </row>
    <row r="54" spans="20:34" x14ac:dyDescent="0.25">
      <c r="T54" s="1">
        <v>80</v>
      </c>
      <c r="U54" s="8">
        <v>0.99467899999999998</v>
      </c>
      <c r="V54">
        <f t="shared" si="32"/>
        <v>-5.349464500607754E-3</v>
      </c>
      <c r="W54">
        <f t="shared" si="33"/>
        <v>-534.94645006077542</v>
      </c>
      <c r="X54">
        <f t="shared" si="38"/>
        <v>34.737029216674969</v>
      </c>
      <c r="Y54">
        <f t="shared" ref="Y54:Y56" si="40">(X54+X55)/2*ABS(T55-T54)</f>
        <v>278.22917709157707</v>
      </c>
      <c r="Z54" s="2">
        <f>SUM($Y$46:Y54)</f>
        <v>3171.3705246602049</v>
      </c>
      <c r="AB54" s="1">
        <v>80</v>
      </c>
      <c r="AC54" s="8">
        <v>0.99885699999999999</v>
      </c>
      <c r="AD54">
        <f t="shared" si="35"/>
        <v>-1.1443079439799743E-3</v>
      </c>
      <c r="AE54">
        <f t="shared" si="36"/>
        <v>-114.43079439799743</v>
      </c>
      <c r="AF54">
        <f t="shared" si="39"/>
        <v>27.135176798926089</v>
      </c>
      <c r="AG54">
        <f t="shared" ref="AG54:AG56" si="41">(AF54+AF55)/2*ABS(AB55-AB54)</f>
        <v>216.879766720578</v>
      </c>
      <c r="AH54" s="2">
        <f>SUM($AG$46:AG54)</f>
        <v>3339.7873384462846</v>
      </c>
    </row>
    <row r="55" spans="20:34" x14ac:dyDescent="0.25">
      <c r="T55" s="1">
        <v>90</v>
      </c>
      <c r="U55" s="8">
        <v>0.99675199999999997</v>
      </c>
      <c r="V55">
        <f t="shared" si="32"/>
        <v>-3.2585838804437099E-3</v>
      </c>
      <c r="W55">
        <f t="shared" si="33"/>
        <v>-325.858388044371</v>
      </c>
      <c r="X55">
        <f t="shared" ref="X55:X57" si="42">ABS(W55-W54)/ABS(T55-T54)</f>
        <v>20.908806201640441</v>
      </c>
      <c r="Y55">
        <f t="shared" si="40"/>
        <v>182.78000880174517</v>
      </c>
      <c r="Z55" s="2">
        <f>SUM($Y$46:Y55)</f>
        <v>3354.1505334619501</v>
      </c>
      <c r="AB55" s="1">
        <v>90</v>
      </c>
      <c r="AC55" s="8">
        <v>1.00048</v>
      </c>
      <c r="AD55">
        <f t="shared" si="35"/>
        <v>4.7976971053897722E-4</v>
      </c>
      <c r="AE55">
        <f t="shared" si="36"/>
        <v>47.976971053897721</v>
      </c>
      <c r="AF55">
        <f t="shared" ref="AF55:AF57" si="43">ABS(AE55-AE54)/ABS(AB55-AB54)</f>
        <v>16.240776545189515</v>
      </c>
      <c r="AG55">
        <f t="shared" si="41"/>
        <v>129.610424409541</v>
      </c>
      <c r="AH55" s="2">
        <f>SUM($AG$46:AG55)</f>
        <v>3469.3977628558255</v>
      </c>
    </row>
    <row r="56" spans="20:34" x14ac:dyDescent="0.25">
      <c r="T56" s="1">
        <v>100</v>
      </c>
      <c r="U56" s="8">
        <v>0.998309</v>
      </c>
      <c r="V56">
        <f t="shared" si="32"/>
        <v>-1.6938643245728508E-3</v>
      </c>
      <c r="W56">
        <f t="shared" si="33"/>
        <v>-169.38643245728508</v>
      </c>
      <c r="X56">
        <f t="shared" si="42"/>
        <v>15.647195558708592</v>
      </c>
      <c r="Y56">
        <f t="shared" si="40"/>
        <v>64.114884322540263</v>
      </c>
      <c r="Z56" s="2">
        <f>SUM($Y$46:Y56)</f>
        <v>3418.2654177844902</v>
      </c>
      <c r="AB56" s="1">
        <v>100</v>
      </c>
      <c r="AC56" s="8">
        <v>1.00145</v>
      </c>
      <c r="AD56">
        <f t="shared" si="35"/>
        <v>1.4479005442108457E-3</v>
      </c>
      <c r="AE56">
        <f t="shared" si="36"/>
        <v>144.79005442108456</v>
      </c>
      <c r="AF56">
        <f t="shared" si="43"/>
        <v>9.6813083367186827</v>
      </c>
      <c r="AG56">
        <f t="shared" si="41"/>
        <v>25.698975090945325</v>
      </c>
      <c r="AH56" s="2">
        <f>SUM($AG$46:AG56)</f>
        <v>3495.0967379467706</v>
      </c>
    </row>
    <row r="57" spans="20:34" x14ac:dyDescent="0.25">
      <c r="T57" s="3">
        <v>105</v>
      </c>
      <c r="U57" s="20">
        <v>0.997811</v>
      </c>
      <c r="V57" s="4">
        <f t="shared" si="32"/>
        <v>-2.1938022330882266E-3</v>
      </c>
      <c r="W57" s="4">
        <f t="shared" si="33"/>
        <v>-219.38022330882265</v>
      </c>
      <c r="X57">
        <f t="shared" si="42"/>
        <v>9.9987581703075143</v>
      </c>
      <c r="Y57">
        <f>(X57+X58)/2*5</f>
        <v>24.996895425768784</v>
      </c>
      <c r="Z57" s="2">
        <f>SUM($Y$46:Y57)</f>
        <v>3443.262313210259</v>
      </c>
      <c r="AB57" s="3">
        <v>105</v>
      </c>
      <c r="AC57" s="20">
        <v>1.00142</v>
      </c>
      <c r="AD57" s="4">
        <f t="shared" si="35"/>
        <v>1.4179864592278734E-3</v>
      </c>
      <c r="AE57" s="4">
        <f t="shared" si="36"/>
        <v>141.79864592278733</v>
      </c>
      <c r="AF57">
        <f t="shared" si="43"/>
        <v>0.59828169965944655</v>
      </c>
      <c r="AG57">
        <f>(AF57+AF58)/2*5</f>
        <v>1.4957042491486163</v>
      </c>
      <c r="AH57" s="2">
        <f>SUM($AG$46:AG57)</f>
        <v>3496.5924421959194</v>
      </c>
    </row>
  </sheetData>
  <mergeCells count="8">
    <mergeCell ref="T40:X40"/>
    <mergeCell ref="AB40:AF40"/>
    <mergeCell ref="T21:X21"/>
    <mergeCell ref="A1:E1"/>
    <mergeCell ref="H1:L1"/>
    <mergeCell ref="A21:E21"/>
    <mergeCell ref="J21:N21"/>
    <mergeCell ref="T1:X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0E277-164D-40AC-8934-6E7AB0E9B78A}">
  <dimension ref="A1:U49"/>
  <sheetViews>
    <sheetView topLeftCell="A10" workbookViewId="0">
      <pane xSplit="1" topLeftCell="C1" activePane="topRight" state="frozen"/>
      <selection activeCell="A7" sqref="A7"/>
      <selection pane="topRight" activeCell="I28" sqref="I28"/>
    </sheetView>
  </sheetViews>
  <sheetFormatPr defaultRowHeight="15" x14ac:dyDescent="0.25"/>
  <cols>
    <col min="1" max="1" width="22.140625" bestFit="1" customWidth="1"/>
    <col min="2" max="2" width="19.140625" bestFit="1" customWidth="1"/>
    <col min="3" max="3" width="18.42578125" bestFit="1" customWidth="1"/>
    <col min="4" max="4" width="16.42578125" bestFit="1" customWidth="1"/>
    <col min="5" max="5" width="17.7109375" bestFit="1" customWidth="1"/>
    <col min="6" max="6" width="17.85546875" bestFit="1" customWidth="1"/>
    <col min="7" max="8" width="18.42578125" bestFit="1" customWidth="1"/>
    <col min="9" max="9" width="22.140625" bestFit="1" customWidth="1"/>
    <col min="10" max="10" width="17.28515625" bestFit="1" customWidth="1"/>
    <col min="11" max="11" width="16" bestFit="1" customWidth="1"/>
    <col min="12" max="12" width="22.140625" bestFit="1" customWidth="1"/>
    <col min="13" max="13" width="17" bestFit="1" customWidth="1"/>
    <col min="14" max="14" width="17.42578125" bestFit="1" customWidth="1"/>
    <col min="15" max="15" width="14.7109375" bestFit="1" customWidth="1"/>
    <col min="16" max="16" width="13.5703125" bestFit="1" customWidth="1"/>
    <col min="17" max="17" width="22.140625" bestFit="1" customWidth="1"/>
    <col min="18" max="18" width="12.7109375" bestFit="1" customWidth="1"/>
    <col min="21" max="21" width="21" customWidth="1"/>
  </cols>
  <sheetData>
    <row r="1" spans="1:21" x14ac:dyDescent="0.25">
      <c r="A1" s="56" t="s">
        <v>17</v>
      </c>
      <c r="B1" s="56" t="s">
        <v>18</v>
      </c>
      <c r="C1" s="56" t="s">
        <v>19</v>
      </c>
      <c r="D1" s="56" t="s">
        <v>20</v>
      </c>
      <c r="E1" s="56" t="s">
        <v>21</v>
      </c>
      <c r="F1" s="56" t="s">
        <v>22</v>
      </c>
      <c r="G1" s="56"/>
      <c r="H1" s="54" t="s">
        <v>23</v>
      </c>
      <c r="I1" s="54"/>
      <c r="J1" s="54"/>
      <c r="K1" s="54"/>
      <c r="M1" s="55" t="s">
        <v>24</v>
      </c>
      <c r="N1" s="55"/>
      <c r="O1" s="55"/>
      <c r="P1" s="55"/>
      <c r="Q1" s="55"/>
      <c r="R1" s="55"/>
    </row>
    <row r="2" spans="1:21" x14ac:dyDescent="0.25">
      <c r="A2" s="57"/>
      <c r="B2" s="57"/>
      <c r="C2" s="57"/>
      <c r="D2" s="57"/>
      <c r="E2" s="57"/>
      <c r="F2" s="18" t="s">
        <v>25</v>
      </c>
      <c r="G2" s="18" t="s">
        <v>26</v>
      </c>
      <c r="H2" s="19" t="s">
        <v>25</v>
      </c>
      <c r="I2" s="19" t="s">
        <v>26</v>
      </c>
      <c r="J2" s="19" t="s">
        <v>27</v>
      </c>
      <c r="K2" s="19" t="s">
        <v>28</v>
      </c>
      <c r="M2" t="s">
        <v>29</v>
      </c>
      <c r="N2" t="s">
        <v>30</v>
      </c>
      <c r="O2" t="s">
        <v>168</v>
      </c>
      <c r="P2" t="s">
        <v>169</v>
      </c>
      <c r="Q2" t="s">
        <v>5</v>
      </c>
      <c r="R2" t="s">
        <v>170</v>
      </c>
    </row>
    <row r="3" spans="1:21" x14ac:dyDescent="0.25">
      <c r="A3" s="15" t="s">
        <v>32</v>
      </c>
      <c r="B3" s="16">
        <f>70.64</f>
        <v>70.64</v>
      </c>
      <c r="C3" s="15" t="s">
        <v>33</v>
      </c>
      <c r="D3" s="15" t="s">
        <v>33</v>
      </c>
      <c r="E3" s="15" t="s">
        <v>34</v>
      </c>
      <c r="F3" s="15">
        <v>0</v>
      </c>
      <c r="G3" s="15">
        <v>45</v>
      </c>
      <c r="H3" s="15"/>
      <c r="I3" s="15"/>
      <c r="J3" s="15"/>
      <c r="K3" s="15"/>
      <c r="M3" t="s">
        <v>35</v>
      </c>
      <c r="N3" s="8">
        <f>0.997989</f>
        <v>0.99798900000000001</v>
      </c>
      <c r="O3" s="40">
        <f>0.000052</f>
        <v>5.1999999999999997E-5</v>
      </c>
      <c r="P3" s="8">
        <f>O3*10^5</f>
        <v>5.1999999999999993</v>
      </c>
      <c r="Q3" s="8">
        <f t="shared" ref="Q3:Q14" si="0">(N3-1)/N3</f>
        <v>-2.0150522701151865E-3</v>
      </c>
      <c r="R3" s="8">
        <f>P3/N3^2</f>
        <v>5.2209776578745846</v>
      </c>
      <c r="S3" s="58"/>
      <c r="T3" s="58"/>
      <c r="U3" s="58"/>
    </row>
    <row r="4" spans="1:21" x14ac:dyDescent="0.25">
      <c r="A4" s="15" t="s">
        <v>36</v>
      </c>
      <c r="B4" s="15">
        <v>309.3</v>
      </c>
      <c r="C4" s="15">
        <v>5.97</v>
      </c>
      <c r="D4" s="15">
        <v>9.6999999999999993</v>
      </c>
      <c r="E4" s="15" t="s">
        <v>34</v>
      </c>
      <c r="F4" s="15">
        <v>1.4</v>
      </c>
      <c r="G4" s="15">
        <v>46.4</v>
      </c>
      <c r="H4" s="15"/>
      <c r="I4" s="15"/>
      <c r="J4" s="15"/>
      <c r="K4" s="15"/>
      <c r="M4" t="s">
        <v>37</v>
      </c>
      <c r="N4" s="8">
        <f>0.993431</f>
        <v>0.99343099999999995</v>
      </c>
      <c r="O4">
        <f>0.000054</f>
        <v>5.3999999999999998E-5</v>
      </c>
      <c r="P4" s="8">
        <f t="shared" ref="P4:P14" si="1">O4*10^5</f>
        <v>5.3999999999999995</v>
      </c>
      <c r="Q4" s="8">
        <f t="shared" si="0"/>
        <v>-6.6124370993053848E-3</v>
      </c>
      <c r="R4" s="8">
        <f t="shared" ref="R4:R14" si="2">P4/N4^2</f>
        <v>5.4716504320242159</v>
      </c>
      <c r="S4" s="58"/>
      <c r="T4" s="58"/>
      <c r="U4" s="58"/>
    </row>
    <row r="5" spans="1:21" x14ac:dyDescent="0.25">
      <c r="A5" s="15" t="s">
        <v>38</v>
      </c>
      <c r="B5" s="16">
        <v>311.5</v>
      </c>
      <c r="C5" s="17">
        <v>6.27</v>
      </c>
      <c r="D5" s="15">
        <v>9.9499999999999993</v>
      </c>
      <c r="E5" s="15" t="s">
        <v>34</v>
      </c>
      <c r="F5" s="15">
        <v>4.3</v>
      </c>
      <c r="G5" s="15">
        <v>49.3</v>
      </c>
      <c r="H5" s="15"/>
      <c r="I5" s="15"/>
      <c r="J5" s="15"/>
      <c r="K5" s="15"/>
      <c r="M5" t="s">
        <v>39</v>
      </c>
      <c r="N5" s="8">
        <f>0.997969</f>
        <v>0.99796899999999999</v>
      </c>
      <c r="O5">
        <f>0.000052</f>
        <v>5.1999999999999997E-5</v>
      </c>
      <c r="P5" s="8">
        <f t="shared" si="1"/>
        <v>5.1999999999999993</v>
      </c>
      <c r="Q5" s="8">
        <f t="shared" si="0"/>
        <v>-2.0351333558457276E-3</v>
      </c>
      <c r="R5" s="8">
        <f t="shared" si="2"/>
        <v>5.2211869240932307</v>
      </c>
      <c r="S5" s="58"/>
      <c r="T5" s="58"/>
      <c r="U5" s="58"/>
    </row>
    <row r="6" spans="1:21" x14ac:dyDescent="0.25">
      <c r="A6" s="15" t="s">
        <v>40</v>
      </c>
      <c r="B6" s="15">
        <v>317.3</v>
      </c>
      <c r="C6" s="15">
        <v>5.97</v>
      </c>
      <c r="D6" s="15">
        <v>10.11</v>
      </c>
      <c r="E6" s="15" t="s">
        <v>34</v>
      </c>
      <c r="F6" s="15">
        <v>5.8</v>
      </c>
      <c r="G6" s="15">
        <v>50.8</v>
      </c>
      <c r="H6" s="15"/>
      <c r="I6" s="15"/>
      <c r="J6" s="15"/>
      <c r="K6" s="15"/>
      <c r="M6" t="s">
        <v>41</v>
      </c>
      <c r="N6" s="8">
        <f>0.998103</f>
        <v>0.99810299999999996</v>
      </c>
      <c r="O6" s="8">
        <v>5.1999999999999997E-5</v>
      </c>
      <c r="P6" s="8">
        <f t="shared" si="1"/>
        <v>5.1999999999999993</v>
      </c>
      <c r="Q6" s="8">
        <f t="shared" si="0"/>
        <v>-1.9006054485359103E-3</v>
      </c>
      <c r="R6" s="8">
        <f t="shared" si="2"/>
        <v>5.2197850806303423</v>
      </c>
    </row>
    <row r="7" spans="1:21" x14ac:dyDescent="0.25">
      <c r="A7" s="15" t="s">
        <v>42</v>
      </c>
      <c r="B7" s="15">
        <v>293.89999999999998</v>
      </c>
      <c r="C7" s="15">
        <v>6.15</v>
      </c>
      <c r="D7" s="15">
        <v>9.32</v>
      </c>
      <c r="E7" s="15" t="s">
        <v>34</v>
      </c>
      <c r="F7" s="15">
        <v>3.5</v>
      </c>
      <c r="G7" s="15">
        <v>48.5</v>
      </c>
      <c r="H7" s="15"/>
      <c r="I7" s="15"/>
      <c r="J7" s="15"/>
      <c r="K7" s="15"/>
      <c r="M7" t="s">
        <v>43</v>
      </c>
      <c r="N7" s="8">
        <f>0.998021</f>
        <v>0.99802100000000005</v>
      </c>
      <c r="O7">
        <f>0.000052</f>
        <v>5.1999999999999997E-5</v>
      </c>
      <c r="P7" s="8">
        <f t="shared" si="1"/>
        <v>5.1999999999999993</v>
      </c>
      <c r="Q7" s="8">
        <f t="shared" si="0"/>
        <v>-1.9829242070056171E-3</v>
      </c>
      <c r="R7" s="8">
        <f t="shared" si="2"/>
        <v>5.2206428580925941</v>
      </c>
    </row>
    <row r="8" spans="1:21" x14ac:dyDescent="0.25">
      <c r="A8" s="15" t="s">
        <v>44</v>
      </c>
      <c r="B8" s="15">
        <v>278</v>
      </c>
      <c r="C8" s="15">
        <v>0</v>
      </c>
      <c r="D8" s="15">
        <v>9.5399999999999991</v>
      </c>
      <c r="E8" s="15" t="s">
        <v>34</v>
      </c>
      <c r="F8" s="15"/>
      <c r="G8" s="15">
        <v>11.5</v>
      </c>
      <c r="H8" s="15"/>
      <c r="I8" s="15"/>
      <c r="J8" s="15"/>
      <c r="K8" s="15"/>
      <c r="M8" t="s">
        <v>45</v>
      </c>
      <c r="N8" s="8">
        <f>0.997809</f>
        <v>0.99780899999999995</v>
      </c>
      <c r="O8">
        <f>0.000055</f>
        <v>5.5000000000000002E-5</v>
      </c>
      <c r="P8" s="8">
        <f t="shared" si="1"/>
        <v>5.5</v>
      </c>
      <c r="Q8" s="8">
        <f t="shared" si="0"/>
        <v>-2.1958110219491445E-3</v>
      </c>
      <c r="R8" s="8">
        <f t="shared" si="2"/>
        <v>5.5241804399646828</v>
      </c>
    </row>
    <row r="9" spans="1:21" x14ac:dyDescent="0.25">
      <c r="A9" s="15" t="s">
        <v>46</v>
      </c>
      <c r="B9" s="15">
        <v>278.3</v>
      </c>
      <c r="C9" s="15">
        <v>0</v>
      </c>
      <c r="D9" s="15">
        <v>9.7799999999999994</v>
      </c>
      <c r="E9" s="15" t="s">
        <v>47</v>
      </c>
      <c r="F9" s="15"/>
      <c r="G9" s="15">
        <v>9</v>
      </c>
      <c r="H9" s="15"/>
      <c r="I9" s="15"/>
      <c r="J9" s="15"/>
      <c r="K9" s="15"/>
      <c r="M9" t="s">
        <v>48</v>
      </c>
      <c r="N9" s="8">
        <f>0.994227</f>
        <v>0.99422699999999997</v>
      </c>
      <c r="O9">
        <f>0.000044</f>
        <v>4.3999999999999999E-5</v>
      </c>
      <c r="P9" s="8">
        <f t="shared" si="1"/>
        <v>4.3999999999999995</v>
      </c>
      <c r="Q9" s="8">
        <f t="shared" si="0"/>
        <v>-5.8065210459985785E-3</v>
      </c>
      <c r="R9" s="8">
        <f t="shared" si="2"/>
        <v>4.4512457342260809</v>
      </c>
    </row>
    <row r="10" spans="1:21" x14ac:dyDescent="0.25">
      <c r="A10" s="15" t="s">
        <v>44</v>
      </c>
      <c r="B10" s="15">
        <v>278</v>
      </c>
      <c r="C10" s="15">
        <v>0</v>
      </c>
      <c r="D10" s="15">
        <v>9.5399999999999991</v>
      </c>
      <c r="E10" s="15" t="s">
        <v>47</v>
      </c>
      <c r="F10" s="15"/>
      <c r="G10" s="15">
        <v>10</v>
      </c>
      <c r="H10" s="15"/>
      <c r="I10" s="15"/>
      <c r="J10" s="15"/>
      <c r="K10" s="15"/>
      <c r="M10" t="s">
        <v>49</v>
      </c>
      <c r="N10" s="8">
        <f>0.993704</f>
        <v>0.99370400000000003</v>
      </c>
      <c r="O10">
        <f>0.000054</f>
        <v>5.3999999999999998E-5</v>
      </c>
      <c r="P10" s="8">
        <f t="shared" si="1"/>
        <v>5.3999999999999995</v>
      </c>
      <c r="Q10" s="8">
        <f t="shared" si="0"/>
        <v>-6.3358907682770403E-3</v>
      </c>
      <c r="R10" s="8">
        <f t="shared" si="2"/>
        <v>5.4686443952612604</v>
      </c>
    </row>
    <row r="11" spans="1:21" x14ac:dyDescent="0.25">
      <c r="A11" s="15" t="s">
        <v>44</v>
      </c>
      <c r="B11" s="15">
        <v>278</v>
      </c>
      <c r="C11" s="15">
        <v>0</v>
      </c>
      <c r="D11" s="15">
        <v>9.5399999999999991</v>
      </c>
      <c r="E11" s="15" t="s">
        <v>50</v>
      </c>
      <c r="F11" s="15"/>
      <c r="G11" s="15">
        <v>14.5</v>
      </c>
      <c r="H11" s="15"/>
      <c r="I11" s="15"/>
      <c r="J11" s="15"/>
      <c r="K11" s="15"/>
      <c r="M11" t="s">
        <v>51</v>
      </c>
      <c r="N11" s="8">
        <f>0.994624</f>
        <v>0.99462399999999995</v>
      </c>
      <c r="O11">
        <f>0.000055</f>
        <v>5.5000000000000002E-5</v>
      </c>
      <c r="P11" s="8">
        <f t="shared" si="1"/>
        <v>5.5</v>
      </c>
      <c r="Q11" s="8">
        <f t="shared" si="0"/>
        <v>-5.4050575896017463E-3</v>
      </c>
      <c r="R11" s="8">
        <f t="shared" si="2"/>
        <v>5.5596163140471271</v>
      </c>
    </row>
    <row r="12" spans="1:21" x14ac:dyDescent="0.25">
      <c r="M12" t="s">
        <v>52</v>
      </c>
      <c r="N12" s="8">
        <f>0.994539</f>
        <v>0.99453899999999995</v>
      </c>
      <c r="O12">
        <f>0.000042</f>
        <v>4.1999999999999998E-5</v>
      </c>
      <c r="P12" s="8">
        <f t="shared" si="1"/>
        <v>4.2</v>
      </c>
      <c r="Q12" s="8">
        <f t="shared" si="0"/>
        <v>-5.4909862760535782E-3</v>
      </c>
      <c r="R12" s="8">
        <f t="shared" si="2"/>
        <v>4.2462509186260418</v>
      </c>
    </row>
    <row r="13" spans="1:21" x14ac:dyDescent="0.25">
      <c r="M13" t="s">
        <v>53</v>
      </c>
      <c r="N13" s="8">
        <f>0.995012</f>
        <v>0.99501200000000001</v>
      </c>
      <c r="O13">
        <f>0.000053</f>
        <v>5.3000000000000001E-5</v>
      </c>
      <c r="P13" s="8">
        <f t="shared" si="1"/>
        <v>5.3</v>
      </c>
      <c r="Q13" s="8">
        <f t="shared" si="0"/>
        <v>-5.0130048682829878E-3</v>
      </c>
      <c r="R13" s="8">
        <f t="shared" si="2"/>
        <v>5.3532710417581892</v>
      </c>
    </row>
    <row r="14" spans="1:21" x14ac:dyDescent="0.25">
      <c r="M14" t="s">
        <v>54</v>
      </c>
      <c r="N14" s="8">
        <f>0.99621</f>
        <v>0.99621000000000004</v>
      </c>
      <c r="O14">
        <f>0.000053</f>
        <v>5.3000000000000001E-5</v>
      </c>
      <c r="P14" s="8">
        <f t="shared" si="1"/>
        <v>5.3</v>
      </c>
      <c r="Q14" s="8">
        <f t="shared" si="0"/>
        <v>-3.8044187470512845E-3</v>
      </c>
      <c r="R14" s="8">
        <f t="shared" si="2"/>
        <v>5.3404035488093591</v>
      </c>
    </row>
    <row r="17" spans="1:14" x14ac:dyDescent="0.25">
      <c r="M17" s="8"/>
    </row>
    <row r="22" spans="1:14" x14ac:dyDescent="0.25">
      <c r="F22" t="s">
        <v>55</v>
      </c>
    </row>
    <row r="24" spans="1:14" x14ac:dyDescent="0.25">
      <c r="A24" s="56" t="s">
        <v>17</v>
      </c>
      <c r="B24" s="56" t="s">
        <v>18</v>
      </c>
      <c r="C24" s="56" t="s">
        <v>19</v>
      </c>
      <c r="D24" s="56" t="s">
        <v>20</v>
      </c>
      <c r="E24" s="56" t="s">
        <v>21</v>
      </c>
      <c r="F24" s="56" t="s">
        <v>56</v>
      </c>
      <c r="G24" s="56"/>
      <c r="H24" s="54" t="s">
        <v>57</v>
      </c>
      <c r="I24" s="54"/>
      <c r="J24" s="54"/>
      <c r="K24" s="54"/>
      <c r="N24" s="8"/>
    </row>
    <row r="25" spans="1:14" x14ac:dyDescent="0.25">
      <c r="A25" s="57"/>
      <c r="B25" s="57"/>
      <c r="C25" s="57"/>
      <c r="D25" s="57"/>
      <c r="E25" s="57"/>
      <c r="F25" s="18" t="s">
        <v>25</v>
      </c>
      <c r="G25" s="18" t="s">
        <v>26</v>
      </c>
      <c r="H25" s="41" t="s">
        <v>25</v>
      </c>
      <c r="I25" s="42" t="s">
        <v>171</v>
      </c>
      <c r="J25" s="43" t="s">
        <v>26</v>
      </c>
      <c r="K25" s="33" t="s">
        <v>172</v>
      </c>
      <c r="L25" s="19" t="s">
        <v>58</v>
      </c>
      <c r="M25" s="19" t="s">
        <v>59</v>
      </c>
    </row>
    <row r="26" spans="1:14" x14ac:dyDescent="0.25">
      <c r="A26" s="15" t="s">
        <v>32</v>
      </c>
      <c r="B26" s="15">
        <v>70.64</v>
      </c>
      <c r="C26" s="15" t="s">
        <v>33</v>
      </c>
      <c r="D26" s="15" t="s">
        <v>33</v>
      </c>
      <c r="E26" s="15" t="s">
        <v>34</v>
      </c>
      <c r="F26" s="15">
        <v>0</v>
      </c>
      <c r="G26" s="15">
        <f t="shared" ref="G26:G34" si="3">G3/100*0.0077*10^5</f>
        <v>346.5</v>
      </c>
      <c r="H26" s="44">
        <f>ABS(R16-R16)</f>
        <v>0</v>
      </c>
      <c r="I26" s="45" t="s">
        <v>33</v>
      </c>
      <c r="J26" s="46">
        <f>(Q3-Q4)*10^5</f>
        <v>459.73848291901987</v>
      </c>
      <c r="K26" s="45">
        <f>SQRT(R4^2+R3^2)</f>
        <v>7.5629072554340082</v>
      </c>
      <c r="L26" s="47">
        <f>ABS(H26-F26)</f>
        <v>0</v>
      </c>
      <c r="M26" s="15">
        <f t="shared" ref="M26:M33" si="4">ABS(J26-G26)</f>
        <v>113.23848291901987</v>
      </c>
    </row>
    <row r="27" spans="1:14" x14ac:dyDescent="0.25">
      <c r="A27" s="15" t="s">
        <v>36</v>
      </c>
      <c r="B27" s="15">
        <v>309.3</v>
      </c>
      <c r="C27" s="15">
        <v>5.97</v>
      </c>
      <c r="D27" s="15">
        <v>9.6999999999999993</v>
      </c>
      <c r="E27" s="15" t="s">
        <v>34</v>
      </c>
      <c r="F27" s="15">
        <f>F4/100*0.0077*10^5</f>
        <v>10.78</v>
      </c>
      <c r="G27" s="15">
        <f t="shared" si="3"/>
        <v>357.28</v>
      </c>
      <c r="H27" s="44">
        <f>ABS(Q5-$Q$3)*10^5</f>
        <v>2.0081085730541073</v>
      </c>
      <c r="I27" s="45">
        <f>SQRT(R5^2+R$3^2)</f>
        <v>7.3837253876581643</v>
      </c>
      <c r="J27" s="46">
        <f t="shared" ref="J27:J31" si="5">(Q5-$Q$4)*10^5</f>
        <v>457.73037434596569</v>
      </c>
      <c r="K27" s="45">
        <f>SQRT(R5^2+$R$4^2)</f>
        <v>7.5630517217980815</v>
      </c>
      <c r="L27" s="47">
        <f>ABS(H27-F27)</f>
        <v>8.7718914269458921</v>
      </c>
      <c r="M27" s="15">
        <f t="shared" si="4"/>
        <v>100.45037434596571</v>
      </c>
    </row>
    <row r="28" spans="1:14" x14ac:dyDescent="0.25">
      <c r="A28" s="15" t="s">
        <v>38</v>
      </c>
      <c r="B28" s="15">
        <v>311.5</v>
      </c>
      <c r="C28" s="17">
        <v>6.27</v>
      </c>
      <c r="D28" s="15">
        <v>9.9499999999999993</v>
      </c>
      <c r="E28" s="15" t="s">
        <v>34</v>
      </c>
      <c r="F28" s="15">
        <f>F5/100*0.0077*10^5</f>
        <v>33.11</v>
      </c>
      <c r="G28" s="15">
        <f t="shared" si="3"/>
        <v>379.61</v>
      </c>
      <c r="H28" s="44">
        <f>ABS(Q6-$Q$3)*10^5</f>
        <v>11.444682157927621</v>
      </c>
      <c r="I28" s="45">
        <f t="shared" ref="I28:I30" si="6">SQRT(R6^2+R$3^2)</f>
        <v>7.382734181317697</v>
      </c>
      <c r="J28" s="46">
        <f t="shared" si="5"/>
        <v>471.18316507694743</v>
      </c>
      <c r="K28" s="45">
        <f t="shared" ref="K28:K31" si="7">SQRT(R6^2+$R$4^2)</f>
        <v>7.5620840208398832</v>
      </c>
      <c r="L28" s="47">
        <f>ABS(H28-F28)</f>
        <v>21.665317842072376</v>
      </c>
      <c r="M28" s="15">
        <f t="shared" si="4"/>
        <v>91.573165076947419</v>
      </c>
    </row>
    <row r="29" spans="1:14" x14ac:dyDescent="0.25">
      <c r="A29" s="15" t="s">
        <v>40</v>
      </c>
      <c r="B29" s="15">
        <v>317.3</v>
      </c>
      <c r="C29" s="15">
        <v>5.97</v>
      </c>
      <c r="D29" s="15">
        <v>10.11</v>
      </c>
      <c r="E29" s="15" t="s">
        <v>34</v>
      </c>
      <c r="F29" s="15">
        <f>F6/100*0.0077*10^5</f>
        <v>44.66</v>
      </c>
      <c r="G29" s="15">
        <f t="shared" si="3"/>
        <v>391.16</v>
      </c>
      <c r="H29" s="44">
        <f>ABS(Q7-$Q$3)*10^5</f>
        <v>3.2128063109569411</v>
      </c>
      <c r="I29" s="45">
        <f t="shared" si="6"/>
        <v>7.3833406772123684</v>
      </c>
      <c r="J29" s="46">
        <f t="shared" si="5"/>
        <v>462.95128922997674</v>
      </c>
      <c r="K29" s="45">
        <f t="shared" si="7"/>
        <v>7.5626761336198971</v>
      </c>
      <c r="L29" s="47">
        <f>ABS(H29-F29)</f>
        <v>41.447193689043054</v>
      </c>
      <c r="M29" s="15">
        <f t="shared" si="4"/>
        <v>71.791289229976712</v>
      </c>
    </row>
    <row r="30" spans="1:14" x14ac:dyDescent="0.25">
      <c r="A30" s="15" t="s">
        <v>42</v>
      </c>
      <c r="B30" s="15">
        <v>293.89999999999998</v>
      </c>
      <c r="C30" s="15">
        <v>6.15</v>
      </c>
      <c r="D30" s="15">
        <v>9.32</v>
      </c>
      <c r="E30" s="15" t="s">
        <v>34</v>
      </c>
      <c r="F30" s="15">
        <f>F7/100*0.0077*10^5</f>
        <v>26.950000000000003</v>
      </c>
      <c r="G30" s="15">
        <f t="shared" si="3"/>
        <v>373.45</v>
      </c>
      <c r="H30" s="44">
        <f>ABS(Q8-$Q$3)*10^5</f>
        <v>18.075875183395798</v>
      </c>
      <c r="I30" s="45">
        <f t="shared" si="6"/>
        <v>7.600998436870908</v>
      </c>
      <c r="J30" s="46">
        <f t="shared" si="5"/>
        <v>441.66260773562402</v>
      </c>
      <c r="K30" s="45">
        <f t="shared" si="7"/>
        <v>7.7753152980158422</v>
      </c>
      <c r="L30" s="47">
        <f>ABS(H30-F30)</f>
        <v>8.8741248166042048</v>
      </c>
      <c r="M30" s="15">
        <f t="shared" si="4"/>
        <v>68.212607735624033</v>
      </c>
    </row>
    <row r="31" spans="1:14" x14ac:dyDescent="0.25">
      <c r="A31" s="15" t="s">
        <v>44</v>
      </c>
      <c r="B31" s="15">
        <v>278</v>
      </c>
      <c r="C31" s="15">
        <v>0</v>
      </c>
      <c r="D31" s="15">
        <v>9.5399999999999991</v>
      </c>
      <c r="E31" s="15" t="s">
        <v>34</v>
      </c>
      <c r="F31" s="15"/>
      <c r="G31" s="15">
        <f t="shared" si="3"/>
        <v>88.550000000000011</v>
      </c>
      <c r="H31" s="44"/>
      <c r="I31" s="45"/>
      <c r="J31" s="46">
        <f t="shared" si="5"/>
        <v>80.591605330680622</v>
      </c>
      <c r="K31" s="45">
        <f t="shared" si="7"/>
        <v>7.0535485421691595</v>
      </c>
      <c r="L31" s="47"/>
      <c r="M31" s="15">
        <f t="shared" si="4"/>
        <v>7.9583946693193894</v>
      </c>
    </row>
    <row r="32" spans="1:14" x14ac:dyDescent="0.25">
      <c r="A32" s="15" t="s">
        <v>46</v>
      </c>
      <c r="B32" s="15">
        <v>278.3</v>
      </c>
      <c r="C32" s="15">
        <v>0</v>
      </c>
      <c r="D32" s="15">
        <v>9.7799999999999994</v>
      </c>
      <c r="E32" s="15" t="s">
        <v>47</v>
      </c>
      <c r="F32" s="15"/>
      <c r="G32" s="15">
        <f t="shared" si="3"/>
        <v>69.3</v>
      </c>
      <c r="H32" s="44"/>
      <c r="I32" s="45"/>
      <c r="J32" s="46">
        <f>(Q11-$Q$10)*10^5</f>
        <v>93.083317867529402</v>
      </c>
      <c r="K32" s="45">
        <f>SQRT(R11^2+$R$10^2)</f>
        <v>7.7984232432743328</v>
      </c>
      <c r="L32" s="47"/>
      <c r="M32" s="15">
        <f t="shared" si="4"/>
        <v>23.783317867529405</v>
      </c>
    </row>
    <row r="33" spans="1:18" x14ac:dyDescent="0.25">
      <c r="A33" s="15" t="s">
        <v>44</v>
      </c>
      <c r="B33" s="15">
        <v>278</v>
      </c>
      <c r="C33" s="15">
        <v>0</v>
      </c>
      <c r="D33" s="15">
        <v>9.5399999999999991</v>
      </c>
      <c r="E33" s="15" t="s">
        <v>47</v>
      </c>
      <c r="F33" s="15"/>
      <c r="G33" s="15">
        <f t="shared" si="3"/>
        <v>77</v>
      </c>
      <c r="H33" s="44"/>
      <c r="I33" s="45"/>
      <c r="J33" s="46">
        <f>(Q12-$Q$10)*10^5</f>
        <v>84.490449222346214</v>
      </c>
      <c r="K33" s="45">
        <f>SQRT(R12^2+$R$10^2)</f>
        <v>6.9236347669237217</v>
      </c>
      <c r="L33" s="47"/>
      <c r="M33" s="15">
        <f t="shared" si="4"/>
        <v>7.4904492223462142</v>
      </c>
    </row>
    <row r="34" spans="1:18" x14ac:dyDescent="0.25">
      <c r="A34" s="15" t="s">
        <v>44</v>
      </c>
      <c r="B34" s="15">
        <v>278</v>
      </c>
      <c r="C34" s="15">
        <v>0</v>
      </c>
      <c r="D34" s="15">
        <v>9.5399999999999991</v>
      </c>
      <c r="E34" s="15" t="s">
        <v>50</v>
      </c>
      <c r="F34" s="15"/>
      <c r="G34" s="15">
        <f t="shared" si="3"/>
        <v>111.64999999999999</v>
      </c>
      <c r="H34" s="44"/>
      <c r="I34" s="45"/>
      <c r="J34" s="46">
        <f>(Q14-$Q$13)*10^5</f>
        <v>120.85861212317033</v>
      </c>
      <c r="K34" s="45">
        <f>SQRT(R14^2+$R$13^2)</f>
        <v>7.5615752929308586</v>
      </c>
      <c r="L34" s="47"/>
      <c r="M34" s="15">
        <f>ABS(J34-G34)</f>
        <v>9.2086121231703402</v>
      </c>
    </row>
    <row r="39" spans="1:18" x14ac:dyDescent="0.25">
      <c r="A39" s="55" t="s">
        <v>60</v>
      </c>
      <c r="B39" s="55"/>
      <c r="C39" s="55"/>
      <c r="D39" s="55"/>
      <c r="E39" s="55"/>
      <c r="F39" s="55"/>
    </row>
    <row r="40" spans="1:18" x14ac:dyDescent="0.25">
      <c r="A40" t="s">
        <v>61</v>
      </c>
      <c r="B40" t="s">
        <v>62</v>
      </c>
      <c r="C40" t="s">
        <v>63</v>
      </c>
      <c r="D40" t="s">
        <v>64</v>
      </c>
      <c r="E40" t="s">
        <v>65</v>
      </c>
      <c r="F40" t="s">
        <v>66</v>
      </c>
      <c r="G40" t="s">
        <v>67</v>
      </c>
      <c r="H40" t="s">
        <v>68</v>
      </c>
      <c r="I40" t="s">
        <v>69</v>
      </c>
      <c r="J40" t="s">
        <v>70</v>
      </c>
      <c r="K40" t="s">
        <v>71</v>
      </c>
      <c r="L40" t="s">
        <v>72</v>
      </c>
      <c r="M40" t="s">
        <v>73</v>
      </c>
      <c r="N40" t="s">
        <v>74</v>
      </c>
      <c r="O40" t="s">
        <v>75</v>
      </c>
      <c r="Q40" t="s">
        <v>76</v>
      </c>
      <c r="R40">
        <f>1E+24</f>
        <v>9.9999999999999998E+23</v>
      </c>
    </row>
    <row r="41" spans="1:18" x14ac:dyDescent="0.25">
      <c r="A41" t="s">
        <v>77</v>
      </c>
      <c r="B41">
        <v>309.63</v>
      </c>
      <c r="C41">
        <v>5.96</v>
      </c>
      <c r="D41">
        <f>(C41*10^22)*1.00784*$R$47/$R$48</f>
        <v>5.0866197943624272</v>
      </c>
      <c r="E41">
        <f>D41/B41*100</f>
        <v>1.6428058632440097</v>
      </c>
      <c r="F41">
        <f t="shared" ref="F41:F49" si="8">100-G41-E41</f>
        <v>88.537194136756</v>
      </c>
      <c r="G41">
        <v>9.82</v>
      </c>
      <c r="H41">
        <v>1.83E-2</v>
      </c>
      <c r="I41">
        <v>4.0000000000000001E-3</v>
      </c>
      <c r="J41">
        <v>6.11E-3</v>
      </c>
      <c r="K41">
        <v>6.1900000000000002E-3</v>
      </c>
      <c r="L41">
        <v>9.9799999999999997E-4</v>
      </c>
      <c r="M41">
        <v>1.0399999999999999E-4</v>
      </c>
      <c r="N41">
        <f>0.00143</f>
        <v>1.4300000000000001E-3</v>
      </c>
      <c r="O41">
        <v>6.06</v>
      </c>
      <c r="Q41" s="11" t="s">
        <v>78</v>
      </c>
      <c r="R41" s="11">
        <v>2.54</v>
      </c>
    </row>
    <row r="42" spans="1:18" x14ac:dyDescent="0.25">
      <c r="A42" t="s">
        <v>36</v>
      </c>
      <c r="B42">
        <v>309.3</v>
      </c>
      <c r="C42">
        <v>5.97</v>
      </c>
      <c r="D42">
        <f>(C42*10^22)*1.00784*$R$47/$R$48</f>
        <v>5.0951543913328337</v>
      </c>
      <c r="E42">
        <f t="shared" ref="E42:E45" si="9">D42/B42*100</f>
        <v>1.64731794094175</v>
      </c>
      <c r="F42">
        <f t="shared" si="8"/>
        <v>88.65268205905825</v>
      </c>
      <c r="G42">
        <v>9.6999999999999993</v>
      </c>
      <c r="H42">
        <f>H$41*$F42/$F$41</f>
        <v>1.8323870521296019E-2</v>
      </c>
      <c r="I42">
        <f t="shared" ref="I42:L49" si="10">I$41*$F42/$F$41</f>
        <v>4.0052176002832833E-3</v>
      </c>
      <c r="J42">
        <f t="shared" si="10"/>
        <v>6.1179698844327146E-3</v>
      </c>
      <c r="K42">
        <f t="shared" si="10"/>
        <v>6.1980742364383798E-3</v>
      </c>
      <c r="L42">
        <f>L$41*$F42/$F$41</f>
        <v>9.9930179127067894E-4</v>
      </c>
      <c r="M42">
        <f t="shared" ref="M42:N49" si="11">M$41*$G42/$G$41</f>
        <v>1.0272912423625252E-4</v>
      </c>
      <c r="N42">
        <f t="shared" si="11"/>
        <v>1.4125254582484723E-3</v>
      </c>
      <c r="O42">
        <f t="shared" ref="O42:O49" si="12">B42/$R$47</f>
        <v>6.0650947308232492</v>
      </c>
    </row>
    <row r="43" spans="1:18" x14ac:dyDescent="0.25">
      <c r="A43" t="s">
        <v>38</v>
      </c>
      <c r="B43" s="8">
        <v>311.5</v>
      </c>
      <c r="C43" s="10">
        <v>6.27</v>
      </c>
      <c r="D43">
        <f>(C43*10^22)*1.00784*$R$47/$R$48</f>
        <v>5.3511923004450361</v>
      </c>
      <c r="E43">
        <f t="shared" si="9"/>
        <v>1.7178787481364481</v>
      </c>
      <c r="F43">
        <f t="shared" si="8"/>
        <v>88.332121251863555</v>
      </c>
      <c r="G43">
        <v>9.9499999999999993</v>
      </c>
      <c r="H43">
        <f t="shared" ref="H43:H49" si="13">H$41*$F43/$F$41</f>
        <v>1.8257612912515219E-2</v>
      </c>
      <c r="I43">
        <f t="shared" si="10"/>
        <v>3.9907350628448565E-3</v>
      </c>
      <c r="J43">
        <f t="shared" si="10"/>
        <v>6.0958478084955177E-3</v>
      </c>
      <c r="K43">
        <f t="shared" si="10"/>
        <v>6.1756625097524158E-3</v>
      </c>
      <c r="L43">
        <f t="shared" si="10"/>
        <v>9.9568839817979165E-4</v>
      </c>
      <c r="M43">
        <f t="shared" si="11"/>
        <v>1.0537678207739306E-4</v>
      </c>
      <c r="N43">
        <f t="shared" si="11"/>
        <v>1.4489307535641546E-3</v>
      </c>
      <c r="O43">
        <f t="shared" si="12"/>
        <v>6.1082347515403885</v>
      </c>
      <c r="Q43" s="11" t="s">
        <v>79</v>
      </c>
      <c r="R43" s="11">
        <f>0.532/2</f>
        <v>0.26600000000000001</v>
      </c>
    </row>
    <row r="44" spans="1:18" x14ac:dyDescent="0.25">
      <c r="A44" t="s">
        <v>40</v>
      </c>
      <c r="B44">
        <v>317.3</v>
      </c>
      <c r="C44">
        <v>5.97</v>
      </c>
      <c r="D44">
        <f>(C44*10^22)*1.00784*$R$47/$R$48</f>
        <v>5.0951543913328337</v>
      </c>
      <c r="E44">
        <f t="shared" si="9"/>
        <v>1.6057845544698499</v>
      </c>
      <c r="F44">
        <f t="shared" si="8"/>
        <v>88.284215445530151</v>
      </c>
      <c r="G44">
        <v>10.11</v>
      </c>
      <c r="H44">
        <f>H$41*$F44/$F$41</f>
        <v>1.8247711127571061E-2</v>
      </c>
      <c r="I44">
        <f t="shared" si="10"/>
        <v>3.9885707382668984E-3</v>
      </c>
      <c r="J44">
        <f>J$41*$F44/$F$41</f>
        <v>6.0925418027026872E-3</v>
      </c>
      <c r="K44">
        <f>K$41*$F44/$F$41</f>
        <v>6.1723132174680258E-3</v>
      </c>
      <c r="L44">
        <f t="shared" si="10"/>
        <v>9.9514839919759117E-4</v>
      </c>
      <c r="M44">
        <f t="shared" si="11"/>
        <v>1.0707128309572299E-4</v>
      </c>
      <c r="N44">
        <f t="shared" si="11"/>
        <v>1.4722301425661914E-3</v>
      </c>
      <c r="O44">
        <f t="shared" si="12"/>
        <v>6.2219675334310285</v>
      </c>
      <c r="Q44" s="11" t="s">
        <v>80</v>
      </c>
      <c r="R44" s="11">
        <v>14</v>
      </c>
    </row>
    <row r="45" spans="1:18" x14ac:dyDescent="0.25">
      <c r="A45" t="s">
        <v>42</v>
      </c>
      <c r="B45">
        <v>293.89999999999998</v>
      </c>
      <c r="C45">
        <v>6.15</v>
      </c>
      <c r="D45">
        <f>(C45*10^22)*1.00784*$R$47/$R$48</f>
        <v>5.2487771368001548</v>
      </c>
      <c r="E45">
        <f t="shared" si="9"/>
        <v>1.7859057968016858</v>
      </c>
      <c r="F45">
        <f t="shared" si="8"/>
        <v>88.894094203198321</v>
      </c>
      <c r="G45">
        <v>9.32</v>
      </c>
      <c r="H45">
        <f t="shared" si="13"/>
        <v>1.837376867179466E-2</v>
      </c>
      <c r="I45">
        <f>I$41*$F45/$F$41</f>
        <v>4.0161242998458272E-3</v>
      </c>
      <c r="J45">
        <f t="shared" si="10"/>
        <v>6.1346298680145014E-3</v>
      </c>
      <c r="K45">
        <f t="shared" si="10"/>
        <v>6.2149523540114176E-3</v>
      </c>
      <c r="L45">
        <f t="shared" si="10"/>
        <v>1.0020230128115341E-3</v>
      </c>
      <c r="M45">
        <f t="shared" si="11"/>
        <v>9.8704684317718941E-5</v>
      </c>
      <c r="N45">
        <f t="shared" si="11"/>
        <v>1.3571894093686355E-3</v>
      </c>
      <c r="O45">
        <f t="shared" si="12"/>
        <v>5.7631145858032751</v>
      </c>
      <c r="Q45" s="11" t="s">
        <v>81</v>
      </c>
      <c r="R45" s="11">
        <f>R43*R41</f>
        <v>0.67564000000000002</v>
      </c>
    </row>
    <row r="46" spans="1:18" x14ac:dyDescent="0.25">
      <c r="A46" t="s">
        <v>44</v>
      </c>
      <c r="B46">
        <v>278</v>
      </c>
      <c r="C46">
        <v>0</v>
      </c>
      <c r="F46">
        <f t="shared" si="8"/>
        <v>90.460000000000008</v>
      </c>
      <c r="G46">
        <v>9.5399999999999991</v>
      </c>
      <c r="H46">
        <f t="shared" si="13"/>
        <v>1.8697430115562672E-2</v>
      </c>
      <c r="I46">
        <f>I$41*$F46/$F$41</f>
        <v>4.0868699706147907E-3</v>
      </c>
      <c r="J46">
        <f t="shared" si="10"/>
        <v>6.2426938801140933E-3</v>
      </c>
      <c r="K46">
        <f t="shared" si="10"/>
        <v>6.3244312795263892E-3</v>
      </c>
      <c r="L46">
        <f t="shared" si="10"/>
        <v>1.0196740576683904E-3</v>
      </c>
      <c r="M46">
        <f t="shared" si="11"/>
        <v>1.0103462321792258E-4</v>
      </c>
      <c r="N46">
        <f t="shared" si="11"/>
        <v>1.3892260692464358E-3</v>
      </c>
      <c r="O46">
        <f t="shared" si="12"/>
        <v>5.4513298906203147</v>
      </c>
      <c r="Q46" s="11" t="s">
        <v>82</v>
      </c>
      <c r="R46" s="11">
        <f>R44*R41</f>
        <v>35.56</v>
      </c>
    </row>
    <row r="47" spans="1:18" x14ac:dyDescent="0.25">
      <c r="A47" t="s">
        <v>46</v>
      </c>
      <c r="B47">
        <v>278.3</v>
      </c>
      <c r="C47">
        <v>0</v>
      </c>
      <c r="F47">
        <f t="shared" si="8"/>
        <v>90.22</v>
      </c>
      <c r="G47">
        <v>9.7799999999999994</v>
      </c>
      <c r="H47">
        <f t="shared" si="13"/>
        <v>1.8647823845081405E-2</v>
      </c>
      <c r="I47">
        <f t="shared" si="10"/>
        <v>4.0760270699631484E-3</v>
      </c>
      <c r="J47">
        <f t="shared" si="10"/>
        <v>6.2261313493687086E-3</v>
      </c>
      <c r="K47">
        <f t="shared" si="10"/>
        <v>6.3076518907679725E-3</v>
      </c>
      <c r="L47">
        <f t="shared" si="10"/>
        <v>1.0169687539558054E-3</v>
      </c>
      <c r="M47">
        <f t="shared" si="11"/>
        <v>1.0357637474541749E-4</v>
      </c>
      <c r="N47">
        <f t="shared" si="11"/>
        <v>1.4241751527494908E-3</v>
      </c>
      <c r="O47">
        <f t="shared" si="12"/>
        <v>5.4572126207181064</v>
      </c>
      <c r="Q47" s="11" t="s">
        <v>83</v>
      </c>
      <c r="R47" s="11">
        <f>PI()*R45^2*R46</f>
        <v>50.996730261790482</v>
      </c>
    </row>
    <row r="48" spans="1:18" x14ac:dyDescent="0.25">
      <c r="A48" t="s">
        <v>44</v>
      </c>
      <c r="B48">
        <v>278</v>
      </c>
      <c r="C48">
        <v>0</v>
      </c>
      <c r="F48">
        <f t="shared" si="8"/>
        <v>90.460000000000008</v>
      </c>
      <c r="G48">
        <v>9.5399999999999991</v>
      </c>
      <c r="H48">
        <f t="shared" si="13"/>
        <v>1.8697430115562672E-2</v>
      </c>
      <c r="I48">
        <f t="shared" si="10"/>
        <v>4.0868699706147907E-3</v>
      </c>
      <c r="J48">
        <f t="shared" si="10"/>
        <v>6.2426938801140933E-3</v>
      </c>
      <c r="K48">
        <f t="shared" si="10"/>
        <v>6.3244312795263892E-3</v>
      </c>
      <c r="L48">
        <f t="shared" si="10"/>
        <v>1.0196740576683904E-3</v>
      </c>
      <c r="M48">
        <f t="shared" si="11"/>
        <v>1.0103462321792258E-4</v>
      </c>
      <c r="N48">
        <f t="shared" si="11"/>
        <v>1.3892260692464358E-3</v>
      </c>
      <c r="O48">
        <f t="shared" si="12"/>
        <v>5.4513298906203147</v>
      </c>
      <c r="Q48" t="s">
        <v>84</v>
      </c>
      <c r="R48">
        <f>6.0221408E+23</f>
        <v>6.0221408E+23</v>
      </c>
    </row>
    <row r="49" spans="1:18" x14ac:dyDescent="0.25">
      <c r="A49" t="s">
        <v>44</v>
      </c>
      <c r="B49">
        <v>278</v>
      </c>
      <c r="C49">
        <v>0</v>
      </c>
      <c r="F49">
        <f t="shared" si="8"/>
        <v>90.460000000000008</v>
      </c>
      <c r="G49">
        <v>9.5399999999999991</v>
      </c>
      <c r="H49">
        <f t="shared" si="13"/>
        <v>1.8697430115562672E-2</v>
      </c>
      <c r="I49">
        <f t="shared" si="10"/>
        <v>4.0868699706147907E-3</v>
      </c>
      <c r="J49">
        <f t="shared" si="10"/>
        <v>6.2426938801140933E-3</v>
      </c>
      <c r="K49">
        <f t="shared" si="10"/>
        <v>6.3244312795263892E-3</v>
      </c>
      <c r="L49">
        <f t="shared" si="10"/>
        <v>1.0196740576683904E-3</v>
      </c>
      <c r="M49">
        <f t="shared" si="11"/>
        <v>1.0103462321792258E-4</v>
      </c>
      <c r="N49">
        <f t="shared" si="11"/>
        <v>1.3892260692464358E-3</v>
      </c>
      <c r="O49">
        <f t="shared" si="12"/>
        <v>5.4513298906203147</v>
      </c>
      <c r="Q49" t="s">
        <v>85</v>
      </c>
      <c r="R49">
        <v>6.06</v>
      </c>
    </row>
  </sheetData>
  <mergeCells count="19">
    <mergeCell ref="D1:D2"/>
    <mergeCell ref="C1:C2"/>
    <mergeCell ref="B1:B2"/>
    <mergeCell ref="A1:A2"/>
    <mergeCell ref="H1:K1"/>
    <mergeCell ref="F1:G1"/>
    <mergeCell ref="S4:U4"/>
    <mergeCell ref="S5:U5"/>
    <mergeCell ref="M1:R1"/>
    <mergeCell ref="S3:U3"/>
    <mergeCell ref="E1:E2"/>
    <mergeCell ref="H24:K24"/>
    <mergeCell ref="A39:F39"/>
    <mergeCell ref="A24:A25"/>
    <mergeCell ref="B24:B25"/>
    <mergeCell ref="C24:C25"/>
    <mergeCell ref="D24:D25"/>
    <mergeCell ref="E24:E25"/>
    <mergeCell ref="F24:G2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B7DB3-BD63-42E7-866C-B45856776591}">
  <dimension ref="A2:F11"/>
  <sheetViews>
    <sheetView workbookViewId="0">
      <selection activeCell="D17" sqref="D17"/>
    </sheetView>
  </sheetViews>
  <sheetFormatPr defaultRowHeight="15" x14ac:dyDescent="0.25"/>
  <cols>
    <col min="1" max="1" width="23.140625" bestFit="1" customWidth="1"/>
    <col min="2" max="2" width="16.28515625" bestFit="1" customWidth="1"/>
    <col min="3" max="3" width="22.5703125" bestFit="1" customWidth="1"/>
    <col min="4" max="4" width="19.7109375" bestFit="1" customWidth="1"/>
    <col min="5" max="5" width="22.42578125" bestFit="1" customWidth="1"/>
    <col min="6" max="6" width="12" bestFit="1" customWidth="1"/>
  </cols>
  <sheetData>
    <row r="2" spans="1:6" x14ac:dyDescent="0.25">
      <c r="B2" t="s">
        <v>86</v>
      </c>
      <c r="C2" t="s">
        <v>87</v>
      </c>
      <c r="D2" t="s">
        <v>88</v>
      </c>
      <c r="E2" t="s">
        <v>89</v>
      </c>
      <c r="F2" t="s">
        <v>90</v>
      </c>
    </row>
    <row r="3" spans="1:6" x14ac:dyDescent="0.25">
      <c r="A3" t="s">
        <v>91</v>
      </c>
      <c r="B3">
        <f>0.00797</f>
        <v>7.9699999999999997E-3</v>
      </c>
      <c r="C3" s="12">
        <v>2.0300000000000001E-3</v>
      </c>
      <c r="D3">
        <v>7.7000000000000002E-3</v>
      </c>
      <c r="F3">
        <f>(B3-D3)*10^5</f>
        <v>26.99999999999994</v>
      </c>
    </row>
    <row r="4" spans="1:6" x14ac:dyDescent="0.25">
      <c r="A4" t="s">
        <v>92</v>
      </c>
      <c r="B4" s="9">
        <v>6.8426399999999998E-6</v>
      </c>
      <c r="C4" s="14">
        <f>0.00045</f>
        <v>4.4999999999999999E-4</v>
      </c>
      <c r="D4" s="8">
        <v>8.1000000000000004E-6</v>
      </c>
      <c r="F4">
        <f>ABS(B4-D4)/D4*100</f>
        <v>15.52296296296297</v>
      </c>
    </row>
    <row r="5" spans="1:6" x14ac:dyDescent="0.25">
      <c r="A5" t="s">
        <v>93</v>
      </c>
      <c r="B5">
        <f>B3/B4</f>
        <v>1164.7551237534051</v>
      </c>
      <c r="C5" s="8">
        <f>B5*SQRT((C3)^2+(C4)^2)</f>
        <v>2.4218505441072606</v>
      </c>
      <c r="D5">
        <v>950</v>
      </c>
      <c r="E5">
        <v>95</v>
      </c>
      <c r="F5">
        <f>B5-D5</f>
        <v>214.75512375340509</v>
      </c>
    </row>
    <row r="8" spans="1:6" x14ac:dyDescent="0.25">
      <c r="C8" s="13"/>
    </row>
    <row r="11" spans="1:6" x14ac:dyDescent="0.25">
      <c r="B11" s="8"/>
      <c r="C11" s="8"/>
      <c r="D11" s="8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D15DD-F9AA-4BEC-92A0-EB000268070E}">
  <dimension ref="A1:F20"/>
  <sheetViews>
    <sheetView workbookViewId="0">
      <selection activeCell="A9" sqref="A9:D15"/>
    </sheetView>
  </sheetViews>
  <sheetFormatPr defaultRowHeight="15" x14ac:dyDescent="0.25"/>
  <cols>
    <col min="1" max="1" width="38.85546875" bestFit="1" customWidth="1"/>
    <col min="2" max="2" width="12.7109375" bestFit="1" customWidth="1"/>
    <col min="3" max="3" width="12.5703125" bestFit="1" customWidth="1"/>
    <col min="4" max="4" width="13.140625" customWidth="1"/>
    <col min="5" max="5" width="19.28515625" bestFit="1" customWidth="1"/>
    <col min="6" max="6" width="12.7109375" bestFit="1" customWidth="1"/>
  </cols>
  <sheetData>
    <row r="1" spans="1:6" x14ac:dyDescent="0.25">
      <c r="A1" s="33" t="s">
        <v>96</v>
      </c>
      <c r="B1" s="33" t="s">
        <v>97</v>
      </c>
      <c r="C1" s="33" t="s">
        <v>98</v>
      </c>
      <c r="D1" s="33" t="s">
        <v>99</v>
      </c>
      <c r="E1" s="33" t="s">
        <v>100</v>
      </c>
      <c r="F1" s="33" t="s">
        <v>101</v>
      </c>
    </row>
    <row r="2" spans="1:6" x14ac:dyDescent="0.25">
      <c r="A2" t="s">
        <v>102</v>
      </c>
      <c r="B2" t="s">
        <v>109</v>
      </c>
      <c r="C2" t="s">
        <v>110</v>
      </c>
      <c r="D2" t="s">
        <v>111</v>
      </c>
      <c r="E2" t="s">
        <v>109</v>
      </c>
      <c r="F2" t="s">
        <v>109</v>
      </c>
    </row>
    <row r="3" spans="1:6" x14ac:dyDescent="0.25">
      <c r="A3" t="s">
        <v>103</v>
      </c>
      <c r="B3" t="s">
        <v>111</v>
      </c>
      <c r="C3" t="s">
        <v>111</v>
      </c>
      <c r="D3" t="s">
        <v>111</v>
      </c>
      <c r="E3" t="s">
        <v>112</v>
      </c>
      <c r="F3" t="s">
        <v>111</v>
      </c>
    </row>
    <row r="4" spans="1:6" x14ac:dyDescent="0.25">
      <c r="A4" t="s">
        <v>104</v>
      </c>
      <c r="B4">
        <v>38</v>
      </c>
      <c r="C4">
        <v>25</v>
      </c>
      <c r="D4">
        <v>0</v>
      </c>
      <c r="E4">
        <v>20</v>
      </c>
      <c r="F4">
        <v>20</v>
      </c>
    </row>
    <row r="5" spans="1:6" x14ac:dyDescent="0.25">
      <c r="A5" t="s">
        <v>105</v>
      </c>
      <c r="B5">
        <v>178</v>
      </c>
      <c r="C5">
        <v>186</v>
      </c>
      <c r="D5">
        <v>211</v>
      </c>
      <c r="E5">
        <v>191</v>
      </c>
      <c r="F5">
        <v>191</v>
      </c>
    </row>
    <row r="6" spans="1:6" x14ac:dyDescent="0.25">
      <c r="A6" t="s">
        <v>113</v>
      </c>
      <c r="B6">
        <v>9.6999999999999993</v>
      </c>
      <c r="C6">
        <v>14.4</v>
      </c>
      <c r="D6">
        <v>-28</v>
      </c>
      <c r="E6">
        <v>9.3000000000000007</v>
      </c>
      <c r="F6">
        <v>374</v>
      </c>
    </row>
    <row r="7" spans="1:6" x14ac:dyDescent="0.25">
      <c r="A7" t="s">
        <v>106</v>
      </c>
      <c r="B7">
        <v>7.7000000000000002E-3</v>
      </c>
      <c r="C7">
        <f>B7</f>
        <v>7.7000000000000002E-3</v>
      </c>
      <c r="D7">
        <f t="shared" ref="D7:F7" si="0">C7</f>
        <v>7.7000000000000002E-3</v>
      </c>
      <c r="E7">
        <f t="shared" si="0"/>
        <v>7.7000000000000002E-3</v>
      </c>
      <c r="F7">
        <f t="shared" si="0"/>
        <v>7.7000000000000002E-3</v>
      </c>
    </row>
    <row r="8" spans="1:6" x14ac:dyDescent="0.25">
      <c r="A8" t="s">
        <v>107</v>
      </c>
      <c r="B8" s="36">
        <v>74.69</v>
      </c>
      <c r="C8" s="36">
        <v>110.88</v>
      </c>
      <c r="D8" s="36">
        <v>-215.6</v>
      </c>
      <c r="E8" s="36">
        <v>71.61</v>
      </c>
      <c r="F8" s="36">
        <v>2879.8</v>
      </c>
    </row>
    <row r="9" spans="1:6" x14ac:dyDescent="0.25">
      <c r="A9" t="s">
        <v>146</v>
      </c>
      <c r="B9">
        <f>1/(1-10^(-5)*B8)</f>
        <v>1.0007474582765867</v>
      </c>
      <c r="C9">
        <f t="shared" ref="C9:F9" si="1">1/(1-10^(-5)*C8)</f>
        <v>1.0011100308021534</v>
      </c>
      <c r="D9">
        <f t="shared" si="1"/>
        <v>0.99784863833574811</v>
      </c>
      <c r="E9">
        <f t="shared" si="1"/>
        <v>1.0007166131666887</v>
      </c>
      <c r="F9">
        <f t="shared" si="1"/>
        <v>1.0296519158733199</v>
      </c>
    </row>
    <row r="10" spans="1:6" ht="18" x14ac:dyDescent="0.35">
      <c r="A10" t="s">
        <v>114</v>
      </c>
      <c r="B10">
        <v>1.0005500000000001</v>
      </c>
      <c r="C10">
        <v>1.0015099999999999</v>
      </c>
      <c r="D10">
        <v>0.99760300000000002</v>
      </c>
      <c r="E10">
        <v>0.99789499999999998</v>
      </c>
      <c r="F10" s="23">
        <v>1.02627</v>
      </c>
    </row>
    <row r="11" spans="1:6" x14ac:dyDescent="0.25">
      <c r="A11" t="s">
        <v>147</v>
      </c>
      <c r="B11">
        <f>B12*10^-5*3</f>
        <v>1.5900000000000002E-4</v>
      </c>
      <c r="C11">
        <f>C12*10^-5*3</f>
        <v>1.56E-4</v>
      </c>
      <c r="D11">
        <f>D12*10^-5*3</f>
        <v>1.56E-4</v>
      </c>
      <c r="E11">
        <f>E12*10^-5*3</f>
        <v>1.5900000000000002E-4</v>
      </c>
      <c r="F11">
        <f>F12*10^-5*3</f>
        <v>1.5900000000000002E-4</v>
      </c>
    </row>
    <row r="12" spans="1:6" x14ac:dyDescent="0.25">
      <c r="A12" t="s">
        <v>129</v>
      </c>
      <c r="B12">
        <f>0.000053*10^5</f>
        <v>5.3</v>
      </c>
      <c r="C12">
        <f>0.000052*10^5</f>
        <v>5.1999999999999993</v>
      </c>
      <c r="D12">
        <f>0.000052*10^5</f>
        <v>5.1999999999999993</v>
      </c>
      <c r="E12">
        <f>0.000053*10^5</f>
        <v>5.3</v>
      </c>
      <c r="F12">
        <f>0.000053*10^5</f>
        <v>5.3</v>
      </c>
    </row>
    <row r="13" spans="1:6" x14ac:dyDescent="0.25">
      <c r="A13" t="s">
        <v>108</v>
      </c>
      <c r="B13" s="35">
        <f>(1-1/B10)*10^5</f>
        <v>54.9697666283544</v>
      </c>
      <c r="C13" s="36">
        <f>(1-1/C10)*10^5</f>
        <v>150.77233377598364</v>
      </c>
      <c r="D13" s="36">
        <f>(1-1/D10)*10^5</f>
        <v>-240.27594143161136</v>
      </c>
      <c r="E13" s="36">
        <f>(1-1/E10)*10^5</f>
        <v>-210.9440371983018</v>
      </c>
      <c r="F13" s="36">
        <f>(1-1/F10)*10^5</f>
        <v>2559.7552301051428</v>
      </c>
    </row>
    <row r="14" spans="1:6" x14ac:dyDescent="0.25">
      <c r="A14" t="s">
        <v>116</v>
      </c>
      <c r="B14" s="34">
        <f>(B12/B10^2)</f>
        <v>5.2941748062252731</v>
      </c>
      <c r="C14" s="34">
        <f>(C12/C10^2)</f>
        <v>5.184331498081546</v>
      </c>
      <c r="D14" s="34">
        <f>(D12/D10^2)</f>
        <v>5.2250187188234625</v>
      </c>
      <c r="E14" s="34">
        <f>(E12/E10^2)</f>
        <v>5.3223836515580398</v>
      </c>
      <c r="F14" s="34">
        <f>(F12/F10^2)</f>
        <v>5.0321386894330216</v>
      </c>
    </row>
    <row r="15" spans="1:6" x14ac:dyDescent="0.25">
      <c r="A15" t="s">
        <v>115</v>
      </c>
      <c r="B15" s="35">
        <f>B13-B8</f>
        <v>-19.720233371645598</v>
      </c>
      <c r="C15" s="35">
        <f>C13-C8</f>
        <v>39.892333775983644</v>
      </c>
      <c r="D15" s="35">
        <f>D13-D8</f>
        <v>-24.675941431611363</v>
      </c>
      <c r="E15" s="36">
        <f>E13-E8</f>
        <v>-282.55403719830178</v>
      </c>
      <c r="F15" s="36">
        <f>F13-F8</f>
        <v>-320.04476989485738</v>
      </c>
    </row>
    <row r="20" spans="6:6" x14ac:dyDescent="0.25">
      <c r="F20" s="22"/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70EDE-55E6-43A0-B2B0-61DA81F5377B}">
  <dimension ref="A1:O17"/>
  <sheetViews>
    <sheetView workbookViewId="0">
      <selection activeCell="B7" sqref="B7"/>
    </sheetView>
  </sheetViews>
  <sheetFormatPr defaultRowHeight="15" x14ac:dyDescent="0.25"/>
  <cols>
    <col min="1" max="1" width="36.85546875" bestFit="1" customWidth="1"/>
    <col min="2" max="2" width="15.5703125" bestFit="1" customWidth="1"/>
    <col min="3" max="3" width="26.85546875" bestFit="1" customWidth="1"/>
    <col min="4" max="4" width="21.85546875" bestFit="1" customWidth="1"/>
    <col min="5" max="5" width="12" bestFit="1" customWidth="1"/>
    <col min="8" max="8" width="12.7109375" bestFit="1" customWidth="1"/>
    <col min="9" max="9" width="16.7109375" bestFit="1" customWidth="1"/>
    <col min="10" max="10" width="19.28515625" bestFit="1" customWidth="1"/>
    <col min="11" max="11" width="12.7109375" bestFit="1" customWidth="1"/>
    <col min="13" max="13" width="8.28515625" bestFit="1" customWidth="1"/>
    <col min="14" max="14" width="11.5703125" bestFit="1" customWidth="1"/>
    <col min="15" max="15" width="12.7109375" bestFit="1" customWidth="1"/>
    <col min="16" max="16" width="12.28515625" bestFit="1" customWidth="1"/>
  </cols>
  <sheetData>
    <row r="1" spans="1:15" x14ac:dyDescent="0.25">
      <c r="A1" s="33" t="s">
        <v>120</v>
      </c>
      <c r="B1" s="33" t="s">
        <v>100</v>
      </c>
      <c r="C1" s="33" t="s">
        <v>34</v>
      </c>
      <c r="D1" s="33" t="s">
        <v>118</v>
      </c>
      <c r="E1" s="33"/>
    </row>
    <row r="2" spans="1:15" x14ac:dyDescent="0.25">
      <c r="A2" t="s">
        <v>113</v>
      </c>
      <c r="B2">
        <v>9.3000000000000007</v>
      </c>
      <c r="C2">
        <v>-2.5</v>
      </c>
      <c r="D2">
        <v>-4.3</v>
      </c>
    </row>
    <row r="3" spans="1:15" x14ac:dyDescent="0.25">
      <c r="A3" t="s">
        <v>119</v>
      </c>
      <c r="B3">
        <v>7.7000000000000002E-3</v>
      </c>
      <c r="C3">
        <f>B3</f>
        <v>7.7000000000000002E-3</v>
      </c>
      <c r="D3">
        <f>C3</f>
        <v>7.7000000000000002E-3</v>
      </c>
    </row>
    <row r="4" spans="1:15" x14ac:dyDescent="0.25">
      <c r="A4" t="s">
        <v>107</v>
      </c>
      <c r="B4" s="36">
        <f>B2/100*B3*10^5</f>
        <v>71.610000000000014</v>
      </c>
      <c r="C4" s="36">
        <f>C2/100*C3*10^5</f>
        <v>-19.25</v>
      </c>
      <c r="D4" s="36">
        <f t="shared" ref="D4" si="0">D2/100*D3*10^5</f>
        <v>-33.11</v>
      </c>
      <c r="E4" s="36"/>
      <c r="J4" s="21"/>
      <c r="M4" s="8"/>
      <c r="O4" s="8"/>
    </row>
    <row r="5" spans="1:15" ht="18" x14ac:dyDescent="0.35">
      <c r="A5" t="s">
        <v>114</v>
      </c>
      <c r="B5" s="23">
        <f>0.997902</f>
        <v>0.99790199999999996</v>
      </c>
      <c r="C5">
        <f xml:space="preserve"> 0.998157</f>
        <v>0.99815699999999996</v>
      </c>
      <c r="D5">
        <f>0.998395</f>
        <v>0.99839500000000003</v>
      </c>
      <c r="M5" s="8"/>
      <c r="O5" s="8"/>
    </row>
    <row r="6" spans="1:15" x14ac:dyDescent="0.25">
      <c r="A6" t="s">
        <v>117</v>
      </c>
      <c r="B6">
        <f>0.000041</f>
        <v>4.1E-5</v>
      </c>
      <c r="C6">
        <f>0.000042</f>
        <v>4.1999999999999998E-5</v>
      </c>
      <c r="D6">
        <f>0.000053</f>
        <v>5.3000000000000001E-5</v>
      </c>
      <c r="J6" s="8"/>
      <c r="L6" s="8"/>
      <c r="M6" s="8"/>
      <c r="O6" s="8"/>
    </row>
    <row r="7" spans="1:15" x14ac:dyDescent="0.25">
      <c r="A7" t="s">
        <v>108</v>
      </c>
      <c r="B7">
        <f>(1-1/B5)*10^5</f>
        <v>-210.24108579801305</v>
      </c>
      <c r="C7">
        <f>(1-1/C5)*10^5</f>
        <v>-184.64029205826904</v>
      </c>
      <c r="D7">
        <f>(1-1/D5)*10^5</f>
        <v>-160.75801661665778</v>
      </c>
      <c r="M7" s="8"/>
    </row>
    <row r="8" spans="1:15" x14ac:dyDescent="0.25">
      <c r="A8" t="s">
        <v>116</v>
      </c>
      <c r="B8">
        <f>B6/B5^2*10^5</f>
        <v>4.1172578915742415</v>
      </c>
      <c r="C8">
        <f>C6/C5^2*10^5</f>
        <v>4.2155241031886241</v>
      </c>
      <c r="D8">
        <f>D6/D5^2*10^5</f>
        <v>5.3170540466255174</v>
      </c>
    </row>
    <row r="9" spans="1:15" x14ac:dyDescent="0.25">
      <c r="A9" t="s">
        <v>121</v>
      </c>
      <c r="B9" t="s">
        <v>122</v>
      </c>
      <c r="C9">
        <f>$B$7-C7</f>
        <v>-25.600793739744006</v>
      </c>
      <c r="D9">
        <f>$B$7-D7</f>
        <v>-49.483069181355262</v>
      </c>
    </row>
    <row r="10" spans="1:15" x14ac:dyDescent="0.25">
      <c r="A10" t="s">
        <v>115</v>
      </c>
      <c r="B10" t="s">
        <v>122</v>
      </c>
      <c r="C10">
        <f>C9-C4</f>
        <v>-6.350793739744006</v>
      </c>
      <c r="D10">
        <f>D9-D4</f>
        <v>-16.373069181355262</v>
      </c>
    </row>
    <row r="11" spans="1:15" x14ac:dyDescent="0.25">
      <c r="A11" t="s">
        <v>123</v>
      </c>
      <c r="B11" t="s">
        <v>122</v>
      </c>
      <c r="C11">
        <f>SQRT(C8^2+$B$8^2)</f>
        <v>5.8925763474302668</v>
      </c>
      <c r="D11">
        <f>SQRT(D8^2+$B$8^2)</f>
        <v>6.7247956311301511</v>
      </c>
    </row>
    <row r="13" spans="1:15" x14ac:dyDescent="0.25">
      <c r="F13">
        <f>2.3/100*10^5*0.0077</f>
        <v>17.71</v>
      </c>
    </row>
    <row r="17" spans="1:4" x14ac:dyDescent="0.25">
      <c r="A17" t="s">
        <v>167</v>
      </c>
      <c r="D17">
        <f>(2.5+4.3)/3</f>
        <v>2.2666666666666666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0C2A5-95E4-4328-B468-07CC8731BD2A}">
  <dimension ref="A1:C13"/>
  <sheetViews>
    <sheetView workbookViewId="0">
      <selection activeCell="C19" sqref="C19:D19"/>
    </sheetView>
  </sheetViews>
  <sheetFormatPr defaultRowHeight="15" x14ac:dyDescent="0.25"/>
  <cols>
    <col min="1" max="1" width="22.7109375" bestFit="1" customWidth="1"/>
    <col min="2" max="2" width="30.5703125" bestFit="1" customWidth="1"/>
    <col min="3" max="3" width="30.140625" bestFit="1" customWidth="1"/>
  </cols>
  <sheetData>
    <row r="1" spans="1:3" x14ac:dyDescent="0.25">
      <c r="A1" s="33" t="s">
        <v>130</v>
      </c>
      <c r="B1" s="33" t="s">
        <v>131</v>
      </c>
      <c r="C1" s="33" t="s">
        <v>132</v>
      </c>
    </row>
    <row r="2" spans="1:3" x14ac:dyDescent="0.25">
      <c r="A2" t="s">
        <v>133</v>
      </c>
      <c r="B2" t="s">
        <v>144</v>
      </c>
      <c r="C2" t="s">
        <v>144</v>
      </c>
    </row>
    <row r="3" spans="1:3" x14ac:dyDescent="0.25">
      <c r="A3" t="s">
        <v>134</v>
      </c>
      <c r="B3">
        <v>0.53200000000000003</v>
      </c>
      <c r="C3">
        <v>0.53200000000000003</v>
      </c>
    </row>
    <row r="4" spans="1:3" x14ac:dyDescent="0.25">
      <c r="A4" t="s">
        <v>135</v>
      </c>
      <c r="B4">
        <v>14</v>
      </c>
      <c r="C4">
        <v>14</v>
      </c>
    </row>
    <row r="5" spans="1:3" x14ac:dyDescent="0.25">
      <c r="A5" t="s">
        <v>136</v>
      </c>
      <c r="B5">
        <v>309.65300000000002</v>
      </c>
      <c r="C5">
        <v>309.02300000000002</v>
      </c>
    </row>
    <row r="6" spans="1:3" x14ac:dyDescent="0.25">
      <c r="A6" t="s">
        <v>137</v>
      </c>
      <c r="B6">
        <v>30.4</v>
      </c>
      <c r="C6">
        <v>30.4</v>
      </c>
    </row>
    <row r="7" spans="1:3" x14ac:dyDescent="0.25">
      <c r="A7" t="s">
        <v>138</v>
      </c>
      <c r="B7">
        <v>93.15</v>
      </c>
      <c r="C7">
        <v>93.14</v>
      </c>
    </row>
    <row r="8" spans="1:3" ht="18" x14ac:dyDescent="0.35">
      <c r="A8" t="s">
        <v>145</v>
      </c>
      <c r="B8" s="8">
        <v>5.96E-2</v>
      </c>
      <c r="C8" s="8">
        <v>5.96E-2</v>
      </c>
    </row>
    <row r="9" spans="1:3" x14ac:dyDescent="0.25">
      <c r="A9" t="s">
        <v>139</v>
      </c>
      <c r="B9">
        <v>9.82</v>
      </c>
      <c r="C9">
        <v>9.84</v>
      </c>
    </row>
    <row r="10" spans="1:3" x14ac:dyDescent="0.25">
      <c r="A10" t="s">
        <v>140</v>
      </c>
      <c r="B10">
        <v>88.53</v>
      </c>
      <c r="C10">
        <v>88.52</v>
      </c>
    </row>
    <row r="11" spans="1:3" x14ac:dyDescent="0.25">
      <c r="A11" t="s">
        <v>141</v>
      </c>
      <c r="B11">
        <v>1.65</v>
      </c>
      <c r="C11">
        <v>1.64</v>
      </c>
    </row>
    <row r="12" spans="1:3" x14ac:dyDescent="0.25">
      <c r="A12" t="s">
        <v>142</v>
      </c>
      <c r="B12">
        <v>1.7</v>
      </c>
      <c r="C12">
        <v>1.67</v>
      </c>
    </row>
    <row r="13" spans="1:3" x14ac:dyDescent="0.25">
      <c r="A13" t="s">
        <v>143</v>
      </c>
      <c r="B13">
        <v>6.06</v>
      </c>
      <c r="C13">
        <v>6.06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0AC26-6AF3-4006-936F-151E7C0CC0AF}">
  <dimension ref="A1:F14"/>
  <sheetViews>
    <sheetView workbookViewId="0">
      <selection activeCell="B12" sqref="B12"/>
    </sheetView>
  </sheetViews>
  <sheetFormatPr defaultRowHeight="15" x14ac:dyDescent="0.25"/>
  <cols>
    <col min="1" max="1" width="31.42578125" bestFit="1" customWidth="1"/>
    <col min="2" max="4" width="11.7109375" bestFit="1" customWidth="1"/>
    <col min="5" max="5" width="17.5703125" bestFit="1" customWidth="1"/>
    <col min="6" max="6" width="11.7109375" bestFit="1" customWidth="1"/>
  </cols>
  <sheetData>
    <row r="1" spans="1:6" x14ac:dyDescent="0.25">
      <c r="A1" s="33" t="s">
        <v>96</v>
      </c>
      <c r="B1" s="33" t="s">
        <v>180</v>
      </c>
      <c r="C1" s="33" t="s">
        <v>181</v>
      </c>
      <c r="D1" s="33" t="s">
        <v>182</v>
      </c>
      <c r="E1" s="33" t="s">
        <v>100</v>
      </c>
      <c r="F1" s="33" t="s">
        <v>101</v>
      </c>
    </row>
    <row r="6" spans="1:6" x14ac:dyDescent="0.25">
      <c r="A6" t="s">
        <v>113</v>
      </c>
      <c r="B6">
        <v>9.3000000000000007</v>
      </c>
      <c r="C6">
        <v>9.3000000000000007</v>
      </c>
      <c r="D6">
        <v>9.3000000000000007</v>
      </c>
      <c r="E6">
        <v>9.3000000000000007</v>
      </c>
      <c r="F6">
        <v>374</v>
      </c>
    </row>
    <row r="7" spans="1:6" x14ac:dyDescent="0.25">
      <c r="A7" t="s">
        <v>106</v>
      </c>
      <c r="B7">
        <v>7.7000000000000002E-3</v>
      </c>
      <c r="C7">
        <f>B7</f>
        <v>7.7000000000000002E-3</v>
      </c>
      <c r="D7">
        <f t="shared" ref="D7:F7" si="0">C7</f>
        <v>7.7000000000000002E-3</v>
      </c>
      <c r="E7">
        <f t="shared" si="0"/>
        <v>7.7000000000000002E-3</v>
      </c>
      <c r="F7">
        <f t="shared" si="0"/>
        <v>7.7000000000000002E-3</v>
      </c>
    </row>
    <row r="8" spans="1:6" x14ac:dyDescent="0.25">
      <c r="A8" t="s">
        <v>107</v>
      </c>
      <c r="B8" s="36">
        <f>B6/100*B7*10^5</f>
        <v>71.610000000000014</v>
      </c>
      <c r="C8" s="36">
        <f t="shared" ref="C8:D8" si="1">C6/100*C7*10^5</f>
        <v>71.610000000000014</v>
      </c>
      <c r="D8" s="36">
        <f t="shared" si="1"/>
        <v>71.610000000000014</v>
      </c>
      <c r="E8" s="36">
        <v>71.61</v>
      </c>
      <c r="F8" s="36">
        <v>2879.8</v>
      </c>
    </row>
    <row r="9" spans="1:6" x14ac:dyDescent="0.25">
      <c r="A9" t="s">
        <v>146</v>
      </c>
      <c r="B9">
        <f>1/(1-10^(-5)*B8)</f>
        <v>1.0007166131666887</v>
      </c>
      <c r="C9">
        <f t="shared" ref="C9:F9" si="2">1/(1-10^(-5)*C8)</f>
        <v>1.0007166131666887</v>
      </c>
      <c r="D9">
        <f t="shared" si="2"/>
        <v>1.0007166131666887</v>
      </c>
      <c r="E9">
        <f t="shared" si="2"/>
        <v>1.0007166131666887</v>
      </c>
      <c r="F9">
        <f t="shared" si="2"/>
        <v>1.0296519158733199</v>
      </c>
    </row>
    <row r="10" spans="1:6" ht="18" x14ac:dyDescent="0.35">
      <c r="A10" t="s">
        <v>114</v>
      </c>
      <c r="B10">
        <f>0.999929</f>
        <v>0.99992899999999996</v>
      </c>
      <c r="C10">
        <f>0.993804</f>
        <v>0.99380400000000002</v>
      </c>
      <c r="D10">
        <v>0.99789499999999998</v>
      </c>
      <c r="E10">
        <v>0.99789499999999998</v>
      </c>
      <c r="F10" s="23">
        <v>1.02627</v>
      </c>
    </row>
    <row r="11" spans="1:6" x14ac:dyDescent="0.25">
      <c r="A11" t="s">
        <v>129</v>
      </c>
      <c r="B11">
        <f>0.000053*10^5</f>
        <v>5.3</v>
      </c>
      <c r="C11">
        <f>0.000052*10^5</f>
        <v>5.1999999999999993</v>
      </c>
      <c r="D11">
        <f>0.000052*10^5</f>
        <v>5.1999999999999993</v>
      </c>
      <c r="E11">
        <f>0.000053*10^5</f>
        <v>5.3</v>
      </c>
      <c r="F11">
        <f>0.000053*10^5</f>
        <v>5.3</v>
      </c>
    </row>
    <row r="12" spans="1:6" x14ac:dyDescent="0.25">
      <c r="A12" t="s">
        <v>108</v>
      </c>
      <c r="B12" s="35">
        <f>(1-1/B10)*10^5</f>
        <v>-7.1005041357929954</v>
      </c>
      <c r="C12" s="36">
        <f>(1-1/C10)*10^5</f>
        <v>-623.46297660302866</v>
      </c>
      <c r="D12" s="36">
        <f>(1-1/D10)*10^5</f>
        <v>-210.9440371983018</v>
      </c>
      <c r="E12" s="36">
        <f>(1-1/E10)*10^5</f>
        <v>-210.9440371983018</v>
      </c>
      <c r="F12" s="36">
        <f>(1-1/F10)*10^5</f>
        <v>2559.7552301051428</v>
      </c>
    </row>
    <row r="13" spans="1:6" x14ac:dyDescent="0.25">
      <c r="A13" t="s">
        <v>116</v>
      </c>
      <c r="B13" s="34">
        <f>(B11/B10^2)</f>
        <v>5.3007526801594889</v>
      </c>
      <c r="C13" s="34">
        <f>(C11/C10^2)</f>
        <v>5.265042276729976</v>
      </c>
      <c r="D13" s="34">
        <f>(D11/D10^2)</f>
        <v>5.2219613185097744</v>
      </c>
      <c r="E13" s="34">
        <f>(E11/E10^2)</f>
        <v>5.3223836515580398</v>
      </c>
      <c r="F13" s="34">
        <f>(F11/F10^2)</f>
        <v>5.0321386894330216</v>
      </c>
    </row>
    <row r="14" spans="1:6" x14ac:dyDescent="0.25">
      <c r="A14" t="s">
        <v>115</v>
      </c>
      <c r="B14" s="35">
        <f>B12-B8</f>
        <v>-78.710504135793002</v>
      </c>
      <c r="C14" s="35">
        <f>C12-C8</f>
        <v>-695.07297660302868</v>
      </c>
      <c r="D14" s="35">
        <f>D12-D8</f>
        <v>-282.55403719830178</v>
      </c>
      <c r="E14" s="36">
        <f>E12-E8</f>
        <v>-282.55403719830178</v>
      </c>
      <c r="F14" s="36">
        <f>F12-F8</f>
        <v>-320.04476989485738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D06BD-0914-45E0-871D-AD003873F521}">
  <dimension ref="A1:I32"/>
  <sheetViews>
    <sheetView tabSelected="1" workbookViewId="0">
      <selection activeCell="B13" sqref="B13"/>
    </sheetView>
  </sheetViews>
  <sheetFormatPr defaultRowHeight="15" x14ac:dyDescent="0.25"/>
  <cols>
    <col min="1" max="1" width="41.5703125" bestFit="1" customWidth="1"/>
    <col min="2" max="3" width="30.140625" bestFit="1" customWidth="1"/>
    <col min="4" max="4" width="14.140625" bestFit="1" customWidth="1"/>
    <col min="8" max="8" width="16.85546875" bestFit="1" customWidth="1"/>
  </cols>
  <sheetData>
    <row r="1" spans="1:9" x14ac:dyDescent="0.25">
      <c r="A1" s="33"/>
      <c r="B1" s="33"/>
      <c r="C1" s="33"/>
      <c r="D1" s="33"/>
      <c r="E1" s="33"/>
      <c r="F1" s="33"/>
    </row>
    <row r="2" spans="1:9" x14ac:dyDescent="0.25">
      <c r="A2" s="33" t="s">
        <v>151</v>
      </c>
      <c r="B2" s="39" t="s">
        <v>110</v>
      </c>
      <c r="C2" s="39" t="s">
        <v>109</v>
      </c>
      <c r="D2" s="39" t="s">
        <v>148</v>
      </c>
      <c r="E2" s="39" t="s">
        <v>149</v>
      </c>
    </row>
    <row r="3" spans="1:9" x14ac:dyDescent="0.25">
      <c r="A3" t="s">
        <v>150</v>
      </c>
      <c r="B3" s="37" t="s">
        <v>110</v>
      </c>
      <c r="C3" s="37" t="s">
        <v>152</v>
      </c>
      <c r="D3" s="37" t="s">
        <v>153</v>
      </c>
      <c r="E3" s="37" t="s">
        <v>154</v>
      </c>
    </row>
    <row r="4" spans="1:9" x14ac:dyDescent="0.25">
      <c r="A4" t="s">
        <v>156</v>
      </c>
      <c r="B4" s="37">
        <v>58.7</v>
      </c>
      <c r="C4" s="37">
        <v>46</v>
      </c>
      <c r="D4" s="37">
        <v>41</v>
      </c>
      <c r="E4" s="37">
        <v>28.5</v>
      </c>
    </row>
    <row r="5" spans="1:9" x14ac:dyDescent="0.25">
      <c r="A5" t="s">
        <v>162</v>
      </c>
      <c r="B5">
        <v>3.52</v>
      </c>
      <c r="C5">
        <v>2.76</v>
      </c>
      <c r="D5">
        <v>2.46</v>
      </c>
      <c r="E5">
        <v>1.71</v>
      </c>
      <c r="H5" t="s">
        <v>183</v>
      </c>
      <c r="I5">
        <f>C9*6-'Critical Configuration'!D13</f>
        <v>2434.539172911343</v>
      </c>
    </row>
    <row r="6" spans="1:9" x14ac:dyDescent="0.25">
      <c r="A6" t="s">
        <v>106</v>
      </c>
      <c r="B6" s="37">
        <v>7.7000000000000002E-3</v>
      </c>
      <c r="C6" s="37">
        <v>7.7000000000000002E-3</v>
      </c>
      <c r="D6" s="37">
        <v>7.7000000000000002E-3</v>
      </c>
      <c r="E6" s="37">
        <v>7.7000000000000002E-3</v>
      </c>
      <c r="H6" t="s">
        <v>184</v>
      </c>
      <c r="I6">
        <f>I5/6</f>
        <v>405.75652881855717</v>
      </c>
    </row>
    <row r="7" spans="1:9" x14ac:dyDescent="0.25">
      <c r="A7" t="s">
        <v>163</v>
      </c>
      <c r="B7">
        <f>B5*B6*10^5</f>
        <v>2710.4</v>
      </c>
      <c r="C7">
        <f t="shared" ref="C7:E7" si="0">C5*C6*10^5</f>
        <v>2125.1999999999998</v>
      </c>
      <c r="D7">
        <f t="shared" si="0"/>
        <v>1894.2</v>
      </c>
      <c r="E7">
        <f t="shared" si="0"/>
        <v>1316.7</v>
      </c>
    </row>
    <row r="8" spans="1:9" x14ac:dyDescent="0.25">
      <c r="A8" t="s">
        <v>155</v>
      </c>
      <c r="B8" s="38">
        <f>B4/100*B6*10^5</f>
        <v>451.99</v>
      </c>
      <c r="C8" s="38">
        <f>C4/100*C6*10^5</f>
        <v>354.20000000000005</v>
      </c>
      <c r="D8" s="38">
        <f>D4/100*D6*10^5</f>
        <v>315.7</v>
      </c>
      <c r="E8" s="48">
        <f>E4/100*E6*10^5</f>
        <v>219.45</v>
      </c>
    </row>
    <row r="9" spans="1:9" x14ac:dyDescent="0.25">
      <c r="A9" t="s">
        <v>157</v>
      </c>
      <c r="B9" s="37">
        <f>(6*C9-B21-E21)/6</f>
        <v>396.09546556857441</v>
      </c>
      <c r="C9" s="37">
        <f>E21-D21</f>
        <v>365.71053857995526</v>
      </c>
      <c r="D9" s="37">
        <f>F21-E21</f>
        <v>288.8267803039746</v>
      </c>
      <c r="E9" s="37">
        <f>G21-D21</f>
        <v>200.93018857352263</v>
      </c>
    </row>
    <row r="10" spans="1:9" x14ac:dyDescent="0.25">
      <c r="A10" t="s">
        <v>158</v>
      </c>
      <c r="B10" s="37">
        <f>SQRT((6*C10)^2*B20^2+D20^2)/6</f>
        <v>40.3162808304536</v>
      </c>
      <c r="C10" s="37">
        <f>SQRT(E20^2+D20^2)</f>
        <v>8.9537701556383507</v>
      </c>
      <c r="D10" s="37">
        <f>SQRT(F20^2+E20^2)</f>
        <v>10.469479452198184</v>
      </c>
      <c r="E10" s="37">
        <f>SQRT(G20^2+D20^2)</f>
        <v>11.95031380341119</v>
      </c>
      <c r="F10" s="23"/>
    </row>
    <row r="11" spans="1:9" x14ac:dyDescent="0.25">
      <c r="A11" t="s">
        <v>164</v>
      </c>
      <c r="B11" s="38">
        <f>B9-B8</f>
        <v>-55.894534431425598</v>
      </c>
      <c r="C11" s="38">
        <f>C9-C8</f>
        <v>11.51053857995521</v>
      </c>
      <c r="D11" s="38">
        <f>D9-D8</f>
        <v>-26.873219696025387</v>
      </c>
      <c r="E11" s="38">
        <f>E9-E8</f>
        <v>-18.519811426477361</v>
      </c>
    </row>
    <row r="12" spans="1:9" x14ac:dyDescent="0.25">
      <c r="A12" t="s">
        <v>165</v>
      </c>
      <c r="B12">
        <f>B9*6-B7</f>
        <v>-333.82720658855351</v>
      </c>
      <c r="C12">
        <f t="shared" ref="C12:E12" si="1">C9*6-C7</f>
        <v>69.063231479731712</v>
      </c>
      <c r="D12">
        <f t="shared" si="1"/>
        <v>-161.23931817615244</v>
      </c>
      <c r="E12">
        <f t="shared" si="1"/>
        <v>-111.11886855886428</v>
      </c>
      <c r="H12" t="s">
        <v>183</v>
      </c>
      <c r="I12">
        <f>C7+B21-E21</f>
        <v>1826.9576790684921</v>
      </c>
    </row>
    <row r="13" spans="1:9" x14ac:dyDescent="0.25">
      <c r="A13" t="s">
        <v>166</v>
      </c>
      <c r="B13">
        <f>6*B10</f>
        <v>241.89768498272161</v>
      </c>
      <c r="C13">
        <f>SQRT(36*C10^2)</f>
        <v>53.722620933830108</v>
      </c>
      <c r="D13">
        <f t="shared" ref="D13:E13" si="2">SQRT(36*D10^2)</f>
        <v>62.81687671318911</v>
      </c>
      <c r="E13">
        <f t="shared" si="2"/>
        <v>71.701882820467134</v>
      </c>
      <c r="F13" s="36"/>
      <c r="H13" t="s">
        <v>184</v>
      </c>
      <c r="I13">
        <f>I12/6</f>
        <v>304.49294651141537</v>
      </c>
    </row>
    <row r="14" spans="1:9" x14ac:dyDescent="0.25">
      <c r="F14" s="34"/>
    </row>
    <row r="15" spans="1:9" x14ac:dyDescent="0.25">
      <c r="F15" s="36"/>
    </row>
    <row r="17" spans="1:7" x14ac:dyDescent="0.25">
      <c r="A17" t="s">
        <v>96</v>
      </c>
      <c r="B17" t="s">
        <v>111</v>
      </c>
      <c r="C17" t="s">
        <v>110</v>
      </c>
      <c r="D17" t="s">
        <v>185</v>
      </c>
      <c r="E17" t="s">
        <v>159</v>
      </c>
      <c r="F17" t="s">
        <v>160</v>
      </c>
      <c r="G17" t="s">
        <v>161</v>
      </c>
    </row>
    <row r="18" spans="1:7" ht="18" x14ac:dyDescent="0.35">
      <c r="A18" t="s">
        <v>114</v>
      </c>
      <c r="B18">
        <v>0.99760300000000002</v>
      </c>
      <c r="C18">
        <v>0.990927</v>
      </c>
      <c r="D18">
        <f>0.996932</f>
        <v>0.99693200000000004</v>
      </c>
      <c r="E18">
        <v>1.00058</v>
      </c>
      <c r="F18">
        <v>1.0034799999999999</v>
      </c>
      <c r="G18">
        <v>0.99893299999999996</v>
      </c>
    </row>
    <row r="19" spans="1:7" x14ac:dyDescent="0.25">
      <c r="A19" t="s">
        <v>147</v>
      </c>
      <c r="B19">
        <f>0.000045</f>
        <v>4.5000000000000003E-5</v>
      </c>
      <c r="C19">
        <v>8.7000000000000001E-5</v>
      </c>
      <c r="D19">
        <f>0.000084</f>
        <v>8.3999999999999995E-5</v>
      </c>
      <c r="E19">
        <v>3.1000000000000001E-5</v>
      </c>
      <c r="F19">
        <v>1E-4</v>
      </c>
      <c r="G19">
        <v>8.5000000000000006E-5</v>
      </c>
    </row>
    <row r="20" spans="1:7" x14ac:dyDescent="0.25">
      <c r="A20" t="s">
        <v>129</v>
      </c>
      <c r="B20">
        <f>B19*10^5</f>
        <v>4.5</v>
      </c>
      <c r="C20">
        <f>C19*10^5</f>
        <v>8.6999999999999993</v>
      </c>
      <c r="D20">
        <f>D19*10^5</f>
        <v>8.4</v>
      </c>
      <c r="E20">
        <f t="shared" ref="E20:F20" si="3">E19*10^5</f>
        <v>3.1</v>
      </c>
      <c r="F20">
        <f t="shared" si="3"/>
        <v>10</v>
      </c>
      <c r="G20">
        <f>G19*10^5</f>
        <v>8.5</v>
      </c>
    </row>
    <row r="21" spans="1:7" x14ac:dyDescent="0.25">
      <c r="A21" t="s">
        <v>108</v>
      </c>
      <c r="B21">
        <f>(1-1/B18)*10^5</f>
        <v>-240.27594143161136</v>
      </c>
      <c r="C21">
        <f t="shared" ref="C21:G21" si="4">(1-1/C18)*10^5</f>
        <v>-915.6073050789804</v>
      </c>
      <c r="D21">
        <f t="shared" si="4"/>
        <v>-307.74415908005892</v>
      </c>
      <c r="E21">
        <f t="shared" si="4"/>
        <v>57.966379499896362</v>
      </c>
      <c r="F21">
        <f t="shared" si="4"/>
        <v>346.79315980387094</v>
      </c>
      <c r="G21">
        <f t="shared" si="4"/>
        <v>-106.81397050653629</v>
      </c>
    </row>
    <row r="22" spans="1:7" x14ac:dyDescent="0.25">
      <c r="A22" t="s">
        <v>116</v>
      </c>
      <c r="B22">
        <f>(B20/B18^2)</f>
        <v>4.5216508143664589</v>
      </c>
      <c r="C22">
        <f t="shared" ref="C22:G22" si="5">(C20/C18^2)</f>
        <v>8.8600450240450304</v>
      </c>
      <c r="D22">
        <f t="shared" si="5"/>
        <v>8.4517805721581052</v>
      </c>
      <c r="E22">
        <f t="shared" si="5"/>
        <v>3.0964071261023638</v>
      </c>
      <c r="F22">
        <f t="shared" si="5"/>
        <v>9.930761633534912</v>
      </c>
      <c r="G22">
        <f t="shared" si="5"/>
        <v>8.5181680728267626</v>
      </c>
    </row>
    <row r="23" spans="1:7" x14ac:dyDescent="0.25">
      <c r="B23" s="36"/>
    </row>
    <row r="25" spans="1:7" x14ac:dyDescent="0.25">
      <c r="A25" t="s">
        <v>186</v>
      </c>
      <c r="B25">
        <f>B9*6</f>
        <v>2376.5727934114466</v>
      </c>
      <c r="C25">
        <f t="shared" ref="C25:E25" si="6">C9*6</f>
        <v>2194.2632314797315</v>
      </c>
      <c r="D25">
        <f t="shared" si="6"/>
        <v>1732.9606818238476</v>
      </c>
      <c r="E25">
        <f t="shared" si="6"/>
        <v>1205.5811314411358</v>
      </c>
    </row>
    <row r="26" spans="1:7" x14ac:dyDescent="0.25">
      <c r="A26" t="s">
        <v>187</v>
      </c>
      <c r="B26">
        <f>B10*6</f>
        <v>241.89768498272161</v>
      </c>
      <c r="C26">
        <f t="shared" ref="C26:E26" si="7">C10*6</f>
        <v>53.7226209338301</v>
      </c>
      <c r="D26">
        <f t="shared" si="7"/>
        <v>62.816876713189103</v>
      </c>
      <c r="E26">
        <f t="shared" si="7"/>
        <v>71.701882820467134</v>
      </c>
    </row>
    <row r="30" spans="1:7" x14ac:dyDescent="0.25">
      <c r="B30" s="35"/>
      <c r="C30" s="36"/>
      <c r="D30" s="36"/>
    </row>
    <row r="31" spans="1:7" x14ac:dyDescent="0.25">
      <c r="B31" s="34"/>
      <c r="C31" s="34"/>
      <c r="D31" s="34"/>
    </row>
    <row r="32" spans="1:7" x14ac:dyDescent="0.25">
      <c r="B32" s="35"/>
      <c r="C32" s="35"/>
      <c r="D32" s="35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25DF4-C8C1-4C55-BD84-3B1EB433387F}">
  <dimension ref="A1:CW7"/>
  <sheetViews>
    <sheetView workbookViewId="0">
      <selection activeCell="A13" sqref="A13"/>
    </sheetView>
  </sheetViews>
  <sheetFormatPr defaultRowHeight="15" x14ac:dyDescent="0.25"/>
  <cols>
    <col min="1" max="1" width="16.28515625" bestFit="1" customWidth="1"/>
  </cols>
  <sheetData>
    <row r="1" spans="1:101" x14ac:dyDescent="0.25">
      <c r="A1" s="58" t="s">
        <v>173</v>
      </c>
      <c r="B1" s="58"/>
      <c r="C1" s="58"/>
    </row>
    <row r="2" spans="1:101" x14ac:dyDescent="0.25">
      <c r="A2" t="s">
        <v>174</v>
      </c>
      <c r="B2">
        <v>0.2051534087038285</v>
      </c>
      <c r="C2">
        <v>0.253804611400816</v>
      </c>
      <c r="D2">
        <v>0.29752636179861219</v>
      </c>
      <c r="E2">
        <v>0.34425055462135001</v>
      </c>
      <c r="F2">
        <v>0.39528364438670582</v>
      </c>
      <c r="G2">
        <v>0.43473443940580481</v>
      </c>
      <c r="H2">
        <v>0.47445925683099921</v>
      </c>
      <c r="I2">
        <v>0.50939922147283423</v>
      </c>
      <c r="J2">
        <v>0.54661567994992388</v>
      </c>
      <c r="K2">
        <v>0.58507999430707913</v>
      </c>
      <c r="L2">
        <v>0.62542452394298176</v>
      </c>
      <c r="M2">
        <v>0.66318902723226236</v>
      </c>
      <c r="N2">
        <v>0.69998391277689753</v>
      </c>
      <c r="O2">
        <v>0.73050157735728405</v>
      </c>
      <c r="P2">
        <v>0.77665538200241069</v>
      </c>
      <c r="Q2">
        <v>0.80166730408494058</v>
      </c>
      <c r="R2">
        <v>0.83631638340338188</v>
      </c>
      <c r="S2">
        <v>0.87485658088837892</v>
      </c>
      <c r="T2">
        <v>0.9031356931974317</v>
      </c>
      <c r="U2">
        <v>0.93277227034898824</v>
      </c>
      <c r="V2">
        <v>0.96688173631388774</v>
      </c>
      <c r="W2">
        <v>0.9964466460669269</v>
      </c>
      <c r="X2">
        <v>1.024224086586359</v>
      </c>
      <c r="Y2">
        <v>1.053793212068723</v>
      </c>
      <c r="Z2">
        <v>1.077519336707266</v>
      </c>
      <c r="AA2">
        <v>1.104428336985841</v>
      </c>
      <c r="AB2">
        <v>1.1387949624395379</v>
      </c>
      <c r="AC2">
        <v>1.154439533962927</v>
      </c>
      <c r="AD2">
        <v>1.1845018997762631</v>
      </c>
      <c r="AE2">
        <v>1.2035907221578059</v>
      </c>
      <c r="AF2">
        <v>1.230259425864882</v>
      </c>
      <c r="AG2">
        <v>1.242607297056477</v>
      </c>
      <c r="AH2">
        <v>1.2578682372113319</v>
      </c>
      <c r="AI2">
        <v>1.2849669453095121</v>
      </c>
      <c r="AJ2">
        <v>1.29885777343389</v>
      </c>
      <c r="AK2">
        <v>1.312196341016753</v>
      </c>
      <c r="AL2">
        <v>1.3313821251727611</v>
      </c>
      <c r="AM2">
        <v>1.3458378610266279</v>
      </c>
      <c r="AN2">
        <v>1.3543156926982891</v>
      </c>
      <c r="AO2">
        <v>1.374007364373242</v>
      </c>
      <c r="AP2">
        <v>1.383513834000093</v>
      </c>
      <c r="AQ2">
        <v>1.3941121775220009</v>
      </c>
      <c r="AR2">
        <v>1.3945632605597269</v>
      </c>
      <c r="AS2">
        <v>1.411299705978174</v>
      </c>
      <c r="AT2">
        <v>1.4137743390916819</v>
      </c>
      <c r="AU2">
        <v>1.4232723772598841</v>
      </c>
      <c r="AV2">
        <v>1.426729275306011</v>
      </c>
      <c r="AW2">
        <v>1.4254561250499991</v>
      </c>
      <c r="AX2">
        <v>1.4271466325091411</v>
      </c>
      <c r="AY2">
        <v>1.4391235195201759</v>
      </c>
      <c r="AZ2">
        <v>1.4314677550668009</v>
      </c>
      <c r="BA2">
        <v>1.4249923948242991</v>
      </c>
      <c r="BB2">
        <v>1.430089211577674</v>
      </c>
      <c r="BC2">
        <v>1.424499154493327</v>
      </c>
      <c r="BD2">
        <v>1.4163375025210061</v>
      </c>
      <c r="BE2">
        <v>1.408264380864501</v>
      </c>
      <c r="BF2">
        <v>1.4065232846534641</v>
      </c>
      <c r="BG2">
        <v>1.396494064590369</v>
      </c>
      <c r="BH2">
        <v>1.39565091872546</v>
      </c>
      <c r="BI2">
        <v>1.376781314268793</v>
      </c>
      <c r="BJ2">
        <v>1.372565584944248</v>
      </c>
      <c r="BK2">
        <v>1.357532294172918</v>
      </c>
      <c r="BL2">
        <v>1.343531857086101</v>
      </c>
      <c r="BM2">
        <v>1.330197505232563</v>
      </c>
      <c r="BN2">
        <v>1.317466002672435</v>
      </c>
      <c r="BO2">
        <v>1.2984530634187339</v>
      </c>
      <c r="BP2">
        <v>1.2779224616081959</v>
      </c>
      <c r="BQ2">
        <v>1.2647904647622361</v>
      </c>
      <c r="BR2">
        <v>1.242872888003923</v>
      </c>
      <c r="BS2">
        <v>1.228729116120072</v>
      </c>
      <c r="BT2">
        <v>1.2040418051955319</v>
      </c>
      <c r="BU2">
        <v>1.180627644527005</v>
      </c>
      <c r="BV2">
        <v>1.1513831302026321</v>
      </c>
      <c r="BW2">
        <v>1.1403716452069179</v>
      </c>
      <c r="BX2">
        <v>1.1091836796639289</v>
      </c>
      <c r="BY2">
        <v>1.081857322182223</v>
      </c>
      <c r="BZ2">
        <v>1.05483871294121</v>
      </c>
      <c r="CA2">
        <v>1.026125380511729</v>
      </c>
      <c r="CB2">
        <v>0.99641292023233052</v>
      </c>
      <c r="CC2">
        <v>0.96362297754601389</v>
      </c>
      <c r="CD2">
        <v>0.93447964072542922</v>
      </c>
      <c r="CE2">
        <v>0.90506228149874912</v>
      </c>
      <c r="CF2">
        <v>0.87055653697734225</v>
      </c>
      <c r="CG2">
        <v>0.84240389654802594</v>
      </c>
      <c r="CH2">
        <v>0.80480802243172711</v>
      </c>
      <c r="CI2">
        <v>0.77192954942959491</v>
      </c>
      <c r="CJ2">
        <v>0.73496603471197797</v>
      </c>
      <c r="CK2">
        <v>0.70048558456651844</v>
      </c>
      <c r="CL2">
        <v>0.66243862741249326</v>
      </c>
      <c r="CM2">
        <v>0.63025996547823571</v>
      </c>
      <c r="CN2">
        <v>0.58967513927083393</v>
      </c>
      <c r="CO2">
        <v>0.55110964740988966</v>
      </c>
      <c r="CP2">
        <v>0.50922216084120331</v>
      </c>
      <c r="CQ2">
        <v>0.4751885780041456</v>
      </c>
      <c r="CR2">
        <v>0.43817869026395861</v>
      </c>
      <c r="CS2">
        <v>0.39494975862420179</v>
      </c>
      <c r="CT2">
        <v>0.35826743305253211</v>
      </c>
      <c r="CU2">
        <v>0.31303940256707558</v>
      </c>
      <c r="CV2">
        <v>0.27136902605860341</v>
      </c>
      <c r="CW2">
        <v>0.22126297517171509</v>
      </c>
    </row>
    <row r="3" spans="1:101" x14ac:dyDescent="0.25">
      <c r="A3" t="s">
        <v>175</v>
      </c>
      <c r="B3">
        <v>-18.376899999999999</v>
      </c>
      <c r="C3">
        <v>-18.009399999999999</v>
      </c>
      <c r="D3">
        <v>-17.6418</v>
      </c>
      <c r="E3">
        <v>-17.2743</v>
      </c>
      <c r="F3">
        <v>-16.906700000000001</v>
      </c>
      <c r="G3">
        <v>-16.539200000000001</v>
      </c>
      <c r="H3">
        <v>-16.171700000000001</v>
      </c>
      <c r="I3">
        <v>-15.8041</v>
      </c>
      <c r="J3">
        <v>-15.4366</v>
      </c>
      <c r="K3">
        <v>-15.069100000000001</v>
      </c>
      <c r="L3">
        <v>-14.701499999999999</v>
      </c>
      <c r="M3">
        <v>-14.334</v>
      </c>
      <c r="N3">
        <v>-13.9664</v>
      </c>
      <c r="O3">
        <v>-13.5989</v>
      </c>
      <c r="P3">
        <v>-13.231400000000001</v>
      </c>
      <c r="Q3">
        <v>-12.863799999999999</v>
      </c>
      <c r="R3">
        <v>-12.4963</v>
      </c>
      <c r="S3">
        <v>-12.1288</v>
      </c>
      <c r="T3">
        <v>-11.761200000000001</v>
      </c>
      <c r="U3">
        <v>-11.393700000000001</v>
      </c>
      <c r="V3">
        <v>-11.0261</v>
      </c>
      <c r="W3">
        <v>-10.6586</v>
      </c>
      <c r="X3">
        <v>-10.2911</v>
      </c>
      <c r="Y3">
        <v>-9.9235299999999995</v>
      </c>
      <c r="Z3">
        <v>-9.5559899999999995</v>
      </c>
      <c r="AA3">
        <v>-9.1884499999999996</v>
      </c>
      <c r="AB3">
        <v>-8.8209099999999996</v>
      </c>
      <c r="AC3">
        <v>-8.4533699999999996</v>
      </c>
      <c r="AD3">
        <v>-8.0858399999999993</v>
      </c>
      <c r="AE3">
        <v>-7.7183000000000002</v>
      </c>
      <c r="AF3">
        <v>-7.3507600000000002</v>
      </c>
      <c r="AG3">
        <v>-6.9832200000000002</v>
      </c>
      <c r="AH3">
        <v>-6.6156800000000002</v>
      </c>
      <c r="AI3">
        <v>-6.2481499999999999</v>
      </c>
      <c r="AJ3">
        <v>-5.8806099999999999</v>
      </c>
      <c r="AK3">
        <v>-5.5130699999999999</v>
      </c>
      <c r="AL3">
        <v>-5.1455299999999999</v>
      </c>
      <c r="AM3">
        <v>-4.77799</v>
      </c>
      <c r="AN3">
        <v>-4.4104599999999996</v>
      </c>
      <c r="AO3">
        <v>-4.0429199999999996</v>
      </c>
      <c r="AP3">
        <v>-3.6753800000000001</v>
      </c>
      <c r="AQ3">
        <v>-3.3078400000000001</v>
      </c>
      <c r="AR3">
        <v>-2.9403000000000001</v>
      </c>
      <c r="AS3">
        <v>-2.5727699999999998</v>
      </c>
      <c r="AT3">
        <v>-2.2052299999999998</v>
      </c>
      <c r="AU3">
        <v>-1.83769</v>
      </c>
      <c r="AV3">
        <v>-1.4701500000000001</v>
      </c>
      <c r="AW3">
        <v>-1.1026100000000001</v>
      </c>
      <c r="AX3">
        <v>-0.73507599999999995</v>
      </c>
      <c r="AY3">
        <v>-0.36753799999999998</v>
      </c>
      <c r="AZ3">
        <v>0</v>
      </c>
      <c r="BA3">
        <v>0.36753799999999998</v>
      </c>
      <c r="BB3">
        <v>0.73507599999999995</v>
      </c>
      <c r="BC3">
        <v>1.1026100000000001</v>
      </c>
      <c r="BD3">
        <v>1.4701500000000001</v>
      </c>
      <c r="BE3">
        <v>1.83769</v>
      </c>
      <c r="BF3">
        <v>2.2052299999999998</v>
      </c>
      <c r="BG3">
        <v>2.5727699999999998</v>
      </c>
      <c r="BH3">
        <v>2.9403000000000001</v>
      </c>
      <c r="BI3">
        <v>3.3078400000000001</v>
      </c>
      <c r="BJ3">
        <v>3.6753800000000001</v>
      </c>
      <c r="BK3">
        <v>4.0429199999999996</v>
      </c>
      <c r="BL3">
        <v>4.4104599999999996</v>
      </c>
      <c r="BM3">
        <v>4.77799</v>
      </c>
      <c r="BN3">
        <v>5.1455299999999999</v>
      </c>
      <c r="BO3">
        <v>5.5130699999999999</v>
      </c>
      <c r="BP3">
        <v>5.8806099999999999</v>
      </c>
      <c r="BQ3">
        <v>6.2481499999999999</v>
      </c>
      <c r="BR3">
        <v>6.6156800000000002</v>
      </c>
      <c r="BS3">
        <v>6.9832200000000002</v>
      </c>
      <c r="BT3">
        <v>7.3507600000000002</v>
      </c>
      <c r="BU3">
        <v>7.7183000000000002</v>
      </c>
      <c r="BV3">
        <v>8.0858399999999993</v>
      </c>
      <c r="BW3">
        <v>8.4533699999999996</v>
      </c>
      <c r="BX3">
        <v>8.8209099999999996</v>
      </c>
      <c r="BY3">
        <v>9.1884499999999996</v>
      </c>
      <c r="BZ3">
        <v>9.5559899999999995</v>
      </c>
      <c r="CA3">
        <v>9.9235299999999995</v>
      </c>
      <c r="CB3">
        <v>10.2911</v>
      </c>
      <c r="CC3">
        <v>10.6586</v>
      </c>
      <c r="CD3">
        <v>11.0261</v>
      </c>
      <c r="CE3">
        <v>11.393700000000001</v>
      </c>
      <c r="CF3">
        <v>11.761200000000001</v>
      </c>
      <c r="CG3">
        <v>12.1288</v>
      </c>
      <c r="CH3">
        <v>12.4963</v>
      </c>
      <c r="CI3">
        <v>12.863799999999999</v>
      </c>
      <c r="CJ3">
        <v>13.231400000000001</v>
      </c>
      <c r="CK3">
        <v>13.5989</v>
      </c>
      <c r="CL3">
        <v>13.9664</v>
      </c>
      <c r="CM3">
        <v>14.334</v>
      </c>
      <c r="CN3">
        <v>14.701499999999999</v>
      </c>
      <c r="CO3">
        <v>15.069100000000001</v>
      </c>
      <c r="CP3">
        <v>15.4366</v>
      </c>
      <c r="CQ3">
        <v>15.8041</v>
      </c>
      <c r="CR3">
        <v>16.171700000000001</v>
      </c>
      <c r="CS3">
        <v>16.539200000000001</v>
      </c>
      <c r="CT3">
        <v>16.906700000000001</v>
      </c>
      <c r="CU3">
        <v>17.2743</v>
      </c>
      <c r="CV3">
        <v>17.6418</v>
      </c>
      <c r="CW3">
        <v>18.009399999999999</v>
      </c>
    </row>
    <row r="4" spans="1:101" x14ac:dyDescent="0.25">
      <c r="A4" t="s">
        <v>178</v>
      </c>
      <c r="B4">
        <v>9.1299999999999992E-3</v>
      </c>
      <c r="C4">
        <v>8.1399999999999997E-3</v>
      </c>
      <c r="D4">
        <v>7.6299999999999996E-3</v>
      </c>
      <c r="E4">
        <v>7.1799999999999998E-3</v>
      </c>
      <c r="F4">
        <v>6.62E-3</v>
      </c>
      <c r="G4">
        <v>6.1500000000000001E-3</v>
      </c>
      <c r="H4">
        <v>5.4999999999999997E-3</v>
      </c>
      <c r="I4">
        <v>5.62E-3</v>
      </c>
      <c r="J4">
        <v>4.8199999999999996E-3</v>
      </c>
      <c r="K4">
        <v>5.0499999999999998E-3</v>
      </c>
      <c r="L4">
        <v>4.9199999999999999E-3</v>
      </c>
      <c r="M4">
        <v>4.7400000000000003E-3</v>
      </c>
      <c r="N4">
        <v>4.9300000000000004E-3</v>
      </c>
      <c r="O4">
        <v>4.5199999999999997E-3</v>
      </c>
      <c r="P4">
        <v>4.2900000000000004E-3</v>
      </c>
      <c r="Q4">
        <v>4.0800000000000003E-3</v>
      </c>
      <c r="R4">
        <v>4.3699999999999998E-3</v>
      </c>
      <c r="S4">
        <v>4.3200000000000001E-3</v>
      </c>
      <c r="T4">
        <v>3.4299999999999999E-3</v>
      </c>
      <c r="U4">
        <v>3.5400000000000002E-3</v>
      </c>
      <c r="V4">
        <v>3.7799999999999999E-3</v>
      </c>
      <c r="W4">
        <v>4.8199999999999996E-3</v>
      </c>
      <c r="X4">
        <v>3.5400000000000002E-3</v>
      </c>
      <c r="Y4">
        <v>4.1399999999999996E-3</v>
      </c>
      <c r="Z4">
        <v>3.7200000000000002E-3</v>
      </c>
      <c r="AA4">
        <v>3.2699999999999999E-3</v>
      </c>
      <c r="AB4">
        <v>3.8400000000000001E-3</v>
      </c>
      <c r="AC4">
        <v>3.98E-3</v>
      </c>
      <c r="AD4">
        <v>3.6800000000000001E-3</v>
      </c>
      <c r="AE4">
        <v>3.6700000000000001E-3</v>
      </c>
      <c r="AF4">
        <v>4.2300000000000003E-3</v>
      </c>
      <c r="AG4">
        <v>3.48E-3</v>
      </c>
      <c r="AH4">
        <v>3.7699999999999999E-3</v>
      </c>
      <c r="AI4">
        <v>4.0400000000000002E-3</v>
      </c>
      <c r="AJ4">
        <v>3.7200000000000002E-3</v>
      </c>
      <c r="AK4">
        <v>3.3E-3</v>
      </c>
      <c r="AL4">
        <v>3.2799999999999999E-3</v>
      </c>
      <c r="AM4">
        <v>3.29E-3</v>
      </c>
      <c r="AN4">
        <v>3.3400000000000001E-3</v>
      </c>
      <c r="AO4">
        <v>3.31E-3</v>
      </c>
      <c r="AP4">
        <v>3.0500000000000002E-3</v>
      </c>
      <c r="AQ4">
        <v>3.62E-3</v>
      </c>
      <c r="AR4">
        <v>3.5300000000000002E-3</v>
      </c>
      <c r="AS4">
        <v>3.13E-3</v>
      </c>
      <c r="AT4">
        <v>3.2200000000000002E-3</v>
      </c>
      <c r="AU4">
        <v>3.2100000000000002E-3</v>
      </c>
      <c r="AV4">
        <v>3.2499999999999999E-3</v>
      </c>
      <c r="AW4">
        <v>2.8999999999999998E-3</v>
      </c>
      <c r="AX4">
        <v>3.3600000000000001E-3</v>
      </c>
      <c r="AY4">
        <v>2.9199999999999999E-3</v>
      </c>
      <c r="AZ4">
        <v>3.0599999999999998E-3</v>
      </c>
      <c r="BA4">
        <v>3.6600000000000001E-3</v>
      </c>
      <c r="BB4">
        <v>3.6900000000000001E-3</v>
      </c>
      <c r="BC4">
        <v>3.1800000000000001E-3</v>
      </c>
      <c r="BD4">
        <v>3.2499999999999999E-3</v>
      </c>
      <c r="BE4">
        <v>2.7599999999999999E-3</v>
      </c>
      <c r="BF4">
        <v>3.3600000000000001E-3</v>
      </c>
      <c r="BG4">
        <v>3.2399999999999998E-3</v>
      </c>
      <c r="BH4">
        <v>2.9499999999999999E-3</v>
      </c>
      <c r="BI4">
        <v>3.2799999999999999E-3</v>
      </c>
      <c r="BJ4">
        <v>2.6700000000000001E-3</v>
      </c>
      <c r="BK4">
        <v>2.8999999999999998E-3</v>
      </c>
      <c r="BL4">
        <v>2.9099999999999998E-3</v>
      </c>
      <c r="BM4">
        <v>3.8E-3</v>
      </c>
      <c r="BN4">
        <v>3.4499999999999999E-3</v>
      </c>
      <c r="BO4">
        <v>3.0899999999999999E-3</v>
      </c>
      <c r="BP4">
        <v>2.8500000000000001E-3</v>
      </c>
      <c r="BQ4">
        <v>3.3600000000000001E-3</v>
      </c>
      <c r="BR4">
        <v>3.1800000000000001E-3</v>
      </c>
      <c r="BS4">
        <v>3.46E-3</v>
      </c>
      <c r="BT4">
        <v>3.64E-3</v>
      </c>
      <c r="BU4">
        <v>3.8800000000000002E-3</v>
      </c>
      <c r="BV4">
        <v>3.2699999999999999E-3</v>
      </c>
      <c r="BW4">
        <v>3.29E-3</v>
      </c>
      <c r="BX4">
        <v>4.1599999999999996E-3</v>
      </c>
      <c r="BY4">
        <v>3.0200000000000001E-3</v>
      </c>
      <c r="BZ4">
        <v>3.6900000000000001E-3</v>
      </c>
      <c r="CA4">
        <v>3.1800000000000001E-3</v>
      </c>
      <c r="CB4">
        <v>3.46E-3</v>
      </c>
      <c r="CC4">
        <v>4.1099999999999999E-3</v>
      </c>
      <c r="CD4">
        <v>4.47E-3</v>
      </c>
      <c r="CE4">
        <v>4.3400000000000001E-3</v>
      </c>
      <c r="CF4">
        <v>3.64E-3</v>
      </c>
      <c r="CG4">
        <v>4.6299999999999996E-3</v>
      </c>
      <c r="CH4">
        <v>3.3300000000000001E-3</v>
      </c>
      <c r="CI4">
        <v>4.0499999999999998E-3</v>
      </c>
      <c r="CJ4">
        <v>3.8E-3</v>
      </c>
      <c r="CK4">
        <v>4.0800000000000003E-3</v>
      </c>
      <c r="CL4">
        <v>4.1799999999999997E-3</v>
      </c>
      <c r="CM4">
        <v>4.5500000000000002E-3</v>
      </c>
      <c r="CN4">
        <v>5.3800000000000002E-3</v>
      </c>
      <c r="CO4">
        <v>4.9399999999999999E-3</v>
      </c>
      <c r="CP4">
        <v>5.79E-3</v>
      </c>
      <c r="CQ4">
        <v>5.0000000000000001E-3</v>
      </c>
      <c r="CR4">
        <v>4.5700000000000003E-3</v>
      </c>
      <c r="CS4">
        <v>7.0499999999999998E-3</v>
      </c>
      <c r="CT4">
        <v>6.6600000000000001E-3</v>
      </c>
      <c r="CU4">
        <v>6.7099999999999998E-3</v>
      </c>
      <c r="CV4">
        <v>8.8299999999999993E-3</v>
      </c>
      <c r="CW4">
        <v>9.4699999999999993E-3</v>
      </c>
    </row>
    <row r="5" spans="1:101" x14ac:dyDescent="0.25">
      <c r="A5" t="s">
        <v>179</v>
      </c>
      <c r="B5">
        <f>3*B4</f>
        <v>2.7389999999999998E-2</v>
      </c>
      <c r="C5">
        <f t="shared" ref="C5:BN5" si="0">3*C4</f>
        <v>2.4419999999999997E-2</v>
      </c>
      <c r="D5">
        <f t="shared" si="0"/>
        <v>2.2890000000000001E-2</v>
      </c>
      <c r="E5">
        <f t="shared" si="0"/>
        <v>2.154E-2</v>
      </c>
      <c r="F5">
        <f t="shared" si="0"/>
        <v>1.9859999999999999E-2</v>
      </c>
      <c r="G5">
        <f t="shared" si="0"/>
        <v>1.8450000000000001E-2</v>
      </c>
      <c r="H5">
        <f t="shared" si="0"/>
        <v>1.6500000000000001E-2</v>
      </c>
      <c r="I5">
        <f t="shared" si="0"/>
        <v>1.686E-2</v>
      </c>
      <c r="J5">
        <f t="shared" si="0"/>
        <v>1.4459999999999999E-2</v>
      </c>
      <c r="K5">
        <f t="shared" si="0"/>
        <v>1.515E-2</v>
      </c>
      <c r="L5">
        <f t="shared" si="0"/>
        <v>1.4759999999999999E-2</v>
      </c>
      <c r="M5">
        <f t="shared" si="0"/>
        <v>1.422E-2</v>
      </c>
      <c r="N5">
        <f t="shared" si="0"/>
        <v>1.4790000000000001E-2</v>
      </c>
      <c r="O5">
        <f t="shared" si="0"/>
        <v>1.3559999999999999E-2</v>
      </c>
      <c r="P5">
        <f t="shared" si="0"/>
        <v>1.2870000000000001E-2</v>
      </c>
      <c r="Q5">
        <f t="shared" si="0"/>
        <v>1.2240000000000001E-2</v>
      </c>
      <c r="R5">
        <f t="shared" si="0"/>
        <v>1.311E-2</v>
      </c>
      <c r="S5">
        <f t="shared" si="0"/>
        <v>1.2959999999999999E-2</v>
      </c>
      <c r="T5">
        <f t="shared" si="0"/>
        <v>1.0290000000000001E-2</v>
      </c>
      <c r="U5">
        <f t="shared" si="0"/>
        <v>1.0620000000000001E-2</v>
      </c>
      <c r="V5">
        <f t="shared" si="0"/>
        <v>1.1339999999999999E-2</v>
      </c>
      <c r="W5">
        <f t="shared" si="0"/>
        <v>1.4459999999999999E-2</v>
      </c>
      <c r="X5">
        <f t="shared" si="0"/>
        <v>1.0620000000000001E-2</v>
      </c>
      <c r="Y5">
        <f t="shared" si="0"/>
        <v>1.2419999999999999E-2</v>
      </c>
      <c r="Z5">
        <f t="shared" si="0"/>
        <v>1.116E-2</v>
      </c>
      <c r="AA5">
        <f t="shared" si="0"/>
        <v>9.8099999999999993E-3</v>
      </c>
      <c r="AB5">
        <f t="shared" si="0"/>
        <v>1.1520000000000001E-2</v>
      </c>
      <c r="AC5">
        <f t="shared" si="0"/>
        <v>1.1939999999999999E-2</v>
      </c>
      <c r="AD5">
        <f t="shared" si="0"/>
        <v>1.1040000000000001E-2</v>
      </c>
      <c r="AE5">
        <f t="shared" si="0"/>
        <v>1.1010000000000001E-2</v>
      </c>
      <c r="AF5">
        <f t="shared" si="0"/>
        <v>1.269E-2</v>
      </c>
      <c r="AG5">
        <f t="shared" si="0"/>
        <v>1.044E-2</v>
      </c>
      <c r="AH5">
        <f t="shared" si="0"/>
        <v>1.1310000000000001E-2</v>
      </c>
      <c r="AI5">
        <f t="shared" si="0"/>
        <v>1.2120000000000001E-2</v>
      </c>
      <c r="AJ5">
        <f t="shared" si="0"/>
        <v>1.116E-2</v>
      </c>
      <c r="AK5">
        <f t="shared" si="0"/>
        <v>9.8999999999999991E-3</v>
      </c>
      <c r="AL5">
        <f t="shared" si="0"/>
        <v>9.8399999999999998E-3</v>
      </c>
      <c r="AM5">
        <f t="shared" si="0"/>
        <v>9.8700000000000003E-3</v>
      </c>
      <c r="AN5">
        <f t="shared" si="0"/>
        <v>1.0020000000000001E-2</v>
      </c>
      <c r="AO5">
        <f t="shared" si="0"/>
        <v>9.9299999999999996E-3</v>
      </c>
      <c r="AP5">
        <f t="shared" si="0"/>
        <v>9.1500000000000001E-3</v>
      </c>
      <c r="AQ5">
        <f t="shared" si="0"/>
        <v>1.086E-2</v>
      </c>
      <c r="AR5">
        <f t="shared" si="0"/>
        <v>1.059E-2</v>
      </c>
      <c r="AS5">
        <f t="shared" si="0"/>
        <v>9.389999999999999E-3</v>
      </c>
      <c r="AT5">
        <f t="shared" si="0"/>
        <v>9.6600000000000002E-3</v>
      </c>
      <c r="AU5">
        <f t="shared" si="0"/>
        <v>9.6299999999999997E-3</v>
      </c>
      <c r="AV5">
        <f t="shared" si="0"/>
        <v>9.75E-3</v>
      </c>
      <c r="AW5">
        <f t="shared" si="0"/>
        <v>8.6999999999999994E-3</v>
      </c>
      <c r="AX5">
        <f t="shared" si="0"/>
        <v>1.008E-2</v>
      </c>
      <c r="AY5">
        <f t="shared" si="0"/>
        <v>8.7600000000000004E-3</v>
      </c>
      <c r="AZ5">
        <f t="shared" si="0"/>
        <v>9.1799999999999989E-3</v>
      </c>
      <c r="BA5">
        <f t="shared" si="0"/>
        <v>1.098E-2</v>
      </c>
      <c r="BB5">
        <f t="shared" si="0"/>
        <v>1.107E-2</v>
      </c>
      <c r="BC5">
        <f t="shared" si="0"/>
        <v>9.5399999999999999E-3</v>
      </c>
      <c r="BD5">
        <f t="shared" si="0"/>
        <v>9.75E-3</v>
      </c>
      <c r="BE5">
        <f t="shared" si="0"/>
        <v>8.2799999999999992E-3</v>
      </c>
      <c r="BF5">
        <f t="shared" si="0"/>
        <v>1.008E-2</v>
      </c>
      <c r="BG5">
        <f t="shared" si="0"/>
        <v>9.7199999999999995E-3</v>
      </c>
      <c r="BH5">
        <f t="shared" si="0"/>
        <v>8.8500000000000002E-3</v>
      </c>
      <c r="BI5">
        <f t="shared" si="0"/>
        <v>9.8399999999999998E-3</v>
      </c>
      <c r="BJ5">
        <f t="shared" si="0"/>
        <v>8.0099999999999998E-3</v>
      </c>
      <c r="BK5">
        <f t="shared" si="0"/>
        <v>8.6999999999999994E-3</v>
      </c>
      <c r="BL5">
        <f t="shared" si="0"/>
        <v>8.7299999999999999E-3</v>
      </c>
      <c r="BM5">
        <f t="shared" si="0"/>
        <v>1.14E-2</v>
      </c>
      <c r="BN5">
        <f t="shared" si="0"/>
        <v>1.035E-2</v>
      </c>
      <c r="BO5">
        <f t="shared" ref="BO5:CW5" si="1">3*BO4</f>
        <v>9.2700000000000005E-3</v>
      </c>
      <c r="BP5">
        <f t="shared" si="1"/>
        <v>8.5500000000000003E-3</v>
      </c>
      <c r="BQ5">
        <f t="shared" si="1"/>
        <v>1.008E-2</v>
      </c>
      <c r="BR5">
        <f t="shared" si="1"/>
        <v>9.5399999999999999E-3</v>
      </c>
      <c r="BS5">
        <f t="shared" si="1"/>
        <v>1.038E-2</v>
      </c>
      <c r="BT5">
        <f t="shared" si="1"/>
        <v>1.0919999999999999E-2</v>
      </c>
      <c r="BU5">
        <f t="shared" si="1"/>
        <v>1.1640000000000001E-2</v>
      </c>
      <c r="BV5">
        <f t="shared" si="1"/>
        <v>9.8099999999999993E-3</v>
      </c>
      <c r="BW5">
        <f t="shared" si="1"/>
        <v>9.8700000000000003E-3</v>
      </c>
      <c r="BX5">
        <f t="shared" si="1"/>
        <v>1.2479999999999998E-2</v>
      </c>
      <c r="BY5">
        <f t="shared" si="1"/>
        <v>9.0600000000000003E-3</v>
      </c>
      <c r="BZ5">
        <f t="shared" si="1"/>
        <v>1.107E-2</v>
      </c>
      <c r="CA5">
        <f t="shared" si="1"/>
        <v>9.5399999999999999E-3</v>
      </c>
      <c r="CB5">
        <f t="shared" si="1"/>
        <v>1.038E-2</v>
      </c>
      <c r="CC5">
        <f t="shared" si="1"/>
        <v>1.2330000000000001E-2</v>
      </c>
      <c r="CD5">
        <f t="shared" si="1"/>
        <v>1.341E-2</v>
      </c>
      <c r="CE5">
        <f t="shared" si="1"/>
        <v>1.302E-2</v>
      </c>
      <c r="CF5">
        <f t="shared" si="1"/>
        <v>1.0919999999999999E-2</v>
      </c>
      <c r="CG5">
        <f t="shared" si="1"/>
        <v>1.389E-2</v>
      </c>
      <c r="CH5">
        <f t="shared" si="1"/>
        <v>9.9900000000000006E-3</v>
      </c>
      <c r="CI5">
        <f t="shared" si="1"/>
        <v>1.2149999999999999E-2</v>
      </c>
      <c r="CJ5">
        <f t="shared" si="1"/>
        <v>1.14E-2</v>
      </c>
      <c r="CK5">
        <f t="shared" si="1"/>
        <v>1.2240000000000001E-2</v>
      </c>
      <c r="CL5">
        <f t="shared" si="1"/>
        <v>1.2539999999999999E-2</v>
      </c>
      <c r="CM5">
        <f t="shared" si="1"/>
        <v>1.3650000000000001E-2</v>
      </c>
      <c r="CN5">
        <f t="shared" si="1"/>
        <v>1.6140000000000002E-2</v>
      </c>
      <c r="CO5">
        <f t="shared" si="1"/>
        <v>1.482E-2</v>
      </c>
      <c r="CP5">
        <f t="shared" si="1"/>
        <v>1.737E-2</v>
      </c>
      <c r="CQ5">
        <f t="shared" si="1"/>
        <v>1.4999999999999999E-2</v>
      </c>
      <c r="CR5">
        <f t="shared" si="1"/>
        <v>1.371E-2</v>
      </c>
      <c r="CS5">
        <f t="shared" si="1"/>
        <v>2.1149999999999999E-2</v>
      </c>
      <c r="CT5">
        <f t="shared" si="1"/>
        <v>1.9980000000000001E-2</v>
      </c>
      <c r="CU5">
        <f t="shared" si="1"/>
        <v>2.0129999999999999E-2</v>
      </c>
      <c r="CV5">
        <f t="shared" si="1"/>
        <v>2.649E-2</v>
      </c>
      <c r="CW5">
        <f t="shared" si="1"/>
        <v>2.8409999999999998E-2</v>
      </c>
    </row>
    <row r="6" spans="1:101" x14ac:dyDescent="0.25">
      <c r="A6" t="s">
        <v>177</v>
      </c>
      <c r="B6">
        <v>0.34513981358189</v>
      </c>
      <c r="C6">
        <v>0.84793608521970698</v>
      </c>
      <c r="D6">
        <v>1.10998668442077</v>
      </c>
      <c r="E6">
        <v>1.3613848202396801</v>
      </c>
      <c r="F6">
        <v>1.35073235685752</v>
      </c>
      <c r="G6">
        <v>1.1589880159786901</v>
      </c>
      <c r="H6">
        <v>0.70945406125166399</v>
      </c>
      <c r="I6">
        <v>0.29187749667110502</v>
      </c>
    </row>
    <row r="7" spans="1:101" x14ac:dyDescent="0.25">
      <c r="A7" t="s">
        <v>176</v>
      </c>
      <c r="B7">
        <v>-18.998646820026998</v>
      </c>
      <c r="C7">
        <v>-14.8579161028416</v>
      </c>
      <c r="D7">
        <v>-9.8782138024357202</v>
      </c>
      <c r="E7">
        <v>-4.6820027063599401</v>
      </c>
      <c r="F7">
        <v>0.35182679296346397</v>
      </c>
      <c r="G7">
        <v>5.46684709066305</v>
      </c>
      <c r="H7">
        <v>10.5006765899864</v>
      </c>
      <c r="I7">
        <v>16.562922868741499</v>
      </c>
    </row>
  </sheetData>
  <mergeCells count="1">
    <mergeCell ref="A1:C1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BEDCDC6898E9D48B17B2D917023A0E9" ma:contentTypeVersion="15" ma:contentTypeDescription="Create a new document." ma:contentTypeScope="" ma:versionID="c9b35f98bcdb4a0d7929321150581d5e">
  <xsd:schema xmlns:xsd="http://www.w3.org/2001/XMLSchema" xmlns:xs="http://www.w3.org/2001/XMLSchema" xmlns:p="http://schemas.microsoft.com/office/2006/metadata/properties" xmlns:ns2="02f07221-7782-4248-899f-09bd431cf93f" xmlns:ns3="e1ecaa1f-5549-4843-8e0b-36d11b9c4a00" targetNamespace="http://schemas.microsoft.com/office/2006/metadata/properties" ma:root="true" ma:fieldsID="53fe39de12092328c3276185799bfa71" ns2:_="" ns3:_="">
    <xsd:import namespace="02f07221-7782-4248-899f-09bd431cf93f"/>
    <xsd:import namespace="e1ecaa1f-5549-4843-8e0b-36d11b9c4a0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DateTaken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2f07221-7782-4248-899f-09bd431cf93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c3718347-7ac7-43d2-8bc2-3254bf33472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ecaa1f-5549-4843-8e0b-36d11b9c4a00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72a91055-1c75-4b8e-ba5a-0535042c3f9e}" ma:internalName="TaxCatchAll" ma:showField="CatchAllData" ma:web="e1ecaa1f-5549-4843-8e0b-36d11b9c4a0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e1ecaa1f-5549-4843-8e0b-36d11b9c4a00" xsi:nil="true"/>
    <lcf76f155ced4ddcb4097134ff3c332f xmlns="02f07221-7782-4248-899f-09bd431cf93f">
      <Terms xmlns="http://schemas.microsoft.com/office/infopath/2007/PartnerControls"/>
    </lcf76f155ced4ddcb4097134ff3c332f>
    <SharedWithUsers xmlns="e1ecaa1f-5549-4843-8e0b-36d11b9c4a00">
      <UserInfo>
        <DisplayName>Oliver Douglas Paleen</DisplayName>
        <AccountId>61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E4FEB34B-0950-495E-8A7D-7F2024A133D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2f07221-7782-4248-899f-09bd431cf93f"/>
    <ds:schemaRef ds:uri="e1ecaa1f-5549-4843-8e0b-36d11b9c4a0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C7DCD2E-E082-4B2B-AAD1-C045E486286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2A981A7-99F7-420B-92E3-468028514462}">
  <ds:schemaRefs>
    <ds:schemaRef ds:uri="http://purl.org/dc/terms/"/>
    <ds:schemaRef ds:uri="http://www.w3.org/XML/1998/namespace"/>
    <ds:schemaRef ds:uri="02f07221-7782-4248-899f-09bd431cf93f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purl.org/dc/dcmitype/"/>
    <ds:schemaRef ds:uri="http://schemas.openxmlformats.org/package/2006/metadata/core-properties"/>
    <ds:schemaRef ds:uri="e1ecaa1f-5549-4843-8e0b-36d11b9c4a00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Differential &amp; Integral Worth</vt:lpstr>
      <vt:lpstr>Fuel and Rod Worths</vt:lpstr>
      <vt:lpstr>Beta</vt:lpstr>
      <vt:lpstr>Critical Configuration</vt:lpstr>
      <vt:lpstr>Poison Worth</vt:lpstr>
      <vt:lpstr>Fuel Composition Table </vt:lpstr>
      <vt:lpstr>Lucite Positioning</vt:lpstr>
      <vt:lpstr>Reflector Shim Worth</vt:lpstr>
      <vt:lpstr>Power Distribution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Sam</dc:creator>
  <cp:keywords/>
  <dc:description/>
  <cp:lastModifiedBy>Samuel Garcia</cp:lastModifiedBy>
  <cp:revision/>
  <dcterms:created xsi:type="dcterms:W3CDTF">2023-03-27T14:30:17Z</dcterms:created>
  <dcterms:modified xsi:type="dcterms:W3CDTF">2023-07-25T04:48:26Z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0x010100ABEDCDC6898E9D48B17B2D917023A0E9</vt:lpwstr>
  </property>
  <property fmtid="{D5CDD505-2E9C-101B-9397-08002B2CF9AE}" pid="3" name="MediaServiceImageTags">
    <vt:lpwstr/>
  </property>
</Properties>
</file>