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.sharepoint.com/sites/ReTI/Shared Documents/SNAP/Dry Experiments Calculations Sheet/"/>
    </mc:Choice>
  </mc:AlternateContent>
  <xr:revisionPtr revIDLastSave="1019" documentId="8_{BEA5E111-021F-45DA-85BB-227D92BE1F49}" xr6:coauthVersionLast="47" xr6:coauthVersionMax="47" xr10:uidLastSave="{76A59CCE-5A80-4176-BE1A-7D1B46CF3BE7}"/>
  <bookViews>
    <workbookView xWindow="-28920" yWindow="2565" windowWidth="29040" windowHeight="15720" firstSheet="1" activeTab="1" xr2:uid="{69F113DC-7633-4730-BD7E-3337CEB2EA1E}"/>
  </bookViews>
  <sheets>
    <sheet name="Differential &amp; Integral" sheetId="1" r:id="rId1"/>
    <sheet name="Fuel and Rod Worths" sheetId="2" r:id="rId2"/>
    <sheet name="Bet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28" i="2"/>
  <c r="J29" i="2"/>
  <c r="J30" i="2"/>
  <c r="K28" i="2"/>
  <c r="K29" i="2"/>
  <c r="K30" i="2"/>
  <c r="K31" i="2"/>
  <c r="K32" i="2"/>
  <c r="K33" i="2"/>
  <c r="K34" i="2"/>
  <c r="K27" i="2"/>
  <c r="H28" i="2"/>
  <c r="H29" i="2"/>
  <c r="H30" i="2"/>
  <c r="H31" i="2"/>
  <c r="H32" i="2"/>
  <c r="H33" i="2"/>
  <c r="H34" i="2"/>
  <c r="H27" i="2"/>
  <c r="I28" i="2"/>
  <c r="I29" i="2"/>
  <c r="I30" i="2"/>
  <c r="I31" i="2"/>
  <c r="I32" i="2"/>
  <c r="I33" i="2"/>
  <c r="I34" i="2"/>
  <c r="I27" i="2"/>
  <c r="I26" i="2"/>
  <c r="K5" i="2"/>
  <c r="K6" i="2"/>
  <c r="K7" i="2"/>
  <c r="K8" i="2"/>
  <c r="J5" i="2"/>
  <c r="J6" i="2"/>
  <c r="J7" i="2"/>
  <c r="I5" i="2"/>
  <c r="I6" i="2"/>
  <c r="I7" i="2"/>
  <c r="I8" i="2"/>
  <c r="I3" i="2"/>
  <c r="I4" i="2"/>
  <c r="H8" i="2"/>
  <c r="H7" i="2"/>
  <c r="H6" i="2"/>
  <c r="H5" i="2"/>
  <c r="H4" i="2"/>
  <c r="O6" i="2"/>
  <c r="Q6" i="2" s="1"/>
  <c r="R6" i="2" s="1"/>
  <c r="O7" i="2"/>
  <c r="Q7" i="2" s="1"/>
  <c r="R7" i="2" s="1"/>
  <c r="O8" i="2"/>
  <c r="Q8" i="2" s="1"/>
  <c r="R8" i="2" s="1"/>
  <c r="O9" i="2"/>
  <c r="Q9" i="2" s="1"/>
  <c r="R9" i="2" s="1"/>
  <c r="O5" i="2"/>
  <c r="R3" i="2"/>
  <c r="Q3" i="2"/>
  <c r="O3" i="2"/>
  <c r="R4" i="2"/>
  <c r="Q4" i="2"/>
  <c r="O4" i="2"/>
  <c r="G28" i="2"/>
  <c r="G29" i="2"/>
  <c r="G30" i="2"/>
  <c r="G31" i="2"/>
  <c r="G32" i="2"/>
  <c r="G33" i="2"/>
  <c r="G34" i="2"/>
  <c r="F28" i="2"/>
  <c r="F29" i="2"/>
  <c r="F30" i="2"/>
  <c r="F31" i="2"/>
  <c r="F32" i="2"/>
  <c r="F33" i="2"/>
  <c r="F34" i="2"/>
  <c r="F27" i="2"/>
  <c r="B3" i="2"/>
  <c r="F41" i="2"/>
  <c r="F47" i="2"/>
  <c r="F42" i="2"/>
  <c r="E47" i="2"/>
  <c r="F43" i="2"/>
  <c r="F44" i="2"/>
  <c r="F45" i="2"/>
  <c r="F46" i="2"/>
  <c r="F48" i="2"/>
  <c r="F49" i="2"/>
  <c r="E43" i="2"/>
  <c r="E44" i="2"/>
  <c r="E45" i="2"/>
  <c r="E46" i="2"/>
  <c r="E48" i="2"/>
  <c r="E49" i="2"/>
  <c r="E42" i="2"/>
  <c r="B3" i="3"/>
  <c r="G27" i="2"/>
  <c r="G26" i="2"/>
  <c r="H26" i="2"/>
  <c r="J26" i="2" s="1"/>
  <c r="F4" i="3"/>
  <c r="F3" i="3"/>
  <c r="B5" i="3"/>
  <c r="F5" i="3" s="1"/>
  <c r="C4" i="3"/>
  <c r="K3" i="2"/>
  <c r="J40" i="2"/>
  <c r="J46" i="2"/>
  <c r="J43" i="2"/>
  <c r="J45" i="2" s="1"/>
  <c r="C5" i="3" l="1"/>
  <c r="K26" i="2"/>
  <c r="J47" i="2"/>
  <c r="G42" i="2" l="1"/>
  <c r="G43" i="2"/>
  <c r="G44" i="2"/>
  <c r="G45" i="2"/>
  <c r="G46" i="2"/>
  <c r="G47" i="2"/>
  <c r="G48" i="2"/>
  <c r="G49" i="2"/>
  <c r="J48" i="2"/>
  <c r="H3" i="2"/>
  <c r="J3" i="2" s="1"/>
  <c r="N17" i="1"/>
  <c r="N16" i="1"/>
  <c r="N15" i="1"/>
  <c r="N14" i="1"/>
  <c r="N13" i="1"/>
  <c r="N12" i="1"/>
  <c r="N11" i="1"/>
  <c r="N10" i="1"/>
  <c r="N9" i="1"/>
  <c r="N8" i="1"/>
  <c r="N7" i="1"/>
  <c r="G7" i="1"/>
  <c r="G17" i="1"/>
  <c r="G16" i="1"/>
  <c r="G15" i="1"/>
  <c r="G14" i="1"/>
  <c r="G13" i="1"/>
  <c r="G12" i="1"/>
  <c r="G11" i="1"/>
  <c r="G10" i="1"/>
  <c r="G9" i="1"/>
  <c r="G8" i="1"/>
  <c r="F7" i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L33" i="1"/>
  <c r="M33" i="1" s="1"/>
  <c r="N33" i="1" s="1"/>
  <c r="M32" i="1"/>
  <c r="N32" i="1" s="1"/>
  <c r="L32" i="1"/>
  <c r="M31" i="1"/>
  <c r="N31" i="1" s="1"/>
  <c r="L31" i="1"/>
  <c r="L30" i="1"/>
  <c r="M30" i="1" s="1"/>
  <c r="N30" i="1" s="1"/>
  <c r="L29" i="1"/>
  <c r="M29" i="1" s="1"/>
  <c r="N29" i="1" s="1"/>
  <c r="N28" i="1"/>
  <c r="M28" i="1"/>
  <c r="L28" i="1"/>
  <c r="L27" i="1"/>
  <c r="M27" i="1" s="1"/>
  <c r="N27" i="1" s="1"/>
  <c r="L26" i="1"/>
  <c r="M26" i="1" s="1"/>
  <c r="N26" i="1" s="1"/>
  <c r="L25" i="1"/>
  <c r="M25" i="1" s="1"/>
  <c r="N25" i="1" s="1"/>
  <c r="M24" i="1"/>
  <c r="N24" i="1" s="1"/>
  <c r="L24" i="1"/>
  <c r="M23" i="1"/>
  <c r="N23" i="1" s="1"/>
  <c r="L23" i="1"/>
  <c r="E7" i="1"/>
  <c r="E6" i="1"/>
  <c r="F5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3" i="1"/>
  <c r="E24" i="1"/>
  <c r="E25" i="1"/>
  <c r="E26" i="1"/>
  <c r="E27" i="1"/>
  <c r="E28" i="1"/>
  <c r="E29" i="1"/>
  <c r="E30" i="1"/>
  <c r="E31" i="1"/>
  <c r="E32" i="1"/>
  <c r="E33" i="1"/>
  <c r="E23" i="1"/>
  <c r="D24" i="1"/>
  <c r="D25" i="1"/>
  <c r="D26" i="1"/>
  <c r="D27" i="1"/>
  <c r="D28" i="1"/>
  <c r="D29" i="1"/>
  <c r="D30" i="1"/>
  <c r="D31" i="1"/>
  <c r="D32" i="1"/>
  <c r="D33" i="1"/>
  <c r="D23" i="1"/>
  <c r="C24" i="1"/>
  <c r="C25" i="1"/>
  <c r="C26" i="1"/>
  <c r="C27" i="1"/>
  <c r="C28" i="1"/>
  <c r="C29" i="1"/>
  <c r="C30" i="1"/>
  <c r="C31" i="1"/>
  <c r="C32" i="1"/>
  <c r="C33" i="1"/>
  <c r="C23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F17" i="1"/>
  <c r="F8" i="1"/>
  <c r="F9" i="1"/>
  <c r="F10" i="1"/>
  <c r="F11" i="1"/>
  <c r="F12" i="1"/>
  <c r="F13" i="1"/>
  <c r="F14" i="1"/>
  <c r="F15" i="1"/>
  <c r="F16" i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C8" i="1"/>
  <c r="D8" i="1" s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7" i="1"/>
  <c r="D17" i="1" s="1"/>
  <c r="C16" i="1"/>
  <c r="D16" i="1" s="1"/>
  <c r="C5" i="1"/>
  <c r="D5" i="1" s="1"/>
  <c r="J27" i="2" l="1"/>
  <c r="Q5" i="2"/>
  <c r="R5" i="2" s="1"/>
  <c r="F6" i="1"/>
  <c r="L8" i="1"/>
  <c r="L9" i="1"/>
  <c r="L17" i="1"/>
  <c r="L16" i="1"/>
  <c r="L11" i="1"/>
  <c r="L10" i="1"/>
  <c r="L7" i="1"/>
  <c r="L6" i="1"/>
  <c r="L15" i="1"/>
  <c r="E17" i="1"/>
  <c r="E16" i="1"/>
  <c r="E15" i="1"/>
  <c r="E14" i="1"/>
  <c r="E13" i="1"/>
  <c r="E12" i="1"/>
  <c r="E11" i="1"/>
  <c r="E10" i="1"/>
  <c r="E9" i="1"/>
  <c r="E8" i="1"/>
  <c r="L14" i="1"/>
  <c r="L13" i="1"/>
  <c r="L12" i="1"/>
  <c r="K4" i="2" l="1"/>
  <c r="J4" i="2"/>
</calcChain>
</file>

<file path=xl/sharedStrings.xml><?xml version="1.0" encoding="utf-8"?>
<sst xmlns="http://schemas.openxmlformats.org/spreadsheetml/2006/main" count="153" uniqueCount="84">
  <si>
    <t>A Shim Rotation</t>
  </si>
  <si>
    <t>AB Shim Rotation</t>
  </si>
  <si>
    <t>drum position</t>
  </si>
  <si>
    <t>keff</t>
  </si>
  <si>
    <t>rho</t>
  </si>
  <si>
    <t>rho pcm</t>
  </si>
  <si>
    <t>rho pcm per degree</t>
  </si>
  <si>
    <t>integral worth at ith segment</t>
  </si>
  <si>
    <t>Integral worth</t>
  </si>
  <si>
    <t>A Shim Rotation (experiment)</t>
  </si>
  <si>
    <t>AB Shim Rotation (experiment)</t>
  </si>
  <si>
    <t>cents/deg</t>
  </si>
  <si>
    <t>$/deg</t>
  </si>
  <si>
    <t>rho/deg</t>
  </si>
  <si>
    <t>pcm/deg</t>
  </si>
  <si>
    <t>pcm</t>
  </si>
  <si>
    <t>Rod No.</t>
  </si>
  <si>
    <t>Fuel Weight (gm)</t>
  </si>
  <si>
    <t>N_H (x10^22)</t>
  </si>
  <si>
    <t>Percent Uranium</t>
  </si>
  <si>
    <t>Position</t>
  </si>
  <si>
    <r>
      <t>Experimental Worths (</t>
    </r>
    <r>
      <rPr>
        <b/>
        <sz val="11"/>
        <color theme="1"/>
        <rFont val="Calibri"/>
        <family val="2"/>
      </rPr>
      <t>₵)</t>
    </r>
  </si>
  <si>
    <t>Serpent Solutions (₵)</t>
  </si>
  <si>
    <t>Raw Serpent Solutions</t>
  </si>
  <si>
    <t>Relative to Lucite</t>
  </si>
  <si>
    <t>Relative to Void</t>
  </si>
  <si>
    <t>Lucite Delta [₵]</t>
  </si>
  <si>
    <t>Void Delta [₵]</t>
  </si>
  <si>
    <t>Type</t>
  </si>
  <si>
    <t>k_eff</t>
  </si>
  <si>
    <t>beta_eff</t>
  </si>
  <si>
    <t>$</t>
  </si>
  <si>
    <t>₵</t>
  </si>
  <si>
    <t>Lucite</t>
  </si>
  <si>
    <t>-</t>
  </si>
  <si>
    <t>I-1</t>
  </si>
  <si>
    <t>Lucite I-1</t>
  </si>
  <si>
    <t>E-181</t>
  </si>
  <si>
    <t>Void I-1</t>
  </si>
  <si>
    <t>Needs to be redone with air // done</t>
  </si>
  <si>
    <t>E-672</t>
  </si>
  <si>
    <t>E-181 I-1</t>
  </si>
  <si>
    <t>Needs to be redone with proper fuel // done</t>
  </si>
  <si>
    <t>E-669</t>
  </si>
  <si>
    <t>E-672 I-1</t>
  </si>
  <si>
    <t>E-671</t>
  </si>
  <si>
    <t>E-669 I-1</t>
  </si>
  <si>
    <t>E-661</t>
  </si>
  <si>
    <t>E-671 I-1</t>
  </si>
  <si>
    <t>E-660</t>
  </si>
  <si>
    <t>V-23</t>
  </si>
  <si>
    <t>E-661 I-1</t>
  </si>
  <si>
    <t>IX-45</t>
  </si>
  <si>
    <t>``</t>
  </si>
  <si>
    <t>Experimental Worths (pcm)</t>
  </si>
  <si>
    <t>Serpent Solutions (pcm)</t>
  </si>
  <si>
    <t>Lucite Delta [pcm]</t>
  </si>
  <si>
    <t>Void Delta [pcm]</t>
  </si>
  <si>
    <t>Isotopic and Fuel Rod Densities</t>
  </si>
  <si>
    <t xml:space="preserve">Rod No. </t>
  </si>
  <si>
    <t>Fuel Weight</t>
  </si>
  <si>
    <t>N_H</t>
  </si>
  <si>
    <t>U wt%</t>
  </si>
  <si>
    <t>U 238 atomic dens</t>
  </si>
  <si>
    <t>U-235 atomic dens</t>
  </si>
  <si>
    <t>Overall Density</t>
  </si>
  <si>
    <t>b to cm^2</t>
  </si>
  <si>
    <t>C-4 Reference</t>
  </si>
  <si>
    <t>cm per inch</t>
  </si>
  <si>
    <t>Fuel Rod Radius [in]</t>
  </si>
  <si>
    <t>Fuel Rod Length [in]</t>
  </si>
  <si>
    <t>Fuel Rod Radius [cm]</t>
  </si>
  <si>
    <t>Fuel Rod Length [cm]</t>
  </si>
  <si>
    <t>Fuel Rod Volume [cc^3]</t>
  </si>
  <si>
    <t>Avogadros Number</t>
  </si>
  <si>
    <t>Reference Density</t>
  </si>
  <si>
    <t>Serpent Quantity</t>
  </si>
  <si>
    <t>Serpent Uncertainty [%]</t>
  </si>
  <si>
    <t>Experiment Quantity</t>
  </si>
  <si>
    <t>Experiment Uncertainty</t>
  </si>
  <si>
    <t>Discrepancy</t>
  </si>
  <si>
    <t>beta</t>
  </si>
  <si>
    <t>prompt neutron lifetime</t>
  </si>
  <si>
    <t>beta/l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</si>
</sst>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11" fontId="0" fillId="0" borderId="0" xfId="0" applyNumberFormat="1"/>
    <xf numFmtId="11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 5 with A Shim Differential Worth</a:t>
            </a:r>
          </a:p>
        </c:rich>
      </c:tx>
      <c:layout>
        <c:manualLayout>
          <c:xMode val="edge"/>
          <c:yMode val="edge"/>
          <c:x val="0.31029350007725631"/>
          <c:y val="2.9250451424289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Integral'!$A$7:$A$17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'Differential &amp; Integral'!$E$5:$E$17</c:f>
              <c:numCache>
                <c:formatCode>General</c:formatCode>
                <c:ptCount val="13"/>
                <c:pt idx="0">
                  <c:v>0</c:v>
                </c:pt>
                <c:pt idx="1">
                  <c:v>8.8591264160679195</c:v>
                </c:pt>
                <c:pt idx="2">
                  <c:v>12.566764808416746</c:v>
                </c:pt>
                <c:pt idx="3">
                  <c:v>1.5273104335142307</c:v>
                </c:pt>
                <c:pt idx="4">
                  <c:v>14.629059117286669</c:v>
                </c:pt>
                <c:pt idx="5">
                  <c:v>22.074003179927651</c:v>
                </c:pt>
                <c:pt idx="6">
                  <c:v>33.201521565081563</c:v>
                </c:pt>
                <c:pt idx="7">
                  <c:v>42.503079036840703</c:v>
                </c:pt>
                <c:pt idx="8">
                  <c:v>45.828608693272066</c:v>
                </c:pt>
                <c:pt idx="9">
                  <c:v>44.166329175258632</c:v>
                </c:pt>
                <c:pt idx="10">
                  <c:v>33.373446658655489</c:v>
                </c:pt>
                <c:pt idx="11">
                  <c:v>19.604699994124541</c:v>
                </c:pt>
                <c:pt idx="12">
                  <c:v>10.637048677206002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4-4FC6-8EA2-8626B93182C0}"/>
            </c:ext>
          </c:extLst>
        </c:ser>
        <c:ser>
          <c:idx val="2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Integral'!$A$23:$A$33</c:f>
              <c:numCache>
                <c:formatCode>General</c:formatCode>
                <c:ptCount val="11"/>
                <c:pt idx="0">
                  <c:v>0.14285714285714199</c:v>
                </c:pt>
                <c:pt idx="1">
                  <c:v>10.285714285714199</c:v>
                </c:pt>
                <c:pt idx="2">
                  <c:v>20.428571428571399</c:v>
                </c:pt>
                <c:pt idx="3">
                  <c:v>30.714285714285701</c:v>
                </c:pt>
                <c:pt idx="4">
                  <c:v>40.857142857142797</c:v>
                </c:pt>
                <c:pt idx="5">
                  <c:v>50.428571428571402</c:v>
                </c:pt>
                <c:pt idx="6">
                  <c:v>60.571428571428498</c:v>
                </c:pt>
                <c:pt idx="7">
                  <c:v>70.428571428571402</c:v>
                </c:pt>
                <c:pt idx="8">
                  <c:v>80.428571428571402</c:v>
                </c:pt>
                <c:pt idx="9">
                  <c:v>90.142857142857096</c:v>
                </c:pt>
                <c:pt idx="10">
                  <c:v>100.142857142857</c:v>
                </c:pt>
              </c:numCache>
            </c:numRef>
          </c:xVal>
          <c:yVal>
            <c:numRef>
              <c:f>'Differential &amp; Integral'!$E$23:$E$33</c:f>
              <c:numCache>
                <c:formatCode>General</c:formatCode>
                <c:ptCount val="11"/>
                <c:pt idx="0">
                  <c:v>1.1701574803149541</c:v>
                </c:pt>
                <c:pt idx="1">
                  <c:v>3.6256692913385788</c:v>
                </c:pt>
                <c:pt idx="2">
                  <c:v>8.3184251968503844</c:v>
                </c:pt>
                <c:pt idx="3">
                  <c:v>13.665984251968434</c:v>
                </c:pt>
                <c:pt idx="4">
                  <c:v>18.195039370078725</c:v>
                </c:pt>
                <c:pt idx="5">
                  <c:v>22.451259842519665</c:v>
                </c:pt>
                <c:pt idx="6">
                  <c:v>18.904409448818893</c:v>
                </c:pt>
                <c:pt idx="7">
                  <c:v>15.52125984251966</c:v>
                </c:pt>
                <c:pt idx="8">
                  <c:v>12.956614173228342</c:v>
                </c:pt>
                <c:pt idx="9">
                  <c:v>7.1725196850393704</c:v>
                </c:pt>
                <c:pt idx="10">
                  <c:v>2.5343307086614133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E-45BF-B3E7-727FB049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89488"/>
        <c:axId val="3506234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Integral Worth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Integral'!$A$5:$A$17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Integral'!$G$6:$G$17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70.470376209654887</c:v>
                      </c:pt>
                      <c:pt idx="2">
                        <c:v>151.25222396365939</c:v>
                      </c:pt>
                      <c:pt idx="3">
                        <c:v>334.76753544973099</c:v>
                      </c:pt>
                      <c:pt idx="4">
                        <c:v>611.14515917477706</c:v>
                      </c:pt>
                      <c:pt idx="5">
                        <c:v>989.66816218438839</c:v>
                      </c:pt>
                      <c:pt idx="6">
                        <c:v>1431.3266008349524</c:v>
                      </c:pt>
                      <c:pt idx="7">
                        <c:v>1881.301290177606</c:v>
                      </c:pt>
                      <c:pt idx="8">
                        <c:v>2269.0001693471768</c:v>
                      </c:pt>
                      <c:pt idx="9">
                        <c:v>2533.8909026110769</c:v>
                      </c:pt>
                      <c:pt idx="10">
                        <c:v>2685.0996459677294</c:v>
                      </c:pt>
                      <c:pt idx="11">
                        <c:v>2738.2848893537594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3E4-4484-8F16-A1216694DE4D}"/>
                  </c:ext>
                </c:extLst>
              </c15:ser>
            </c15:filteredScatterSeries>
          </c:ext>
        </c:extLst>
      </c:scatterChart>
      <c:valAx>
        <c:axId val="9112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Inserted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3456"/>
        <c:crosses val="autoZero"/>
        <c:crossBetween val="midCat"/>
      </c:valAx>
      <c:valAx>
        <c:axId val="3506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pcm/deg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8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 5 with A-B Shim Differential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'Differential &amp; Integral'!$H$7:$H$17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'Differential &amp; Integral'!$L$7:$L$17</c:f>
              <c:numCache>
                <c:formatCode>General</c:formatCode>
                <c:ptCount val="11"/>
                <c:pt idx="0">
                  <c:v>5.6956512418108103</c:v>
                </c:pt>
                <c:pt idx="1">
                  <c:v>4.9358462411877557</c:v>
                </c:pt>
                <c:pt idx="2">
                  <c:v>11.219151268439372</c:v>
                </c:pt>
                <c:pt idx="3">
                  <c:v>15.731180996682633</c:v>
                </c:pt>
                <c:pt idx="4">
                  <c:v>27.868065382961458</c:v>
                </c:pt>
                <c:pt idx="5">
                  <c:v>36.437969881787055</c:v>
                </c:pt>
                <c:pt idx="6">
                  <c:v>44.221516580808746</c:v>
                </c:pt>
                <c:pt idx="7">
                  <c:v>47.774273282065302</c:v>
                </c:pt>
                <c:pt idx="8">
                  <c:v>38.096398163309559</c:v>
                </c:pt>
                <c:pt idx="9">
                  <c:v>29.589002467320107</c:v>
                </c:pt>
                <c:pt idx="10">
                  <c:v>16.674782155027401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A-452B-953D-B759A36581FC}"/>
            </c:ext>
          </c:extLst>
        </c:ser>
        <c:ser>
          <c:idx val="1"/>
          <c:order val="1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Integral'!$J$23:$J$33</c:f>
              <c:numCache>
                <c:formatCode>General</c:formatCode>
                <c:ptCount val="11"/>
                <c:pt idx="0">
                  <c:v>6.0260809883321897</c:v>
                </c:pt>
                <c:pt idx="1">
                  <c:v>14.5916266300617</c:v>
                </c:pt>
                <c:pt idx="2">
                  <c:v>23.1571722717913</c:v>
                </c:pt>
                <c:pt idx="3">
                  <c:v>32.052161976664301</c:v>
                </c:pt>
                <c:pt idx="4">
                  <c:v>40.864790665751499</c:v>
                </c:pt>
                <c:pt idx="5">
                  <c:v>49.018531228551801</c:v>
                </c:pt>
                <c:pt idx="6">
                  <c:v>57.8311599176389</c:v>
                </c:pt>
                <c:pt idx="7">
                  <c:v>66.314344543582706</c:v>
                </c:pt>
                <c:pt idx="8">
                  <c:v>74.797529169526399</c:v>
                </c:pt>
                <c:pt idx="9">
                  <c:v>83.115991763898407</c:v>
                </c:pt>
                <c:pt idx="10">
                  <c:v>91.928620452985498</c:v>
                </c:pt>
              </c:numCache>
            </c:numRef>
          </c:xVal>
          <c:yVal>
            <c:numRef>
              <c:f>'Differential &amp; Integral'!$N$23:$N$33</c:f>
              <c:numCache>
                <c:formatCode>General</c:formatCode>
                <c:ptCount val="11"/>
                <c:pt idx="0">
                  <c:v>5.0969947368420998</c:v>
                </c:pt>
                <c:pt idx="1">
                  <c:v>8.64223684210525</c:v>
                </c:pt>
                <c:pt idx="2">
                  <c:v>13.566184210526256</c:v>
                </c:pt>
                <c:pt idx="3">
                  <c:v>19.081005263157842</c:v>
                </c:pt>
                <c:pt idx="4">
                  <c:v>23.446905263157838</c:v>
                </c:pt>
                <c:pt idx="5">
                  <c:v>23.840821052631508</c:v>
                </c:pt>
                <c:pt idx="6">
                  <c:v>22.068200000000001</c:v>
                </c:pt>
                <c:pt idx="7">
                  <c:v>18.293173684210501</c:v>
                </c:pt>
                <c:pt idx="8">
                  <c:v>12.745526315789421</c:v>
                </c:pt>
                <c:pt idx="9">
                  <c:v>8.5765842105262546</c:v>
                </c:pt>
                <c:pt idx="10">
                  <c:v>4.7687315789473672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E-4D82-BCFF-D38E06E7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96240"/>
        <c:axId val="1342645872"/>
      </c:scatterChart>
      <c:valAx>
        <c:axId val="13326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Inserted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5872"/>
        <c:crosses val="autoZero"/>
        <c:crossBetween val="midCat"/>
      </c:valAx>
      <c:valAx>
        <c:axId val="13426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pcm/deg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No.5 with A Shim</a:t>
            </a:r>
            <a:r>
              <a:rPr lang="en-US" baseline="0"/>
              <a:t> </a:t>
            </a:r>
            <a:r>
              <a:rPr lang="en-US"/>
              <a:t>Integral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Integral'!$A$5:$A$17</c:f>
              <c:numCache>
                <c:formatCode>General</c:formatCode>
                <c:ptCount val="13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'Differential &amp; Integral'!$G$5:$G$17</c:f>
              <c:numCache>
                <c:formatCode>General</c:formatCode>
                <c:ptCount val="13"/>
                <c:pt idx="2">
                  <c:v>70.470376209654887</c:v>
                </c:pt>
                <c:pt idx="3">
                  <c:v>151.25222396365939</c:v>
                </c:pt>
                <c:pt idx="4">
                  <c:v>334.76753544973099</c:v>
                </c:pt>
                <c:pt idx="5">
                  <c:v>611.14515917477706</c:v>
                </c:pt>
                <c:pt idx="6">
                  <c:v>989.66816218438839</c:v>
                </c:pt>
                <c:pt idx="7">
                  <c:v>1431.3266008349524</c:v>
                </c:pt>
                <c:pt idx="8">
                  <c:v>1881.301290177606</c:v>
                </c:pt>
                <c:pt idx="9">
                  <c:v>2269.0001693471768</c:v>
                </c:pt>
                <c:pt idx="10">
                  <c:v>2533.8909026110769</c:v>
                </c:pt>
                <c:pt idx="11">
                  <c:v>2685.0996459677294</c:v>
                </c:pt>
                <c:pt idx="12">
                  <c:v>2738.2848893537594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A-4B67-925B-BBF872810B45}"/>
            </c:ext>
          </c:extLst>
        </c:ser>
        <c:ser>
          <c:idx val="2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Integral'!$F$23:$F$42</c:f>
              <c:numCache>
                <c:formatCode>General</c:formatCode>
                <c:ptCount val="20"/>
                <c:pt idx="0">
                  <c:v>-21.285714285714199</c:v>
                </c:pt>
                <c:pt idx="1">
                  <c:v>0.28571428571428398</c:v>
                </c:pt>
                <c:pt idx="2">
                  <c:v>15</c:v>
                </c:pt>
                <c:pt idx="3">
                  <c:v>19.428571428571399</c:v>
                </c:pt>
                <c:pt idx="4">
                  <c:v>23.285714285714199</c:v>
                </c:pt>
                <c:pt idx="5">
                  <c:v>26.285714285714199</c:v>
                </c:pt>
                <c:pt idx="6">
                  <c:v>31.857142857142801</c:v>
                </c:pt>
                <c:pt idx="7">
                  <c:v>37.285714285714199</c:v>
                </c:pt>
                <c:pt idx="8">
                  <c:v>40.142857142857103</c:v>
                </c:pt>
                <c:pt idx="9">
                  <c:v>43.857142857142797</c:v>
                </c:pt>
                <c:pt idx="10">
                  <c:v>47.428571428571402</c:v>
                </c:pt>
                <c:pt idx="11">
                  <c:v>50.428571428571402</c:v>
                </c:pt>
                <c:pt idx="12">
                  <c:v>53.857142857142797</c:v>
                </c:pt>
                <c:pt idx="13">
                  <c:v>56.142857142857103</c:v>
                </c:pt>
                <c:pt idx="14">
                  <c:v>72.285714285714207</c:v>
                </c:pt>
                <c:pt idx="15">
                  <c:v>76.142857142857096</c:v>
                </c:pt>
                <c:pt idx="16">
                  <c:v>81.428571428571402</c:v>
                </c:pt>
                <c:pt idx="17">
                  <c:v>88.142857142857096</c:v>
                </c:pt>
                <c:pt idx="18">
                  <c:v>98.428571428571402</c:v>
                </c:pt>
                <c:pt idx="19">
                  <c:v>105</c:v>
                </c:pt>
              </c:numCache>
            </c:numRef>
          </c:xVal>
          <c:yVal>
            <c:numRef>
              <c:f>'Differential &amp; Integral'!$I$23:$I$42</c:f>
              <c:numCache>
                <c:formatCode>General</c:formatCode>
                <c:ptCount val="20"/>
                <c:pt idx="0">
                  <c:v>-52.141732283464513</c:v>
                </c:pt>
                <c:pt idx="1">
                  <c:v>-19.40157480314954</c:v>
                </c:pt>
                <c:pt idx="2">
                  <c:v>62.448818897637793</c:v>
                </c:pt>
                <c:pt idx="3">
                  <c:v>138.84251968503918</c:v>
                </c:pt>
                <c:pt idx="4">
                  <c:v>204.32283464566896</c:v>
                </c:pt>
                <c:pt idx="5">
                  <c:v>275.2598425196843</c:v>
                </c:pt>
                <c:pt idx="6">
                  <c:v>406.22047244094472</c:v>
                </c:pt>
                <c:pt idx="7">
                  <c:v>602.66141732283415</c:v>
                </c:pt>
                <c:pt idx="8">
                  <c:v>722.70866141732256</c:v>
                </c:pt>
                <c:pt idx="9">
                  <c:v>870.03937007873265</c:v>
                </c:pt>
                <c:pt idx="10">
                  <c:v>995.54330708661303</c:v>
                </c:pt>
                <c:pt idx="11">
                  <c:v>1142.8740157480261</c:v>
                </c:pt>
                <c:pt idx="12">
                  <c:v>1312.0314960629878</c:v>
                </c:pt>
                <c:pt idx="13">
                  <c:v>1426.6220472440937</c:v>
                </c:pt>
                <c:pt idx="14">
                  <c:v>1977.7480314960599</c:v>
                </c:pt>
                <c:pt idx="15">
                  <c:v>2108.7086614173195</c:v>
                </c:pt>
                <c:pt idx="16">
                  <c:v>2250.5826771653533</c:v>
                </c:pt>
                <c:pt idx="17">
                  <c:v>2408.8267716535406</c:v>
                </c:pt>
                <c:pt idx="18">
                  <c:v>2528.8740157480261</c:v>
                </c:pt>
                <c:pt idx="19">
                  <c:v>2561.6141732283409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BA0-A738-717147A7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43871"/>
        <c:axId val="1605617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Drum 5 with A-B Shim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Integral'!$H$5:$H$17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Integral'!$N$5:$N$17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2">
                        <c:v>53.157487414992829</c:v>
                      </c:pt>
                      <c:pt idx="3">
                        <c:v>133.93247496312847</c:v>
                      </c:pt>
                      <c:pt idx="4">
                        <c:v>268.6841362887385</c:v>
                      </c:pt>
                      <c:pt idx="5">
                        <c:v>486.68036818695896</c:v>
                      </c:pt>
                      <c:pt idx="6">
                        <c:v>808.21054451070154</c:v>
                      </c:pt>
                      <c:pt idx="7">
                        <c:v>1211.5079768236806</c:v>
                      </c:pt>
                      <c:pt idx="8">
                        <c:v>1671.4869261380509</c:v>
                      </c:pt>
                      <c:pt idx="9">
                        <c:v>2100.8402833649252</c:v>
                      </c:pt>
                      <c:pt idx="10">
                        <c:v>2439.2672865180734</c:v>
                      </c:pt>
                      <c:pt idx="11">
                        <c:v>2670.586209629811</c:v>
                      </c:pt>
                      <c:pt idx="12">
                        <c:v>2753.9601204049482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BA-4B67-925B-BBF872810B45}"/>
                  </c:ext>
                </c:extLst>
              </c15:ser>
            </c15:filteredScatterSeries>
          </c:ext>
        </c:extLst>
      </c:scatterChart>
      <c:valAx>
        <c:axId val="105444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7215"/>
        <c:crosses val="autoZero"/>
        <c:crossBetween val="midCat"/>
      </c:valAx>
      <c:valAx>
        <c:axId val="16056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No.5 with A-B Shim</a:t>
            </a:r>
            <a:r>
              <a:rPr lang="en-US" baseline="0"/>
              <a:t> </a:t>
            </a:r>
            <a:r>
              <a:rPr lang="en-US"/>
              <a:t>Integral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Integral'!$H$5:$H$17</c:f>
              <c:numCache>
                <c:formatCode>General</c:formatCode>
                <c:ptCount val="13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'Differential &amp; Integral'!$N$5:$N$17</c:f>
              <c:numCache>
                <c:formatCode>General</c:formatCode>
                <c:ptCount val="13"/>
                <c:pt idx="2">
                  <c:v>53.157487414992829</c:v>
                </c:pt>
                <c:pt idx="3">
                  <c:v>133.93247496312847</c:v>
                </c:pt>
                <c:pt idx="4">
                  <c:v>268.6841362887385</c:v>
                </c:pt>
                <c:pt idx="5">
                  <c:v>486.68036818695896</c:v>
                </c:pt>
                <c:pt idx="6">
                  <c:v>808.21054451070154</c:v>
                </c:pt>
                <c:pt idx="7">
                  <c:v>1211.5079768236806</c:v>
                </c:pt>
                <c:pt idx="8">
                  <c:v>1671.4869261380509</c:v>
                </c:pt>
                <c:pt idx="9">
                  <c:v>2100.8402833649252</c:v>
                </c:pt>
                <c:pt idx="10">
                  <c:v>2439.2672865180734</c:v>
                </c:pt>
                <c:pt idx="11">
                  <c:v>2670.586209629811</c:v>
                </c:pt>
                <c:pt idx="12">
                  <c:v>2753.9601204049482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C53-46DC-9E9F-384560DB142F}"/>
            </c:ext>
          </c:extLst>
        </c:ser>
        <c:ser>
          <c:idx val="2"/>
          <c:order val="1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Integral'!$O$23:$O$39</c:f>
              <c:numCache>
                <c:formatCode>General</c:formatCode>
                <c:ptCount val="17"/>
                <c:pt idx="0">
                  <c:v>7.0967741935483799</c:v>
                </c:pt>
                <c:pt idx="1">
                  <c:v>13.356211393273799</c:v>
                </c:pt>
                <c:pt idx="2">
                  <c:v>21.921757035003399</c:v>
                </c:pt>
                <c:pt idx="3">
                  <c:v>23.1571722717913</c:v>
                </c:pt>
                <c:pt idx="4">
                  <c:v>26.6163349347975</c:v>
                </c:pt>
                <c:pt idx="5">
                  <c:v>30.404941660947099</c:v>
                </c:pt>
                <c:pt idx="6">
                  <c:v>41.606039807824203</c:v>
                </c:pt>
                <c:pt idx="7">
                  <c:v>43.5003431708991</c:v>
                </c:pt>
                <c:pt idx="8">
                  <c:v>47.371310912834502</c:v>
                </c:pt>
                <c:pt idx="9">
                  <c:v>55.525051475634797</c:v>
                </c:pt>
                <c:pt idx="10">
                  <c:v>65.573095401509903</c:v>
                </c:pt>
                <c:pt idx="11">
                  <c:v>67.467398764584701</c:v>
                </c:pt>
                <c:pt idx="12">
                  <c:v>69.855868222374696</c:v>
                </c:pt>
                <c:pt idx="13">
                  <c:v>74.056280027453596</c:v>
                </c:pt>
                <c:pt idx="14">
                  <c:v>79.245024021962905</c:v>
                </c:pt>
                <c:pt idx="15">
                  <c:v>84.680851063829707</c:v>
                </c:pt>
                <c:pt idx="16">
                  <c:v>96.540837336993803</c:v>
                </c:pt>
              </c:numCache>
            </c:numRef>
          </c:xVal>
          <c:yVal>
            <c:numRef>
              <c:f>'Differential &amp; Integral'!$R$23:$R$39</c:f>
              <c:numCache>
                <c:formatCode>General</c:formatCode>
                <c:ptCount val="17"/>
                <c:pt idx="0">
                  <c:v>306.17631578947339</c:v>
                </c:pt>
                <c:pt idx="1">
                  <c:v>371.82894736842087</c:v>
                </c:pt>
                <c:pt idx="2">
                  <c:v>529.39526315789419</c:v>
                </c:pt>
                <c:pt idx="3">
                  <c:v>552.37368421052588</c:v>
                </c:pt>
                <c:pt idx="4">
                  <c:v>657.41789473684173</c:v>
                </c:pt>
                <c:pt idx="5">
                  <c:v>782.15789473684174</c:v>
                </c:pt>
                <c:pt idx="6">
                  <c:v>1231.8784210526255</c:v>
                </c:pt>
                <c:pt idx="7">
                  <c:v>1330.3573684210501</c:v>
                </c:pt>
                <c:pt idx="8">
                  <c:v>1524.0326315789421</c:v>
                </c:pt>
                <c:pt idx="9">
                  <c:v>1875.2742105263089</c:v>
                </c:pt>
                <c:pt idx="10">
                  <c:v>2311.8642105263093</c:v>
                </c:pt>
                <c:pt idx="11">
                  <c:v>2380.7994736842088</c:v>
                </c:pt>
                <c:pt idx="12">
                  <c:v>2462.8652631578921</c:v>
                </c:pt>
                <c:pt idx="13">
                  <c:v>2567.9094736842085</c:v>
                </c:pt>
                <c:pt idx="14">
                  <c:v>2672.9536842105254</c:v>
                </c:pt>
                <c:pt idx="15">
                  <c:v>2748.454210526309</c:v>
                </c:pt>
                <c:pt idx="16">
                  <c:v>2856.7810526315752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3-46DC-9E9F-384560DB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43871"/>
        <c:axId val="1605617215"/>
        <c:extLst/>
      </c:scatterChart>
      <c:valAx>
        <c:axId val="105444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7215"/>
        <c:crosses val="autoZero"/>
        <c:crossBetween val="midCat"/>
      </c:valAx>
      <c:valAx>
        <c:axId val="16056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45</xdr:row>
      <xdr:rowOff>9522</xdr:rowOff>
    </xdr:from>
    <xdr:to>
      <xdr:col>5</xdr:col>
      <xdr:colOff>1181100</xdr:colOff>
      <xdr:row>59</xdr:row>
      <xdr:rowOff>85722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17427-51B4-F3F0-B834-8909F402C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45</xdr:row>
      <xdr:rowOff>28574</xdr:rowOff>
    </xdr:from>
    <xdr:to>
      <xdr:col>13</xdr:col>
      <xdr:colOff>28575</xdr:colOff>
      <xdr:row>59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4B6FF-F91E-51AA-E922-F0DB6534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269079</xdr:colOff>
      <xdr:row>59</xdr:row>
      <xdr:rowOff>180975</xdr:rowOff>
    </xdr:from>
    <xdr:to>
      <xdr:col>5</xdr:col>
      <xdr:colOff>1181100</xdr:colOff>
      <xdr:row>75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BCC10-FE75-593C-5EAD-9739CC33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60</xdr:row>
      <xdr:rowOff>123825</xdr:rowOff>
    </xdr:from>
    <xdr:to>
      <xdr:col>12</xdr:col>
      <xdr:colOff>1464471</xdr:colOff>
      <xdr:row>75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7D19F4-E05B-4D07-837E-AC8C5C9A5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A4BB-76B8-4F5C-9E59-B1DED5EC6FFB}">
  <dimension ref="A1:R42"/>
  <sheetViews>
    <sheetView workbookViewId="0">
      <selection activeCell="R15" sqref="R15"/>
    </sheetView>
  </sheetViews>
  <sheetFormatPr defaultRowHeight="15"/>
  <cols>
    <col min="1" max="1" width="13.5703125" bestFit="1" customWidth="1"/>
    <col min="4" max="4" width="11.5703125" bestFit="1" customWidth="1"/>
    <col min="5" max="5" width="18.5703125" bestFit="1" customWidth="1"/>
    <col min="6" max="6" width="25.42578125" bestFit="1" customWidth="1"/>
    <col min="7" max="7" width="12" bestFit="1" customWidth="1"/>
    <col min="10" max="10" width="18.5703125" bestFit="1" customWidth="1"/>
    <col min="12" max="12" width="16.140625" bestFit="1" customWidth="1"/>
    <col min="13" max="13" width="24" bestFit="1" customWidth="1"/>
    <col min="14" max="14" width="12" bestFit="1" customWidth="1"/>
  </cols>
  <sheetData>
    <row r="1" spans="1:14" ht="28.5">
      <c r="A1" s="20" t="s">
        <v>0</v>
      </c>
      <c r="B1" s="21"/>
      <c r="C1" s="21"/>
      <c r="D1" s="21"/>
      <c r="E1" s="21"/>
      <c r="F1" s="5"/>
      <c r="G1" s="6"/>
      <c r="H1" s="22" t="s">
        <v>1</v>
      </c>
      <c r="I1" s="22"/>
      <c r="J1" s="22"/>
      <c r="K1" s="22"/>
      <c r="L1" s="22"/>
    </row>
    <row r="2" spans="1:14">
      <c r="A2" s="1"/>
      <c r="G2" s="2"/>
    </row>
    <row r="3" spans="1:14">
      <c r="A3" s="1"/>
      <c r="G3" s="2"/>
    </row>
    <row r="4" spans="1:14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s="2" t="s">
        <v>8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s="2" t="s">
        <v>8</v>
      </c>
    </row>
    <row r="5" spans="1:14">
      <c r="A5" s="1">
        <v>-20</v>
      </c>
      <c r="B5">
        <v>1.02136</v>
      </c>
      <c r="C5">
        <f>(B5-1)/B5</f>
        <v>2.0913292081146749E-2</v>
      </c>
      <c r="D5">
        <f>C5*10^5</f>
        <v>2091.3292081146751</v>
      </c>
      <c r="E5">
        <v>0</v>
      </c>
      <c r="F5">
        <f>(E5+E6)/2*10</f>
        <v>44.295632080339601</v>
      </c>
      <c r="G5" s="2"/>
      <c r="H5">
        <v>-20</v>
      </c>
      <c r="I5">
        <v>1.02454</v>
      </c>
      <c r="J5">
        <f>(I5-1)/I5</f>
        <v>2.3952212700333816E-2</v>
      </c>
      <c r="K5">
        <f>J5*10^5</f>
        <v>2395.2212700333816</v>
      </c>
      <c r="L5">
        <v>0</v>
      </c>
      <c r="M5">
        <f>(L5+L6)/2*10</f>
        <v>72.770528061853383</v>
      </c>
    </row>
    <row r="6" spans="1:14">
      <c r="A6" s="1">
        <v>-10</v>
      </c>
      <c r="B6">
        <v>1.0222850000000001</v>
      </c>
      <c r="C6">
        <f>(B6-1)/B6</f>
        <v>2.1799204722753544E-2</v>
      </c>
      <c r="D6">
        <f>C6*10^5</f>
        <v>2179.9204722753543</v>
      </c>
      <c r="E6">
        <f>ABS(D6-D5)/(10)</f>
        <v>8.8591264160679195</v>
      </c>
      <c r="F6">
        <f t="shared" ref="F6:F16" si="0">(E6+E7)/2*10</f>
        <v>107.12945612242333</v>
      </c>
      <c r="G6" s="2"/>
      <c r="H6">
        <v>-10</v>
      </c>
      <c r="I6">
        <v>1.02607</v>
      </c>
      <c r="J6">
        <f>(I6-1)/I6</f>
        <v>2.5407623261570884E-2</v>
      </c>
      <c r="K6">
        <f>J6*10^5</f>
        <v>2540.7623261570884</v>
      </c>
      <c r="L6">
        <f>ABS(K6-K5)/(H6-H5)</f>
        <v>14.554105612370677</v>
      </c>
      <c r="M6">
        <f t="shared" ref="M6:M17" si="1">(L6+L7)/2*10</f>
        <v>101.24878427090744</v>
      </c>
    </row>
    <row r="7" spans="1:14">
      <c r="A7" s="1">
        <v>0</v>
      </c>
      <c r="B7">
        <v>1.0236000000000001</v>
      </c>
      <c r="C7">
        <f>(B7-1)/B7</f>
        <v>2.3055881203595217E-2</v>
      </c>
      <c r="D7">
        <f>C7*10^5</f>
        <v>2305.5881203595218</v>
      </c>
      <c r="E7">
        <f>ABS(D7-D6)/(A7-A6)</f>
        <v>12.566764808416746</v>
      </c>
      <c r="F7">
        <f>(E7+E8)/2*10</f>
        <v>70.470376209654887</v>
      </c>
      <c r="G7" s="2">
        <f>SUM($F$7:F7)</f>
        <v>70.470376209654887</v>
      </c>
      <c r="H7">
        <v>0</v>
      </c>
      <c r="I7">
        <v>1.02667</v>
      </c>
      <c r="J7">
        <f>(I7-1)/I7</f>
        <v>2.5977188385751967E-2</v>
      </c>
      <c r="K7">
        <f>J7*10^5</f>
        <v>2597.7188385751965</v>
      </c>
      <c r="L7">
        <f t="shared" ref="L7:L17" si="2">ABS(K7-K6)/(H7-H6)</f>
        <v>5.6956512418108103</v>
      </c>
      <c r="M7">
        <f t="shared" si="1"/>
        <v>53.157487414992829</v>
      </c>
      <c r="N7">
        <f>SUM($M$7:M7)</f>
        <v>53.157487414992829</v>
      </c>
    </row>
    <row r="8" spans="1:14">
      <c r="A8" s="1">
        <v>10</v>
      </c>
      <c r="B8">
        <v>1.0234399999999999</v>
      </c>
      <c r="C8">
        <f>(B8-1)/B8</f>
        <v>2.2903150160243795E-2</v>
      </c>
      <c r="D8">
        <f>C8*10^5</f>
        <v>2290.3150160243795</v>
      </c>
      <c r="E8">
        <f t="shared" ref="E8:E17" si="3">ABS(D8-D7)/(A8-A7)</f>
        <v>1.5273104335142307</v>
      </c>
      <c r="F8">
        <f t="shared" si="0"/>
        <v>80.781847754004502</v>
      </c>
      <c r="G8" s="2">
        <f>SUM($F$7:F8)</f>
        <v>151.25222396365939</v>
      </c>
      <c r="H8">
        <v>10</v>
      </c>
      <c r="I8">
        <v>1.0261499999999999</v>
      </c>
      <c r="J8">
        <f>(I8-1)/I8</f>
        <v>2.5483603761633191E-2</v>
      </c>
      <c r="K8">
        <f>J8*10^5</f>
        <v>2548.360376163319</v>
      </c>
      <c r="L8">
        <f t="shared" si="2"/>
        <v>4.9358462411877557</v>
      </c>
      <c r="M8">
        <f t="shared" si="1"/>
        <v>80.774987548135641</v>
      </c>
      <c r="N8">
        <f>SUM($M$7:M8)</f>
        <v>133.93247496312847</v>
      </c>
    </row>
    <row r="9" spans="1:14">
      <c r="A9" s="1">
        <v>20</v>
      </c>
      <c r="B9">
        <v>1.0219100000000001</v>
      </c>
      <c r="C9">
        <f t="shared" ref="C9:C17" si="4">(B9-1)/B9</f>
        <v>2.1440244248515129E-2</v>
      </c>
      <c r="D9">
        <f t="shared" ref="D9:D17" si="5">C9*10^5</f>
        <v>2144.0244248515128</v>
      </c>
      <c r="E9">
        <f t="shared" si="3"/>
        <v>14.629059117286669</v>
      </c>
      <c r="F9">
        <f t="shared" si="0"/>
        <v>183.5153114860716</v>
      </c>
      <c r="G9" s="2">
        <f>SUM($F$7:F9)</f>
        <v>334.76753544973099</v>
      </c>
      <c r="H9">
        <v>20</v>
      </c>
      <c r="I9">
        <v>1.0249699999999999</v>
      </c>
      <c r="J9">
        <f t="shared" ref="J9:J17" si="6">(I9-1)/I9</f>
        <v>2.4361688634789252E-2</v>
      </c>
      <c r="K9">
        <f t="shared" ref="K9:K17" si="7">J9*10^5</f>
        <v>2436.1688634789252</v>
      </c>
      <c r="L9">
        <f t="shared" si="2"/>
        <v>11.219151268439372</v>
      </c>
      <c r="M9">
        <f t="shared" si="1"/>
        <v>134.75166132561003</v>
      </c>
      <c r="N9">
        <f>SUM($M$7:M9)</f>
        <v>268.6841362887385</v>
      </c>
    </row>
    <row r="10" spans="1:14">
      <c r="A10" s="1">
        <v>30</v>
      </c>
      <c r="B10">
        <v>1.0196099999999999</v>
      </c>
      <c r="C10">
        <f t="shared" si="4"/>
        <v>1.9232843930522363E-2</v>
      </c>
      <c r="D10">
        <f t="shared" si="5"/>
        <v>1923.2843930522363</v>
      </c>
      <c r="E10">
        <f t="shared" si="3"/>
        <v>22.074003179927651</v>
      </c>
      <c r="F10">
        <f t="shared" si="0"/>
        <v>276.37762372504608</v>
      </c>
      <c r="G10" s="2">
        <f>SUM($F$7:F10)</f>
        <v>611.14515917477706</v>
      </c>
      <c r="H10">
        <v>30</v>
      </c>
      <c r="I10">
        <v>1.02332</v>
      </c>
      <c r="J10">
        <f t="shared" si="6"/>
        <v>2.2788570535120987E-2</v>
      </c>
      <c r="K10">
        <f t="shared" si="7"/>
        <v>2278.8570535120989</v>
      </c>
      <c r="L10">
        <f t="shared" si="2"/>
        <v>15.731180996682633</v>
      </c>
      <c r="M10">
        <f t="shared" si="1"/>
        <v>217.99623189822046</v>
      </c>
      <c r="N10">
        <f>SUM($M$7:M10)</f>
        <v>486.68036818695896</v>
      </c>
    </row>
    <row r="11" spans="1:14">
      <c r="A11" s="1">
        <v>40</v>
      </c>
      <c r="B11">
        <v>1.01617</v>
      </c>
      <c r="C11">
        <f t="shared" si="4"/>
        <v>1.5912691774014207E-2</v>
      </c>
      <c r="D11">
        <f t="shared" si="5"/>
        <v>1591.2691774014206</v>
      </c>
      <c r="E11">
        <f t="shared" si="3"/>
        <v>33.201521565081563</v>
      </c>
      <c r="F11">
        <f t="shared" si="0"/>
        <v>378.52300300961133</v>
      </c>
      <c r="G11" s="2">
        <f>SUM($F$7:F11)</f>
        <v>989.66816218438839</v>
      </c>
      <c r="H11">
        <v>40</v>
      </c>
      <c r="I11">
        <v>1.02041</v>
      </c>
      <c r="J11">
        <f t="shared" si="6"/>
        <v>2.0001763996824844E-2</v>
      </c>
      <c r="K11">
        <f t="shared" si="7"/>
        <v>2000.1763996824843</v>
      </c>
      <c r="L11">
        <f>ABS(K11-K10)/(H11-H10)</f>
        <v>27.868065382961458</v>
      </c>
      <c r="M11">
        <f t="shared" si="1"/>
        <v>321.53017632374258</v>
      </c>
      <c r="N11">
        <f>SUM($M$7:M11)</f>
        <v>808.21054451070154</v>
      </c>
    </row>
    <row r="12" spans="1:14">
      <c r="A12" s="1">
        <v>50</v>
      </c>
      <c r="B12">
        <v>1.0118</v>
      </c>
      <c r="C12">
        <f t="shared" si="4"/>
        <v>1.1662383870330136E-2</v>
      </c>
      <c r="D12">
        <f t="shared" si="5"/>
        <v>1166.2383870330136</v>
      </c>
      <c r="E12">
        <f t="shared" si="3"/>
        <v>42.503079036840703</v>
      </c>
      <c r="F12">
        <f t="shared" si="0"/>
        <v>441.65843865056388</v>
      </c>
      <c r="G12" s="2">
        <f>SUM($F$7:F12)</f>
        <v>1431.3266008349524</v>
      </c>
      <c r="H12">
        <v>50</v>
      </c>
      <c r="I12">
        <v>1.0166299999999999</v>
      </c>
      <c r="J12">
        <f t="shared" si="6"/>
        <v>1.6357967008646137E-2</v>
      </c>
      <c r="K12">
        <f t="shared" si="7"/>
        <v>1635.7967008646137</v>
      </c>
      <c r="L12">
        <f t="shared" si="2"/>
        <v>36.437969881787055</v>
      </c>
      <c r="M12">
        <f t="shared" si="1"/>
        <v>403.29743231297897</v>
      </c>
      <c r="N12">
        <f>SUM($M$7:M12)</f>
        <v>1211.5079768236806</v>
      </c>
    </row>
    <row r="13" spans="1:14">
      <c r="A13" s="1">
        <v>60</v>
      </c>
      <c r="B13">
        <v>1.0071300000000001</v>
      </c>
      <c r="C13">
        <f t="shared" si="4"/>
        <v>7.0795230010029294E-3</v>
      </c>
      <c r="D13">
        <f t="shared" si="5"/>
        <v>707.95230010029297</v>
      </c>
      <c r="E13">
        <f t="shared" si="3"/>
        <v>45.828608693272066</v>
      </c>
      <c r="F13">
        <f t="shared" si="0"/>
        <v>449.97468934265351</v>
      </c>
      <c r="G13" s="2">
        <f>SUM($F$7:F13)</f>
        <v>1881.301290177606</v>
      </c>
      <c r="H13">
        <v>60</v>
      </c>
      <c r="I13">
        <v>1.0120800000000001</v>
      </c>
      <c r="J13">
        <f t="shared" si="6"/>
        <v>1.1935815350565262E-2</v>
      </c>
      <c r="K13">
        <f t="shared" si="7"/>
        <v>1193.5815350565263</v>
      </c>
      <c r="L13">
        <f>ABS(K13-K12)/(H13-H12)</f>
        <v>44.221516580808746</v>
      </c>
      <c r="M13">
        <f t="shared" si="1"/>
        <v>459.97894931437025</v>
      </c>
      <c r="N13">
        <f>SUM($M$7:M13)</f>
        <v>1671.4869261380509</v>
      </c>
    </row>
    <row r="14" spans="1:14">
      <c r="A14" s="1">
        <v>70</v>
      </c>
      <c r="B14">
        <v>1.00267</v>
      </c>
      <c r="C14">
        <f t="shared" si="4"/>
        <v>2.6628900834770666E-3</v>
      </c>
      <c r="D14">
        <f t="shared" si="5"/>
        <v>266.28900834770667</v>
      </c>
      <c r="E14">
        <f t="shared" si="3"/>
        <v>44.166329175258632</v>
      </c>
      <c r="F14">
        <f t="shared" si="0"/>
        <v>387.6988791695706</v>
      </c>
      <c r="G14" s="2">
        <f>SUM($F$7:F14)</f>
        <v>2269.0001693471768</v>
      </c>
      <c r="H14">
        <v>70</v>
      </c>
      <c r="I14">
        <v>1.0072099999999999</v>
      </c>
      <c r="J14">
        <f t="shared" si="6"/>
        <v>7.1583880223587328E-3</v>
      </c>
      <c r="K14">
        <f t="shared" si="7"/>
        <v>715.83880223587323</v>
      </c>
      <c r="L14">
        <f t="shared" si="2"/>
        <v>47.774273282065302</v>
      </c>
      <c r="M14">
        <f t="shared" si="1"/>
        <v>429.35335722687427</v>
      </c>
      <c r="N14">
        <f>SUM($M$7:M14)</f>
        <v>2100.8402833649252</v>
      </c>
    </row>
    <row r="15" spans="1:14">
      <c r="A15" s="1">
        <v>80</v>
      </c>
      <c r="B15">
        <v>0.99932600000000005</v>
      </c>
      <c r="C15">
        <f t="shared" si="4"/>
        <v>-6.7445458238848217E-4</v>
      </c>
      <c r="D15">
        <f t="shared" si="5"/>
        <v>-67.445458238848218</v>
      </c>
      <c r="E15">
        <f t="shared" si="3"/>
        <v>33.373446658655489</v>
      </c>
      <c r="F15">
        <f t="shared" si="0"/>
        <v>264.89073326390013</v>
      </c>
      <c r="G15" s="2">
        <f>SUM($F$7:F15)</f>
        <v>2533.8909026110769</v>
      </c>
      <c r="H15">
        <v>80</v>
      </c>
      <c r="I15">
        <v>1.00336</v>
      </c>
      <c r="J15">
        <f t="shared" si="6"/>
        <v>3.3487482060277764E-3</v>
      </c>
      <c r="K15">
        <f t="shared" si="7"/>
        <v>334.87482060277762</v>
      </c>
      <c r="L15">
        <f t="shared" si="2"/>
        <v>38.096398163309559</v>
      </c>
      <c r="M15">
        <f t="shared" si="1"/>
        <v>338.42700315314829</v>
      </c>
      <c r="N15">
        <f>SUM($M$7:M15)</f>
        <v>2439.2672865180734</v>
      </c>
    </row>
    <row r="16" spans="1:14">
      <c r="A16" s="1">
        <v>90</v>
      </c>
      <c r="B16">
        <v>0.99737200000000004</v>
      </c>
      <c r="C16">
        <f t="shared" si="4"/>
        <v>-2.6349245818009363E-3</v>
      </c>
      <c r="D16">
        <f t="shared" si="5"/>
        <v>-263.49245818009365</v>
      </c>
      <c r="E16">
        <f t="shared" si="3"/>
        <v>19.604699994124541</v>
      </c>
      <c r="F16">
        <f t="shared" si="0"/>
        <v>151.20874335665269</v>
      </c>
      <c r="G16" s="2">
        <f>SUM($F$7:F16)</f>
        <v>2685.0996459677294</v>
      </c>
      <c r="H16">
        <v>90</v>
      </c>
      <c r="I16">
        <v>1.0003899999999999</v>
      </c>
      <c r="J16">
        <f t="shared" si="6"/>
        <v>3.8984795929576513E-4</v>
      </c>
      <c r="K16">
        <f t="shared" si="7"/>
        <v>38.984795929576514</v>
      </c>
      <c r="L16">
        <f t="shared" si="2"/>
        <v>29.589002467320107</v>
      </c>
      <c r="M16">
        <f t="shared" si="1"/>
        <v>231.31892311173755</v>
      </c>
      <c r="N16">
        <f>SUM($M$7:M16)</f>
        <v>2670.586209629811</v>
      </c>
    </row>
    <row r="17" spans="1:18">
      <c r="A17" s="3">
        <v>100</v>
      </c>
      <c r="B17" s="4">
        <v>0.99631499999999995</v>
      </c>
      <c r="C17" s="4">
        <f t="shared" si="4"/>
        <v>-3.6986294495215365E-3</v>
      </c>
      <c r="D17" s="4">
        <f t="shared" si="5"/>
        <v>-369.86294495215367</v>
      </c>
      <c r="E17" s="4">
        <f t="shared" si="3"/>
        <v>10.637048677206002</v>
      </c>
      <c r="F17" s="4">
        <f>(E17+0)/2*10</f>
        <v>53.18524338603001</v>
      </c>
      <c r="G17" s="2">
        <f>SUM($F$7:F17)</f>
        <v>2738.2848893537594</v>
      </c>
      <c r="H17">
        <v>100</v>
      </c>
      <c r="I17">
        <v>0.99872399999999995</v>
      </c>
      <c r="J17">
        <f t="shared" si="6"/>
        <v>-1.277630256206975E-3</v>
      </c>
      <c r="K17">
        <f t="shared" si="7"/>
        <v>-127.7630256206975</v>
      </c>
      <c r="L17">
        <f t="shared" si="2"/>
        <v>16.674782155027401</v>
      </c>
      <c r="M17">
        <f t="shared" si="1"/>
        <v>83.373910775137006</v>
      </c>
      <c r="N17">
        <f>SUM($M$7:M17)</f>
        <v>2753.9601204049482</v>
      </c>
    </row>
    <row r="21" spans="1:18" ht="28.5">
      <c r="A21" s="20" t="s">
        <v>9</v>
      </c>
      <c r="B21" s="21"/>
      <c r="C21" s="21"/>
      <c r="D21" s="21"/>
      <c r="E21" s="21"/>
      <c r="F21" s="5"/>
      <c r="G21" s="5"/>
      <c r="H21" s="5"/>
      <c r="I21" s="6"/>
      <c r="J21" s="20" t="s">
        <v>10</v>
      </c>
      <c r="K21" s="21"/>
      <c r="L21" s="21"/>
      <c r="M21" s="21"/>
      <c r="N21" s="21"/>
      <c r="O21" s="5"/>
      <c r="P21" s="5"/>
      <c r="Q21" s="5"/>
      <c r="R21" s="6"/>
    </row>
    <row r="22" spans="1:18">
      <c r="A22" s="1" t="s">
        <v>2</v>
      </c>
      <c r="B22" t="s">
        <v>11</v>
      </c>
      <c r="C22" t="s">
        <v>12</v>
      </c>
      <c r="D22" t="s">
        <v>13</v>
      </c>
      <c r="E22" t="s">
        <v>14</v>
      </c>
      <c r="F22" t="s">
        <v>2</v>
      </c>
      <c r="G22" t="s">
        <v>12</v>
      </c>
      <c r="H22" t="s">
        <v>13</v>
      </c>
      <c r="I22" s="2" t="s">
        <v>15</v>
      </c>
      <c r="J22" s="1" t="s">
        <v>2</v>
      </c>
      <c r="K22" t="s">
        <v>11</v>
      </c>
      <c r="L22" t="s">
        <v>12</v>
      </c>
      <c r="M22" t="s">
        <v>13</v>
      </c>
      <c r="N22" t="s">
        <v>14</v>
      </c>
      <c r="O22" t="s">
        <v>2</v>
      </c>
      <c r="P22" t="s">
        <v>12</v>
      </c>
      <c r="Q22" t="s">
        <v>13</v>
      </c>
      <c r="R22" s="2" t="s">
        <v>15</v>
      </c>
    </row>
    <row r="23" spans="1:18">
      <c r="A23" s="1">
        <v>0.14285714285714199</v>
      </c>
      <c r="B23">
        <v>0.151968503937007</v>
      </c>
      <c r="C23">
        <f>B23/100</f>
        <v>1.5196850393700701E-3</v>
      </c>
      <c r="D23">
        <f>C23*0.0077</f>
        <v>1.1701574803149541E-5</v>
      </c>
      <c r="E23">
        <f>D23*10^5</f>
        <v>1.1701574803149541</v>
      </c>
      <c r="F23">
        <v>-21.285714285714199</v>
      </c>
      <c r="G23">
        <v>-6.7716535433070796E-2</v>
      </c>
      <c r="H23">
        <f>G23*0.0077</f>
        <v>-5.2141732283464512E-4</v>
      </c>
      <c r="I23" s="2">
        <f>H23*10^5</f>
        <v>-52.141732283464513</v>
      </c>
      <c r="J23" s="1">
        <v>6.0260809883321897</v>
      </c>
      <c r="K23">
        <v>0.66194736842105195</v>
      </c>
      <c r="L23">
        <f>K23/100</f>
        <v>6.6194736842105197E-3</v>
      </c>
      <c r="M23">
        <f>L23*0.0077</f>
        <v>5.0969947368421002E-5</v>
      </c>
      <c r="N23">
        <f>M23*10^5</f>
        <v>5.0969947368420998</v>
      </c>
      <c r="O23">
        <v>7.0967741935483799</v>
      </c>
      <c r="P23">
        <v>0.397631578947368</v>
      </c>
      <c r="Q23">
        <f>P23*0.0077</f>
        <v>3.0617631578947336E-3</v>
      </c>
      <c r="R23" s="2">
        <f>Q23*10^5</f>
        <v>306.17631578947339</v>
      </c>
    </row>
    <row r="24" spans="1:18">
      <c r="A24" s="1">
        <v>10.285714285714199</v>
      </c>
      <c r="B24">
        <v>0.47086614173228297</v>
      </c>
      <c r="C24">
        <f t="shared" ref="C24:C33" si="8">B24/100</f>
        <v>4.7086614173228293E-3</v>
      </c>
      <c r="D24">
        <f t="shared" ref="D24:D33" si="9">C24*0.0077</f>
        <v>3.6256692913385788E-5</v>
      </c>
      <c r="E24">
        <f t="shared" ref="E24:E33" si="10">D24*10^5</f>
        <v>3.6256692913385788</v>
      </c>
      <c r="F24">
        <v>0.28571428571428398</v>
      </c>
      <c r="G24">
        <v>-2.51968503937007E-2</v>
      </c>
      <c r="H24">
        <f t="shared" ref="H24:H42" si="11">G24*0.0077</f>
        <v>-1.9401574803149541E-4</v>
      </c>
      <c r="I24" s="2">
        <f t="shared" ref="I24:I42" si="12">H24*10^5</f>
        <v>-19.40157480314954</v>
      </c>
      <c r="J24" s="1">
        <v>14.5916266300617</v>
      </c>
      <c r="K24">
        <v>1.1223684210526299</v>
      </c>
      <c r="L24">
        <f t="shared" ref="L24:L33" si="13">K24/100</f>
        <v>1.1223684210526299E-2</v>
      </c>
      <c r="M24">
        <f t="shared" ref="M24:M33" si="14">L24*0.0077</f>
        <v>8.6422368421052502E-5</v>
      </c>
      <c r="N24">
        <f t="shared" ref="N24:N33" si="15">M24*10^5</f>
        <v>8.64223684210525</v>
      </c>
      <c r="O24">
        <v>13.356211393273799</v>
      </c>
      <c r="P24">
        <v>0.48289473684210499</v>
      </c>
      <c r="Q24">
        <f t="shared" ref="Q24:Q39" si="16">P24*0.0077</f>
        <v>3.7182894736842087E-3</v>
      </c>
      <c r="R24" s="2">
        <f t="shared" ref="R24:R39" si="17">Q24*10^5</f>
        <v>371.82894736842087</v>
      </c>
    </row>
    <row r="25" spans="1:18">
      <c r="A25" s="1">
        <v>20.428571428571399</v>
      </c>
      <c r="B25">
        <v>1.0803149606299201</v>
      </c>
      <c r="C25">
        <f t="shared" si="8"/>
        <v>1.08031496062992E-2</v>
      </c>
      <c r="D25">
        <f t="shared" si="9"/>
        <v>8.3184251968503837E-5</v>
      </c>
      <c r="E25">
        <f t="shared" si="10"/>
        <v>8.3184251968503844</v>
      </c>
      <c r="F25">
        <v>15</v>
      </c>
      <c r="G25">
        <v>8.1102362204724401E-2</v>
      </c>
      <c r="H25">
        <f t="shared" si="11"/>
        <v>6.2448818897637792E-4</v>
      </c>
      <c r="I25" s="2">
        <f t="shared" si="12"/>
        <v>62.448818897637793</v>
      </c>
      <c r="J25" s="1">
        <v>23.1571722717913</v>
      </c>
      <c r="K25">
        <v>1.7618421052631501</v>
      </c>
      <c r="L25">
        <f t="shared" si="13"/>
        <v>1.7618421052631502E-2</v>
      </c>
      <c r="M25">
        <f t="shared" si="14"/>
        <v>1.3566184210526256E-4</v>
      </c>
      <c r="N25">
        <f t="shared" si="15"/>
        <v>13.566184210526256</v>
      </c>
      <c r="O25">
        <v>21.921757035003399</v>
      </c>
      <c r="P25">
        <v>0.68752631578947299</v>
      </c>
      <c r="Q25">
        <f t="shared" si="16"/>
        <v>5.2939526315789421E-3</v>
      </c>
      <c r="R25" s="2">
        <f t="shared" si="17"/>
        <v>529.39526315789419</v>
      </c>
    </row>
    <row r="26" spans="1:18">
      <c r="A26" s="1">
        <v>30.714285714285701</v>
      </c>
      <c r="B26">
        <v>1.7748031496062899</v>
      </c>
      <c r="C26">
        <f t="shared" si="8"/>
        <v>1.77480314960629E-2</v>
      </c>
      <c r="D26">
        <f t="shared" si="9"/>
        <v>1.3665984251968433E-4</v>
      </c>
      <c r="E26">
        <f t="shared" si="10"/>
        <v>13.665984251968434</v>
      </c>
      <c r="F26">
        <v>19.428571428571399</v>
      </c>
      <c r="G26">
        <v>0.180314960629921</v>
      </c>
      <c r="H26">
        <f t="shared" si="11"/>
        <v>1.3884251968503917E-3</v>
      </c>
      <c r="I26" s="2">
        <f t="shared" si="12"/>
        <v>138.84251968503918</v>
      </c>
      <c r="J26" s="1">
        <v>32.052161976664301</v>
      </c>
      <c r="K26">
        <v>2.4780526315789402</v>
      </c>
      <c r="L26">
        <f t="shared" si="13"/>
        <v>2.4780526315789402E-2</v>
      </c>
      <c r="M26">
        <f t="shared" si="14"/>
        <v>1.908100526315784E-4</v>
      </c>
      <c r="N26">
        <f t="shared" si="15"/>
        <v>19.081005263157842</v>
      </c>
      <c r="O26">
        <v>23.1571722717913</v>
      </c>
      <c r="P26">
        <v>0.71736842105263099</v>
      </c>
      <c r="Q26">
        <f t="shared" si="16"/>
        <v>5.5237368421052584E-3</v>
      </c>
      <c r="R26" s="2">
        <f t="shared" si="17"/>
        <v>552.37368421052588</v>
      </c>
    </row>
    <row r="27" spans="1:18">
      <c r="A27" s="1">
        <v>40.857142857142797</v>
      </c>
      <c r="B27">
        <v>2.3629921259842499</v>
      </c>
      <c r="C27">
        <f t="shared" si="8"/>
        <v>2.36299212598425E-2</v>
      </c>
      <c r="D27">
        <f t="shared" si="9"/>
        <v>1.8195039370078725E-4</v>
      </c>
      <c r="E27">
        <f t="shared" si="10"/>
        <v>18.195039370078725</v>
      </c>
      <c r="F27">
        <v>23.285714285714199</v>
      </c>
      <c r="G27">
        <v>0.26535433070866099</v>
      </c>
      <c r="H27">
        <f t="shared" si="11"/>
        <v>2.0432283464566895E-3</v>
      </c>
      <c r="I27" s="2">
        <f t="shared" si="12"/>
        <v>204.32283464566896</v>
      </c>
      <c r="J27" s="1">
        <v>40.864790665751499</v>
      </c>
      <c r="K27">
        <v>3.0450526315789399</v>
      </c>
      <c r="L27">
        <f t="shared" si="13"/>
        <v>3.04505263157894E-2</v>
      </c>
      <c r="M27">
        <f t="shared" si="14"/>
        <v>2.3446905263157838E-4</v>
      </c>
      <c r="N27">
        <f t="shared" si="15"/>
        <v>23.446905263157838</v>
      </c>
      <c r="O27">
        <v>26.6163349347975</v>
      </c>
      <c r="P27">
        <v>0.85378947368420999</v>
      </c>
      <c r="Q27">
        <f t="shared" si="16"/>
        <v>6.5741789473684172E-3</v>
      </c>
      <c r="R27" s="2">
        <f t="shared" si="17"/>
        <v>657.41789473684173</v>
      </c>
    </row>
    <row r="28" spans="1:18">
      <c r="A28" s="1">
        <v>50.428571428571402</v>
      </c>
      <c r="B28">
        <v>2.9157480314960602</v>
      </c>
      <c r="C28">
        <f t="shared" si="8"/>
        <v>2.9157480314960602E-2</v>
      </c>
      <c r="D28">
        <f t="shared" si="9"/>
        <v>2.2451259842519664E-4</v>
      </c>
      <c r="E28">
        <f t="shared" si="10"/>
        <v>22.451259842519665</v>
      </c>
      <c r="F28">
        <v>26.285714285714199</v>
      </c>
      <c r="G28">
        <v>0.35748031496062899</v>
      </c>
      <c r="H28">
        <f t="shared" si="11"/>
        <v>2.7525984251968432E-3</v>
      </c>
      <c r="I28" s="2">
        <f t="shared" si="12"/>
        <v>275.2598425196843</v>
      </c>
      <c r="J28" s="1">
        <v>49.018531228551801</v>
      </c>
      <c r="K28">
        <v>3.09621052631578</v>
      </c>
      <c r="L28">
        <f t="shared" si="13"/>
        <v>3.0962105263157801E-2</v>
      </c>
      <c r="M28">
        <f t="shared" si="14"/>
        <v>2.3840821052631509E-4</v>
      </c>
      <c r="N28">
        <f t="shared" si="15"/>
        <v>23.840821052631508</v>
      </c>
      <c r="O28">
        <v>30.404941660947099</v>
      </c>
      <c r="P28">
        <v>1.0157894736842099</v>
      </c>
      <c r="Q28">
        <f t="shared" si="16"/>
        <v>7.8215789473684173E-3</v>
      </c>
      <c r="R28" s="2">
        <f t="shared" si="17"/>
        <v>782.15789473684174</v>
      </c>
    </row>
    <row r="29" spans="1:18">
      <c r="A29" s="1">
        <v>60.571428571428498</v>
      </c>
      <c r="B29">
        <v>2.4551181102362198</v>
      </c>
      <c r="C29">
        <f t="shared" si="8"/>
        <v>2.4551181102362197E-2</v>
      </c>
      <c r="D29">
        <f t="shared" si="9"/>
        <v>1.8904409448818892E-4</v>
      </c>
      <c r="E29">
        <f t="shared" si="10"/>
        <v>18.904409448818893</v>
      </c>
      <c r="F29">
        <v>31.857142857142801</v>
      </c>
      <c r="G29">
        <v>0.52755905511810997</v>
      </c>
      <c r="H29">
        <f t="shared" si="11"/>
        <v>4.0622047244094472E-3</v>
      </c>
      <c r="I29" s="2">
        <f t="shared" si="12"/>
        <v>406.22047244094472</v>
      </c>
      <c r="J29" s="1">
        <v>57.8311599176389</v>
      </c>
      <c r="K29">
        <v>2.8660000000000001</v>
      </c>
      <c r="L29">
        <f t="shared" si="13"/>
        <v>2.8660000000000001E-2</v>
      </c>
      <c r="M29">
        <f t="shared" si="14"/>
        <v>2.2068200000000001E-4</v>
      </c>
      <c r="N29">
        <f t="shared" si="15"/>
        <v>22.068200000000001</v>
      </c>
      <c r="O29">
        <v>41.606039807824203</v>
      </c>
      <c r="P29">
        <v>1.59984210526315</v>
      </c>
      <c r="Q29">
        <f t="shared" si="16"/>
        <v>1.2318784210526255E-2</v>
      </c>
      <c r="R29" s="2">
        <f t="shared" si="17"/>
        <v>1231.8784210526255</v>
      </c>
    </row>
    <row r="30" spans="1:18">
      <c r="A30" s="1">
        <v>70.428571428571402</v>
      </c>
      <c r="B30">
        <v>2.0157480314960599</v>
      </c>
      <c r="C30">
        <f t="shared" si="8"/>
        <v>2.0157480314960598E-2</v>
      </c>
      <c r="D30">
        <f t="shared" si="9"/>
        <v>1.5521259842519661E-4</v>
      </c>
      <c r="E30">
        <f t="shared" si="10"/>
        <v>15.52125984251966</v>
      </c>
      <c r="F30">
        <v>37.285714285714199</v>
      </c>
      <c r="G30">
        <v>0.78267716535432996</v>
      </c>
      <c r="H30">
        <f t="shared" si="11"/>
        <v>6.026614173228341E-3</v>
      </c>
      <c r="I30" s="2">
        <f t="shared" si="12"/>
        <v>602.66141732283415</v>
      </c>
      <c r="J30" s="1">
        <v>66.314344543582706</v>
      </c>
      <c r="K30">
        <v>2.37573684210526</v>
      </c>
      <c r="L30">
        <f t="shared" si="13"/>
        <v>2.37573684210526E-2</v>
      </c>
      <c r="M30">
        <f t="shared" si="14"/>
        <v>1.8293173684210502E-4</v>
      </c>
      <c r="N30">
        <f t="shared" si="15"/>
        <v>18.293173684210501</v>
      </c>
      <c r="O30">
        <v>43.5003431708991</v>
      </c>
      <c r="P30">
        <v>1.7277368421052599</v>
      </c>
      <c r="Q30">
        <f t="shared" si="16"/>
        <v>1.3303573684210502E-2</v>
      </c>
      <c r="R30" s="2">
        <f t="shared" si="17"/>
        <v>1330.3573684210501</v>
      </c>
    </row>
    <row r="31" spans="1:18">
      <c r="A31" s="1">
        <v>80.428571428571402</v>
      </c>
      <c r="B31">
        <v>1.68267716535433</v>
      </c>
      <c r="C31">
        <f t="shared" si="8"/>
        <v>1.68267716535433E-2</v>
      </c>
      <c r="D31">
        <f t="shared" si="9"/>
        <v>1.2956614173228342E-4</v>
      </c>
      <c r="E31">
        <f t="shared" si="10"/>
        <v>12.956614173228342</v>
      </c>
      <c r="F31">
        <v>40.142857142857103</v>
      </c>
      <c r="G31">
        <v>0.93858267716535404</v>
      </c>
      <c r="H31">
        <f t="shared" si="11"/>
        <v>7.2270866141732259E-3</v>
      </c>
      <c r="I31" s="2">
        <f t="shared" si="12"/>
        <v>722.70866141732256</v>
      </c>
      <c r="J31" s="1">
        <v>74.797529169526399</v>
      </c>
      <c r="K31">
        <v>1.6552631578947301</v>
      </c>
      <c r="L31">
        <f t="shared" si="13"/>
        <v>1.6552631578947301E-2</v>
      </c>
      <c r="M31">
        <f t="shared" si="14"/>
        <v>1.2745526315789422E-4</v>
      </c>
      <c r="N31">
        <f t="shared" si="15"/>
        <v>12.745526315789421</v>
      </c>
      <c r="O31">
        <v>47.371310912834502</v>
      </c>
      <c r="P31">
        <v>1.97926315789473</v>
      </c>
      <c r="Q31">
        <f t="shared" si="16"/>
        <v>1.5240326315789421E-2</v>
      </c>
      <c r="R31" s="2">
        <f t="shared" si="17"/>
        <v>1524.0326315789421</v>
      </c>
    </row>
    <row r="32" spans="1:18">
      <c r="A32" s="1">
        <v>90.142857142857096</v>
      </c>
      <c r="B32">
        <v>0.93149606299212595</v>
      </c>
      <c r="C32">
        <f t="shared" si="8"/>
        <v>9.3149606299212599E-3</v>
      </c>
      <c r="D32">
        <f t="shared" si="9"/>
        <v>7.1725196850393701E-5</v>
      </c>
      <c r="E32">
        <f t="shared" si="10"/>
        <v>7.1725196850393704</v>
      </c>
      <c r="F32">
        <v>43.857142857142797</v>
      </c>
      <c r="G32">
        <v>1.1299212598425099</v>
      </c>
      <c r="H32">
        <f t="shared" si="11"/>
        <v>8.7003937007873264E-3</v>
      </c>
      <c r="I32" s="2">
        <f t="shared" si="12"/>
        <v>870.03937007873265</v>
      </c>
      <c r="J32" s="1">
        <v>83.115991763898407</v>
      </c>
      <c r="K32">
        <v>1.11384210526315</v>
      </c>
      <c r="L32">
        <f t="shared" si="13"/>
        <v>1.1138421052631499E-2</v>
      </c>
      <c r="M32">
        <f t="shared" si="14"/>
        <v>8.5765842105262546E-5</v>
      </c>
      <c r="N32">
        <f t="shared" si="15"/>
        <v>8.5765842105262546</v>
      </c>
      <c r="O32">
        <v>55.525051475634797</v>
      </c>
      <c r="P32">
        <v>2.43542105263157</v>
      </c>
      <c r="Q32">
        <f t="shared" si="16"/>
        <v>1.8752742105263089E-2</v>
      </c>
      <c r="R32" s="2">
        <f t="shared" si="17"/>
        <v>1875.2742105263089</v>
      </c>
    </row>
    <row r="33" spans="1:18">
      <c r="A33" s="1">
        <v>100.142857142857</v>
      </c>
      <c r="B33">
        <v>0.32913385826771602</v>
      </c>
      <c r="C33">
        <f t="shared" si="8"/>
        <v>3.29133858267716E-3</v>
      </c>
      <c r="D33">
        <f t="shared" si="9"/>
        <v>2.5343307086614134E-5</v>
      </c>
      <c r="E33">
        <f t="shared" si="10"/>
        <v>2.5343307086614133</v>
      </c>
      <c r="F33">
        <v>47.428571428571402</v>
      </c>
      <c r="G33">
        <v>1.2929133858267701</v>
      </c>
      <c r="H33">
        <f t="shared" si="11"/>
        <v>9.9554330708661303E-3</v>
      </c>
      <c r="I33" s="2">
        <f t="shared" si="12"/>
        <v>995.54330708661303</v>
      </c>
      <c r="J33" s="1">
        <v>91.928620452985498</v>
      </c>
      <c r="K33">
        <v>0.61931578947368404</v>
      </c>
      <c r="L33">
        <f t="shared" si="13"/>
        <v>6.1931578947368405E-3</v>
      </c>
      <c r="M33">
        <f t="shared" si="14"/>
        <v>4.7687315789473671E-5</v>
      </c>
      <c r="N33">
        <f t="shared" si="15"/>
        <v>4.7687315789473672</v>
      </c>
      <c r="O33">
        <v>65.573095401509903</v>
      </c>
      <c r="P33">
        <v>3.0024210526315702</v>
      </c>
      <c r="Q33">
        <f t="shared" si="16"/>
        <v>2.3118642105263092E-2</v>
      </c>
      <c r="R33" s="2">
        <f t="shared" si="17"/>
        <v>2311.8642105263093</v>
      </c>
    </row>
    <row r="34" spans="1:18">
      <c r="A34" s="1"/>
      <c r="F34">
        <v>50.428571428571402</v>
      </c>
      <c r="G34">
        <v>1.4842519685039299</v>
      </c>
      <c r="H34">
        <f t="shared" si="11"/>
        <v>1.1428740157480261E-2</v>
      </c>
      <c r="I34" s="2">
        <f t="shared" si="12"/>
        <v>1142.8740157480261</v>
      </c>
      <c r="J34" s="1"/>
      <c r="O34">
        <v>67.467398764584701</v>
      </c>
      <c r="P34">
        <v>3.0919473684210499</v>
      </c>
      <c r="Q34">
        <f t="shared" si="16"/>
        <v>2.3807994736842086E-2</v>
      </c>
      <c r="R34" s="2">
        <f t="shared" si="17"/>
        <v>2380.7994736842088</v>
      </c>
    </row>
    <row r="35" spans="1:18">
      <c r="A35" s="1"/>
      <c r="F35">
        <v>53.857142857142797</v>
      </c>
      <c r="G35">
        <v>1.7039370078740099</v>
      </c>
      <c r="H35">
        <f t="shared" si="11"/>
        <v>1.3120314960629877E-2</v>
      </c>
      <c r="I35" s="2">
        <f t="shared" si="12"/>
        <v>1312.0314960629878</v>
      </c>
      <c r="J35" s="1"/>
      <c r="O35">
        <v>69.855868222374696</v>
      </c>
      <c r="P35">
        <v>3.1985263157894699</v>
      </c>
      <c r="Q35">
        <f t="shared" si="16"/>
        <v>2.4628652631578919E-2</v>
      </c>
      <c r="R35" s="2">
        <f t="shared" si="17"/>
        <v>2462.8652631578921</v>
      </c>
    </row>
    <row r="36" spans="1:18">
      <c r="A36" s="1"/>
      <c r="F36">
        <v>56.142857142857103</v>
      </c>
      <c r="G36">
        <v>1.8527559055118099</v>
      </c>
      <c r="H36">
        <f t="shared" si="11"/>
        <v>1.4266220472440937E-2</v>
      </c>
      <c r="I36" s="2">
        <f t="shared" si="12"/>
        <v>1426.6220472440937</v>
      </c>
      <c r="J36" s="1"/>
      <c r="O36">
        <v>74.056280027453596</v>
      </c>
      <c r="P36">
        <v>3.3349473684210502</v>
      </c>
      <c r="Q36">
        <f t="shared" si="16"/>
        <v>2.5679094736842087E-2</v>
      </c>
      <c r="R36" s="2">
        <f t="shared" si="17"/>
        <v>2567.9094736842085</v>
      </c>
    </row>
    <row r="37" spans="1:18">
      <c r="A37" s="1"/>
      <c r="F37">
        <v>72.285714285714207</v>
      </c>
      <c r="G37">
        <v>2.5685039370078702</v>
      </c>
      <c r="H37">
        <f t="shared" si="11"/>
        <v>1.9777480314960599E-2</v>
      </c>
      <c r="I37" s="2">
        <f t="shared" si="12"/>
        <v>1977.7480314960599</v>
      </c>
      <c r="J37" s="1"/>
      <c r="O37">
        <v>79.245024021962905</v>
      </c>
      <c r="P37">
        <v>3.4713684210526301</v>
      </c>
      <c r="Q37">
        <f t="shared" si="16"/>
        <v>2.6729536842105252E-2</v>
      </c>
      <c r="R37" s="2">
        <f t="shared" si="17"/>
        <v>2672.9536842105254</v>
      </c>
    </row>
    <row r="38" spans="1:18">
      <c r="A38" s="1"/>
      <c r="F38">
        <v>76.142857142857096</v>
      </c>
      <c r="G38">
        <v>2.7385826771653501</v>
      </c>
      <c r="H38">
        <f t="shared" si="11"/>
        <v>2.1087086614173196E-2</v>
      </c>
      <c r="I38" s="2">
        <f t="shared" si="12"/>
        <v>2108.7086614173195</v>
      </c>
      <c r="J38" s="1"/>
      <c r="O38">
        <v>84.680851063829707</v>
      </c>
      <c r="P38">
        <v>3.5694210526315699</v>
      </c>
      <c r="Q38">
        <f t="shared" si="16"/>
        <v>2.7484542105263091E-2</v>
      </c>
      <c r="R38" s="2">
        <f t="shared" si="17"/>
        <v>2748.454210526309</v>
      </c>
    </row>
    <row r="39" spans="1:18">
      <c r="A39" s="1"/>
      <c r="F39">
        <v>81.428571428571402</v>
      </c>
      <c r="G39">
        <v>2.92283464566929</v>
      </c>
      <c r="H39">
        <f t="shared" si="11"/>
        <v>2.2505826771653532E-2</v>
      </c>
      <c r="I39" s="2">
        <f t="shared" si="12"/>
        <v>2250.5826771653533</v>
      </c>
      <c r="J39" s="1"/>
      <c r="O39">
        <v>96.540837336993803</v>
      </c>
      <c r="P39">
        <v>3.7101052631578901</v>
      </c>
      <c r="Q39">
        <f t="shared" si="16"/>
        <v>2.8567810526315754E-2</v>
      </c>
      <c r="R39" s="2">
        <f t="shared" si="17"/>
        <v>2856.7810526315752</v>
      </c>
    </row>
    <row r="40" spans="1:18">
      <c r="A40" s="1"/>
      <c r="F40">
        <v>88.142857142857096</v>
      </c>
      <c r="G40">
        <v>3.1283464566929098</v>
      </c>
      <c r="H40">
        <f t="shared" si="11"/>
        <v>2.4088267716535407E-2</v>
      </c>
      <c r="I40" s="2">
        <f t="shared" si="12"/>
        <v>2408.8267716535406</v>
      </c>
      <c r="J40" s="1"/>
      <c r="R40" s="2"/>
    </row>
    <row r="41" spans="1:18">
      <c r="A41" s="1"/>
      <c r="F41">
        <v>98.428571428571402</v>
      </c>
      <c r="G41">
        <v>3.2842519685039302</v>
      </c>
      <c r="H41">
        <f t="shared" si="11"/>
        <v>2.5288740157480262E-2</v>
      </c>
      <c r="I41" s="2">
        <f t="shared" si="12"/>
        <v>2528.8740157480261</v>
      </c>
      <c r="J41" s="1"/>
      <c r="R41" s="2"/>
    </row>
    <row r="42" spans="1:18">
      <c r="A42" s="3"/>
      <c r="B42" s="4"/>
      <c r="C42" s="4"/>
      <c r="D42" s="4"/>
      <c r="E42" s="4"/>
      <c r="F42" s="4">
        <v>105</v>
      </c>
      <c r="G42" s="4">
        <v>3.3267716535432998</v>
      </c>
      <c r="H42" s="4">
        <f t="shared" si="11"/>
        <v>2.561614173228341E-2</v>
      </c>
      <c r="I42" s="7">
        <f t="shared" si="12"/>
        <v>2561.6141732283409</v>
      </c>
      <c r="J42" s="3"/>
      <c r="K42" s="4"/>
      <c r="L42" s="4"/>
      <c r="M42" s="4"/>
      <c r="N42" s="4"/>
      <c r="O42" s="4"/>
      <c r="P42" s="4"/>
      <c r="Q42" s="4"/>
      <c r="R42" s="7"/>
    </row>
  </sheetData>
  <mergeCells count="4">
    <mergeCell ref="A1:E1"/>
    <mergeCell ref="H1:L1"/>
    <mergeCell ref="A21:E21"/>
    <mergeCell ref="J21:N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E277-164D-40AC-8934-6E7AB0E9B78A}">
  <dimension ref="A1:U49"/>
  <sheetViews>
    <sheetView tabSelected="1" topLeftCell="E1" workbookViewId="0">
      <selection activeCell="J7" sqref="J7:J8"/>
    </sheetView>
  </sheetViews>
  <sheetFormatPr defaultRowHeight="15"/>
  <cols>
    <col min="1" max="1" width="22.140625" bestFit="1" customWidth="1"/>
    <col min="2" max="2" width="19.140625" bestFit="1" customWidth="1"/>
    <col min="3" max="3" width="18.42578125" bestFit="1" customWidth="1"/>
    <col min="4" max="4" width="16.42578125" bestFit="1" customWidth="1"/>
    <col min="5" max="5" width="17.7109375" bestFit="1" customWidth="1"/>
    <col min="6" max="6" width="17.85546875" bestFit="1" customWidth="1"/>
    <col min="7" max="7" width="15.42578125" bestFit="1" customWidth="1"/>
    <col min="8" max="8" width="16.42578125" bestFit="1" customWidth="1"/>
    <col min="9" max="9" width="22.140625" bestFit="1" customWidth="1"/>
    <col min="10" max="10" width="17.28515625" bestFit="1" customWidth="1"/>
    <col min="11" max="11" width="16" bestFit="1" customWidth="1"/>
    <col min="12" max="12" width="11.42578125" bestFit="1" customWidth="1"/>
    <col min="15" max="15" width="9.28515625" bestFit="1" customWidth="1"/>
    <col min="17" max="18" width="9.28515625" bestFit="1" customWidth="1"/>
    <col min="21" max="21" width="21" customWidth="1"/>
  </cols>
  <sheetData>
    <row r="1" spans="1:21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/>
      <c r="H1" s="27" t="s">
        <v>22</v>
      </c>
      <c r="I1" s="27"/>
      <c r="J1" s="27"/>
      <c r="K1" s="27"/>
      <c r="M1" s="26" t="s">
        <v>23</v>
      </c>
      <c r="N1" s="26"/>
      <c r="O1" s="26"/>
      <c r="P1" s="26"/>
      <c r="Q1" s="26"/>
      <c r="R1" s="26"/>
    </row>
    <row r="2" spans="1:21">
      <c r="A2" s="24"/>
      <c r="B2" s="24"/>
      <c r="C2" s="24"/>
      <c r="D2" s="24"/>
      <c r="E2" s="24"/>
      <c r="F2" s="18" t="s">
        <v>24</v>
      </c>
      <c r="G2" s="18" t="s">
        <v>25</v>
      </c>
      <c r="H2" s="19" t="s">
        <v>24</v>
      </c>
      <c r="I2" s="19" t="s">
        <v>25</v>
      </c>
      <c r="J2" s="19" t="s">
        <v>26</v>
      </c>
      <c r="K2" s="19" t="s">
        <v>27</v>
      </c>
      <c r="M2" t="s">
        <v>28</v>
      </c>
      <c r="N2" t="s">
        <v>29</v>
      </c>
      <c r="O2" t="s">
        <v>4</v>
      </c>
      <c r="P2" t="s">
        <v>30</v>
      </c>
      <c r="Q2" t="s">
        <v>31</v>
      </c>
      <c r="R2" t="s">
        <v>32</v>
      </c>
    </row>
    <row r="3" spans="1:21">
      <c r="A3" s="15" t="s">
        <v>33</v>
      </c>
      <c r="B3" s="16">
        <f>70.64</f>
        <v>70.64</v>
      </c>
      <c r="C3" s="15" t="s">
        <v>34</v>
      </c>
      <c r="D3" s="15" t="s">
        <v>34</v>
      </c>
      <c r="E3" s="15" t="s">
        <v>35</v>
      </c>
      <c r="F3" s="15">
        <v>0</v>
      </c>
      <c r="G3" s="15">
        <v>45</v>
      </c>
      <c r="H3" s="15">
        <f>ABS(R3-R3)</f>
        <v>0</v>
      </c>
      <c r="I3" s="15">
        <f>ABS(R3-$R$4)</f>
        <v>59.014840034822171</v>
      </c>
      <c r="J3" s="15">
        <f>ABS(H3-F3)</f>
        <v>0</v>
      </c>
      <c r="K3" s="15">
        <f>ABS(I3-G3)</f>
        <v>14.014840034822171</v>
      </c>
      <c r="M3" t="s">
        <v>36</v>
      </c>
      <c r="N3" s="8">
        <v>0.99803699999999995</v>
      </c>
      <c r="O3" s="8">
        <f>(N3-1)/N3</f>
        <v>-1.9668609480410527E-3</v>
      </c>
      <c r="P3" s="8">
        <v>7.8902099999999999E-3</v>
      </c>
      <c r="Q3" s="8">
        <f>O3/P3</f>
        <v>-0.2492786564668181</v>
      </c>
      <c r="R3" s="8">
        <f>Q3*100</f>
        <v>-24.927865646681809</v>
      </c>
    </row>
    <row r="4" spans="1:21">
      <c r="A4" s="15" t="s">
        <v>37</v>
      </c>
      <c r="B4" s="15">
        <v>309.3</v>
      </c>
      <c r="C4" s="15">
        <v>5.97</v>
      </c>
      <c r="D4" s="15">
        <v>9.6999999999999993</v>
      </c>
      <c r="E4" s="15" t="s">
        <v>35</v>
      </c>
      <c r="F4" s="15">
        <v>1.4</v>
      </c>
      <c r="G4" s="15">
        <v>46.4</v>
      </c>
      <c r="H4" s="15">
        <f>ABS(R5-R3)</f>
        <v>0.96338255778946191</v>
      </c>
      <c r="I4" s="15">
        <f>ABS(R5-$R$4)</f>
        <v>59.97822259261163</v>
      </c>
      <c r="J4" s="15">
        <f>ABS(H4-F4)</f>
        <v>0.436617442210538</v>
      </c>
      <c r="K4" s="15">
        <f>ABS(I4-G4)</f>
        <v>13.578222592611631</v>
      </c>
      <c r="M4" t="s">
        <v>38</v>
      </c>
      <c r="N4" s="8">
        <v>0.99340600000000001</v>
      </c>
      <c r="O4" s="8">
        <f>(N4-1)/N4</f>
        <v>-6.6377694517649266E-3</v>
      </c>
      <c r="P4" s="8">
        <v>7.9074999999999996E-3</v>
      </c>
      <c r="Q4" s="8">
        <f>O4/P4</f>
        <v>-0.83942705681503982</v>
      </c>
      <c r="R4" s="8">
        <f>Q4*100</f>
        <v>-83.94270568150398</v>
      </c>
      <c r="S4" s="25" t="s">
        <v>39</v>
      </c>
      <c r="T4" s="25"/>
      <c r="U4" s="25"/>
    </row>
    <row r="5" spans="1:21">
      <c r="A5" s="15" t="s">
        <v>40</v>
      </c>
      <c r="B5" s="16">
        <v>311.5</v>
      </c>
      <c r="C5" s="17">
        <v>6.27</v>
      </c>
      <c r="D5" s="15">
        <v>9.9499999999999993</v>
      </c>
      <c r="E5" s="15" t="s">
        <v>35</v>
      </c>
      <c r="F5" s="15">
        <v>4.3</v>
      </c>
      <c r="G5" s="15">
        <v>49.3</v>
      </c>
      <c r="H5" s="15">
        <f>ABS(R6-R3)</f>
        <v>4.9356544432315772</v>
      </c>
      <c r="I5" s="15">
        <f t="shared" ref="I5:I8" si="0">ABS(R6-$R$4)</f>
        <v>63.950494478053749</v>
      </c>
      <c r="J5" s="15">
        <f t="shared" ref="J5:J8" si="1">ABS(H5-F5)</f>
        <v>0.63565444323157738</v>
      </c>
      <c r="K5" s="15">
        <f t="shared" ref="K5:K8" si="2">ABS(I5-G5)</f>
        <v>14.650494478053751</v>
      </c>
      <c r="M5" t="s">
        <v>41</v>
      </c>
      <c r="N5" s="8">
        <v>0.99810600000000005</v>
      </c>
      <c r="O5" s="8">
        <f>(N5-1)/N5</f>
        <v>-1.8975940431176159E-3</v>
      </c>
      <c r="P5" s="9">
        <v>7.9183599999999993E-3</v>
      </c>
      <c r="Q5" s="8">
        <f>O5/P5</f>
        <v>-0.23964483088892347</v>
      </c>
      <c r="R5">
        <f>Q5*100</f>
        <v>-23.964483088892347</v>
      </c>
      <c r="S5" s="25" t="s">
        <v>42</v>
      </c>
      <c r="T5" s="25"/>
      <c r="U5" s="25"/>
    </row>
    <row r="6" spans="1:21">
      <c r="A6" s="15" t="s">
        <v>43</v>
      </c>
      <c r="B6" s="15">
        <v>317.3</v>
      </c>
      <c r="C6" s="15">
        <v>5.97</v>
      </c>
      <c r="D6" s="15">
        <v>10.11</v>
      </c>
      <c r="E6" s="15" t="s">
        <v>35</v>
      </c>
      <c r="F6" s="15">
        <v>5.8</v>
      </c>
      <c r="G6" s="15">
        <v>50.8</v>
      </c>
      <c r="H6" s="15">
        <f>ABS(R7-R3)</f>
        <v>2.5841262237683651</v>
      </c>
      <c r="I6" s="15">
        <f t="shared" si="0"/>
        <v>61.598966258590536</v>
      </c>
      <c r="J6" s="15">
        <f t="shared" si="1"/>
        <v>3.2158737762316347</v>
      </c>
      <c r="K6" s="15">
        <f t="shared" si="2"/>
        <v>10.798966258590539</v>
      </c>
      <c r="M6" t="s">
        <v>44</v>
      </c>
      <c r="N6" s="8">
        <v>0.99841800000000003</v>
      </c>
      <c r="O6" s="8">
        <f t="shared" ref="O6:O10" si="3">(N6-1)/N6</f>
        <v>-1.5845066895828924E-3</v>
      </c>
      <c r="P6" s="8">
        <v>7.9256199999999995E-3</v>
      </c>
      <c r="Q6" s="8">
        <f t="shared" ref="Q6:Q9" si="4">O6/P6</f>
        <v>-0.19992211203450233</v>
      </c>
      <c r="R6">
        <f t="shared" ref="R6:R9" si="5">Q6*100</f>
        <v>-19.992211203450232</v>
      </c>
    </row>
    <row r="7" spans="1:21">
      <c r="A7" s="15" t="s">
        <v>45</v>
      </c>
      <c r="B7" s="15">
        <v>293.89999999999998</v>
      </c>
      <c r="C7" s="15">
        <v>6.15</v>
      </c>
      <c r="D7" s="15">
        <v>9.32</v>
      </c>
      <c r="E7" s="15" t="s">
        <v>35</v>
      </c>
      <c r="F7" s="15">
        <v>3.5</v>
      </c>
      <c r="G7" s="15">
        <v>48.5</v>
      </c>
      <c r="H7" s="15">
        <f>ABS(R8-R3)</f>
        <v>5.4432386095736689</v>
      </c>
      <c r="I7" s="15">
        <f t="shared" si="0"/>
        <v>53.571601425248502</v>
      </c>
      <c r="J7" s="15">
        <f t="shared" si="1"/>
        <v>1.9432386095736689</v>
      </c>
      <c r="K7" s="15">
        <f t="shared" si="2"/>
        <v>5.0716014252485024</v>
      </c>
      <c r="M7" t="s">
        <v>46</v>
      </c>
      <c r="N7" s="8">
        <v>0.99823600000000001</v>
      </c>
      <c r="O7" s="8">
        <f t="shared" si="3"/>
        <v>-1.7671171947314941E-3</v>
      </c>
      <c r="P7" s="8">
        <v>7.9087800000000007E-3</v>
      </c>
      <c r="Q7" s="8">
        <f t="shared" si="4"/>
        <v>-0.22343739422913445</v>
      </c>
      <c r="R7">
        <f t="shared" si="5"/>
        <v>-22.343739422913444</v>
      </c>
    </row>
    <row r="8" spans="1:21">
      <c r="A8" s="15" t="s">
        <v>47</v>
      </c>
      <c r="B8" s="15">
        <v>278</v>
      </c>
      <c r="C8" s="15">
        <v>0</v>
      </c>
      <c r="D8" s="15">
        <v>9.5399999999999991</v>
      </c>
      <c r="E8" s="15" t="s">
        <v>35</v>
      </c>
      <c r="F8" s="15">
        <v>0</v>
      </c>
      <c r="G8" s="15">
        <v>11.5</v>
      </c>
      <c r="H8" s="15">
        <f>ABS(R9-R3)</f>
        <v>47.45052758724519</v>
      </c>
      <c r="I8" s="15">
        <f t="shared" si="0"/>
        <v>11.564312447576981</v>
      </c>
      <c r="J8" s="15">
        <f t="shared" si="1"/>
        <v>47.45052758724519</v>
      </c>
      <c r="K8" s="15">
        <f t="shared" si="2"/>
        <v>6.4312447576980958E-2</v>
      </c>
      <c r="M8" t="s">
        <v>48</v>
      </c>
      <c r="N8" s="8">
        <v>0.99760700000000002</v>
      </c>
      <c r="O8" s="8">
        <f t="shared" si="3"/>
        <v>-2.3987401852633137E-3</v>
      </c>
      <c r="P8" s="8">
        <v>7.8980999999999999E-3</v>
      </c>
      <c r="Q8" s="8">
        <f t="shared" si="4"/>
        <v>-0.30371104256255477</v>
      </c>
      <c r="R8">
        <f t="shared" si="5"/>
        <v>-30.371104256255478</v>
      </c>
    </row>
    <row r="9" spans="1:21">
      <c r="A9" s="15" t="s">
        <v>49</v>
      </c>
      <c r="B9" s="15">
        <v>278.3</v>
      </c>
      <c r="C9" s="15">
        <v>0</v>
      </c>
      <c r="D9" s="15">
        <v>9.7799999999999994</v>
      </c>
      <c r="E9" s="15" t="s">
        <v>50</v>
      </c>
      <c r="F9" s="15">
        <v>0</v>
      </c>
      <c r="G9" s="15">
        <v>9</v>
      </c>
      <c r="H9" s="15"/>
      <c r="I9" s="15"/>
      <c r="J9" s="15"/>
      <c r="K9" s="15"/>
      <c r="M9" t="s">
        <v>51</v>
      </c>
      <c r="N9" s="8">
        <v>0.99429400000000001</v>
      </c>
      <c r="O9" s="8">
        <f t="shared" si="3"/>
        <v>-5.7387452805709267E-3</v>
      </c>
      <c r="P9" s="8">
        <v>7.9288099999999997E-3</v>
      </c>
      <c r="Q9" s="8">
        <f t="shared" si="4"/>
        <v>-0.72378393233926996</v>
      </c>
      <c r="R9">
        <f t="shared" si="5"/>
        <v>-72.378393233927</v>
      </c>
    </row>
    <row r="10" spans="1:21">
      <c r="A10" s="15" t="s">
        <v>47</v>
      </c>
      <c r="B10" s="15">
        <v>278</v>
      </c>
      <c r="C10" s="15">
        <v>0</v>
      </c>
      <c r="D10" s="15">
        <v>9.5399999999999991</v>
      </c>
      <c r="E10" s="15" t="s">
        <v>50</v>
      </c>
      <c r="F10" s="15">
        <v>0</v>
      </c>
      <c r="G10" s="15">
        <v>10</v>
      </c>
      <c r="H10" s="15"/>
      <c r="I10" s="15"/>
      <c r="J10" s="15"/>
      <c r="K10" s="15"/>
      <c r="O10" s="8"/>
    </row>
    <row r="11" spans="1:21">
      <c r="A11" s="15" t="s">
        <v>47</v>
      </c>
      <c r="B11" s="15">
        <v>278</v>
      </c>
      <c r="C11" s="15">
        <v>0</v>
      </c>
      <c r="D11" s="15">
        <v>9.5399999999999991</v>
      </c>
      <c r="E11" s="15" t="s">
        <v>52</v>
      </c>
      <c r="F11" s="15">
        <v>0</v>
      </c>
      <c r="G11" s="15">
        <v>14.5</v>
      </c>
      <c r="H11" s="15"/>
      <c r="I11" s="15"/>
      <c r="J11" s="15"/>
      <c r="K11" s="15"/>
    </row>
    <row r="22" spans="1:11">
      <c r="F22" t="s">
        <v>53</v>
      </c>
    </row>
    <row r="24" spans="1:11">
      <c r="A24" s="23" t="s">
        <v>16</v>
      </c>
      <c r="B24" s="23" t="s">
        <v>17</v>
      </c>
      <c r="C24" s="23" t="s">
        <v>18</v>
      </c>
      <c r="D24" s="23" t="s">
        <v>19</v>
      </c>
      <c r="E24" s="23" t="s">
        <v>20</v>
      </c>
      <c r="F24" s="23" t="s">
        <v>54</v>
      </c>
      <c r="G24" s="23"/>
      <c r="H24" s="27" t="s">
        <v>55</v>
      </c>
      <c r="I24" s="27"/>
      <c r="J24" s="27"/>
      <c r="K24" s="27"/>
    </row>
    <row r="25" spans="1:11">
      <c r="A25" s="24"/>
      <c r="B25" s="24"/>
      <c r="C25" s="24"/>
      <c r="D25" s="24"/>
      <c r="E25" s="24"/>
      <c r="F25" s="18" t="s">
        <v>24</v>
      </c>
      <c r="G25" s="18" t="s">
        <v>25</v>
      </c>
      <c r="H25" s="19" t="s">
        <v>24</v>
      </c>
      <c r="I25" s="19" t="s">
        <v>25</v>
      </c>
      <c r="J25" s="19" t="s">
        <v>56</v>
      </c>
      <c r="K25" s="19" t="s">
        <v>57</v>
      </c>
    </row>
    <row r="26" spans="1:11">
      <c r="A26" s="15" t="s">
        <v>33</v>
      </c>
      <c r="B26" s="16">
        <v>70.64</v>
      </c>
      <c r="C26" s="15" t="s">
        <v>34</v>
      </c>
      <c r="D26" s="15" t="s">
        <v>34</v>
      </c>
      <c r="E26" s="15" t="s">
        <v>35</v>
      </c>
      <c r="F26" s="15">
        <v>0</v>
      </c>
      <c r="G26" s="15">
        <f>G3/100*0.0077*10^5</f>
        <v>346.5</v>
      </c>
      <c r="H26" s="15">
        <f>ABS(R16-R16)</f>
        <v>0</v>
      </c>
      <c r="I26" s="16">
        <f>(O3-O4)*10^5</f>
        <v>467.09085037238737</v>
      </c>
      <c r="J26" s="15">
        <f>ABS(H26-F26)</f>
        <v>0</v>
      </c>
      <c r="K26" s="15">
        <f>ABS(I26-G26)</f>
        <v>120.59085037238737</v>
      </c>
    </row>
    <row r="27" spans="1:11">
      <c r="A27" s="15" t="s">
        <v>37</v>
      </c>
      <c r="B27" s="15">
        <v>309.3</v>
      </c>
      <c r="C27" s="15">
        <v>5.97</v>
      </c>
      <c r="D27" s="15">
        <v>9.6999999999999993</v>
      </c>
      <c r="E27" s="15" t="s">
        <v>35</v>
      </c>
      <c r="F27" s="15">
        <f>F4/100*0.0077*10^5</f>
        <v>10.78</v>
      </c>
      <c r="G27" s="15">
        <f>G4/100*0.0077*10^5</f>
        <v>357.28</v>
      </c>
      <c r="H27" s="16">
        <f>ABS(O5-$O$3)*10^5</f>
        <v>6.9266904923436865</v>
      </c>
      <c r="I27" s="16">
        <f>(O5-$O$4)*10^5</f>
        <v>474.01754086473107</v>
      </c>
      <c r="J27" s="15">
        <f>ABS(H27-F27)</f>
        <v>3.8533095076563129</v>
      </c>
      <c r="K27" s="15">
        <f>ABS(I27-G27)</f>
        <v>116.7375408647311</v>
      </c>
    </row>
    <row r="28" spans="1:11">
      <c r="A28" s="15" t="s">
        <v>40</v>
      </c>
      <c r="B28" s="16">
        <v>311.5</v>
      </c>
      <c r="C28" s="17">
        <v>6.27</v>
      </c>
      <c r="D28" s="15">
        <v>9.9499999999999993</v>
      </c>
      <c r="E28" s="15" t="s">
        <v>35</v>
      </c>
      <c r="F28" s="15">
        <f t="shared" ref="F28:G34" si="6">F5/100*0.0077*10^5</f>
        <v>33.11</v>
      </c>
      <c r="G28" s="15">
        <f t="shared" si="6"/>
        <v>379.61</v>
      </c>
      <c r="H28" s="16">
        <f t="shared" ref="H28:H34" si="7">ABS(O6-$O$3)*10^5</f>
        <v>38.235425845816039</v>
      </c>
      <c r="I28" s="16">
        <f t="shared" ref="I28:I34" si="8">(O6-$O$4)*10^5</f>
        <v>505.32627621820336</v>
      </c>
      <c r="J28" s="15">
        <f t="shared" ref="J28:J34" si="9">ABS(H28-F28)</f>
        <v>5.1254258458160393</v>
      </c>
      <c r="K28" s="15">
        <f t="shared" ref="K28:K34" si="10">ABS(I28-G28)</f>
        <v>125.71627621820335</v>
      </c>
    </row>
    <row r="29" spans="1:11">
      <c r="A29" s="15" t="s">
        <v>43</v>
      </c>
      <c r="B29" s="15">
        <v>317.3</v>
      </c>
      <c r="C29" s="15">
        <v>5.97</v>
      </c>
      <c r="D29" s="15">
        <v>10.11</v>
      </c>
      <c r="E29" s="15" t="s">
        <v>35</v>
      </c>
      <c r="F29" s="15">
        <f t="shared" si="6"/>
        <v>44.66</v>
      </c>
      <c r="G29" s="15">
        <f t="shared" si="6"/>
        <v>391.16</v>
      </c>
      <c r="H29" s="16">
        <f t="shared" si="7"/>
        <v>19.974375330955866</v>
      </c>
      <c r="I29" s="16">
        <f t="shared" si="8"/>
        <v>487.06522570334323</v>
      </c>
      <c r="J29" s="15">
        <f t="shared" si="9"/>
        <v>24.685624669044131</v>
      </c>
      <c r="K29" s="15">
        <f t="shared" si="10"/>
        <v>95.905225703343206</v>
      </c>
    </row>
    <row r="30" spans="1:11">
      <c r="A30" s="15" t="s">
        <v>45</v>
      </c>
      <c r="B30" s="15">
        <v>293.89999999999998</v>
      </c>
      <c r="C30" s="15">
        <v>6.15</v>
      </c>
      <c r="D30" s="15">
        <v>9.32</v>
      </c>
      <c r="E30" s="15" t="s">
        <v>35</v>
      </c>
      <c r="F30" s="15">
        <f t="shared" si="6"/>
        <v>26.950000000000003</v>
      </c>
      <c r="G30" s="15">
        <f t="shared" si="6"/>
        <v>373.45</v>
      </c>
      <c r="H30" s="16">
        <f t="shared" si="7"/>
        <v>43.187923722226095</v>
      </c>
      <c r="I30" s="16">
        <f t="shared" si="8"/>
        <v>423.90292665016125</v>
      </c>
      <c r="J30" s="15">
        <f t="shared" si="9"/>
        <v>16.237923722226093</v>
      </c>
      <c r="K30" s="15">
        <f t="shared" si="10"/>
        <v>50.45292665016126</v>
      </c>
    </row>
    <row r="31" spans="1:11">
      <c r="A31" s="15" t="s">
        <v>47</v>
      </c>
      <c r="B31" s="15">
        <v>278</v>
      </c>
      <c r="C31" s="15">
        <v>0</v>
      </c>
      <c r="D31" s="15">
        <v>9.5399999999999991</v>
      </c>
      <c r="E31" s="15" t="s">
        <v>35</v>
      </c>
      <c r="F31" s="15">
        <f t="shared" si="6"/>
        <v>0</v>
      </c>
      <c r="G31" s="15">
        <f t="shared" si="6"/>
        <v>88.550000000000011</v>
      </c>
      <c r="H31" s="16">
        <f t="shared" si="7"/>
        <v>377.18843325298741</v>
      </c>
      <c r="I31" s="16">
        <f t="shared" si="8"/>
        <v>89.902417119399999</v>
      </c>
      <c r="J31" s="15"/>
      <c r="K31" s="15">
        <f t="shared" si="10"/>
        <v>1.3524171193999877</v>
      </c>
    </row>
    <row r="32" spans="1:11">
      <c r="A32" s="15" t="s">
        <v>49</v>
      </c>
      <c r="B32" s="15">
        <v>278.3</v>
      </c>
      <c r="C32" s="15">
        <v>0</v>
      </c>
      <c r="D32" s="15">
        <v>9.7799999999999994</v>
      </c>
      <c r="E32" s="15" t="s">
        <v>50</v>
      </c>
      <c r="F32" s="15">
        <f t="shared" si="6"/>
        <v>0</v>
      </c>
      <c r="G32" s="15">
        <f t="shared" si="6"/>
        <v>69.3</v>
      </c>
      <c r="H32" s="16">
        <f t="shared" si="7"/>
        <v>196.68609480410527</v>
      </c>
      <c r="I32" s="16">
        <f t="shared" si="8"/>
        <v>663.77694517649263</v>
      </c>
      <c r="J32" s="15"/>
      <c r="K32" s="15">
        <f t="shared" si="10"/>
        <v>594.47694517649268</v>
      </c>
    </row>
    <row r="33" spans="1:11">
      <c r="A33" s="15" t="s">
        <v>47</v>
      </c>
      <c r="B33" s="15">
        <v>278</v>
      </c>
      <c r="C33" s="15">
        <v>0</v>
      </c>
      <c r="D33" s="15">
        <v>9.5399999999999991</v>
      </c>
      <c r="E33" s="15" t="s">
        <v>50</v>
      </c>
      <c r="F33" s="15">
        <f t="shared" si="6"/>
        <v>0</v>
      </c>
      <c r="G33" s="15">
        <f t="shared" si="6"/>
        <v>77</v>
      </c>
      <c r="H33" s="16">
        <f t="shared" si="7"/>
        <v>196.68609480410527</v>
      </c>
      <c r="I33" s="16">
        <f t="shared" si="8"/>
        <v>663.77694517649263</v>
      </c>
      <c r="J33" s="15"/>
      <c r="K33" s="15">
        <f t="shared" si="10"/>
        <v>586.77694517649263</v>
      </c>
    </row>
    <row r="34" spans="1:11">
      <c r="A34" s="15" t="s">
        <v>47</v>
      </c>
      <c r="B34" s="15">
        <v>278</v>
      </c>
      <c r="C34" s="15">
        <v>0</v>
      </c>
      <c r="D34" s="15">
        <v>9.5399999999999991</v>
      </c>
      <c r="E34" s="15" t="s">
        <v>52</v>
      </c>
      <c r="F34" s="15">
        <f t="shared" si="6"/>
        <v>0</v>
      </c>
      <c r="G34" s="15">
        <f t="shared" si="6"/>
        <v>111.64999999999999</v>
      </c>
      <c r="H34" s="16">
        <f t="shared" si="7"/>
        <v>196.68609480410527</v>
      </c>
      <c r="I34" s="16">
        <f t="shared" si="8"/>
        <v>663.77694517649263</v>
      </c>
      <c r="J34" s="15"/>
      <c r="K34" s="15">
        <f t="shared" si="10"/>
        <v>552.12694517649265</v>
      </c>
    </row>
    <row r="39" spans="1:11">
      <c r="A39" s="26" t="s">
        <v>58</v>
      </c>
      <c r="B39" s="26"/>
      <c r="C39" s="26"/>
      <c r="D39" s="26"/>
      <c r="E39" s="26"/>
      <c r="F39" s="26"/>
    </row>
    <row r="40" spans="1:11">
      <c r="A40" t="s">
        <v>59</v>
      </c>
      <c r="B40" t="s">
        <v>60</v>
      </c>
      <c r="C40" t="s">
        <v>61</v>
      </c>
      <c r="D40" t="s">
        <v>62</v>
      </c>
      <c r="E40" t="s">
        <v>63</v>
      </c>
      <c r="F40" t="s">
        <v>64</v>
      </c>
      <c r="G40" t="s">
        <v>65</v>
      </c>
      <c r="I40" t="s">
        <v>66</v>
      </c>
      <c r="J40">
        <f>1E+24</f>
        <v>9.9999999999999998E+23</v>
      </c>
    </row>
    <row r="41" spans="1:11">
      <c r="A41" t="s">
        <v>67</v>
      </c>
      <c r="B41">
        <v>309.63</v>
      </c>
      <c r="C41">
        <v>5.96</v>
      </c>
      <c r="D41">
        <v>9.82</v>
      </c>
      <c r="E41">
        <v>1.0399999999999999E-4</v>
      </c>
      <c r="F41">
        <f>0.00143</f>
        <v>1.4300000000000001E-3</v>
      </c>
      <c r="G41">
        <v>6.06</v>
      </c>
      <c r="I41" s="11" t="s">
        <v>68</v>
      </c>
      <c r="J41" s="11">
        <v>2.54</v>
      </c>
    </row>
    <row r="42" spans="1:11">
      <c r="A42" t="s">
        <v>37</v>
      </c>
      <c r="B42">
        <v>309.3</v>
      </c>
      <c r="C42">
        <v>5.97</v>
      </c>
      <c r="D42">
        <v>9.6999999999999993</v>
      </c>
      <c r="E42">
        <f t="shared" ref="E42:F49" si="11">E$41*$D42/$D$41</f>
        <v>1.0272912423625252E-4</v>
      </c>
      <c r="F42">
        <f t="shared" si="11"/>
        <v>1.4125254582484723E-3</v>
      </c>
      <c r="G42">
        <f t="shared" ref="G42:G49" si="12">B42/$J$47</f>
        <v>6.0650947308232492</v>
      </c>
    </row>
    <row r="43" spans="1:11">
      <c r="A43" t="s">
        <v>40</v>
      </c>
      <c r="B43" s="8">
        <v>311.5</v>
      </c>
      <c r="C43" s="10">
        <v>6.27</v>
      </c>
      <c r="D43">
        <v>9.9499999999999993</v>
      </c>
      <c r="E43">
        <f t="shared" si="11"/>
        <v>1.0537678207739306E-4</v>
      </c>
      <c r="F43">
        <f t="shared" si="11"/>
        <v>1.4489307535641546E-3</v>
      </c>
      <c r="G43">
        <f t="shared" si="12"/>
        <v>6.1082347515403885</v>
      </c>
      <c r="I43" s="11" t="s">
        <v>69</v>
      </c>
      <c r="J43" s="11">
        <f>0.532/2</f>
        <v>0.26600000000000001</v>
      </c>
    </row>
    <row r="44" spans="1:11">
      <c r="A44" t="s">
        <v>43</v>
      </c>
      <c r="B44">
        <v>317.3</v>
      </c>
      <c r="C44">
        <v>5.97</v>
      </c>
      <c r="D44">
        <v>10.11</v>
      </c>
      <c r="E44">
        <f t="shared" si="11"/>
        <v>1.0707128309572299E-4</v>
      </c>
      <c r="F44">
        <f t="shared" si="11"/>
        <v>1.4722301425661914E-3</v>
      </c>
      <c r="G44">
        <f t="shared" si="12"/>
        <v>6.2219675334310285</v>
      </c>
      <c r="I44" s="11" t="s">
        <v>70</v>
      </c>
      <c r="J44" s="11">
        <v>14</v>
      </c>
    </row>
    <row r="45" spans="1:11">
      <c r="A45" t="s">
        <v>45</v>
      </c>
      <c r="B45">
        <v>293.89999999999998</v>
      </c>
      <c r="C45">
        <v>6.15</v>
      </c>
      <c r="D45">
        <v>9.32</v>
      </c>
      <c r="E45">
        <f t="shared" si="11"/>
        <v>9.8704684317718941E-5</v>
      </c>
      <c r="F45">
        <f t="shared" si="11"/>
        <v>1.3571894093686355E-3</v>
      </c>
      <c r="G45">
        <f t="shared" si="12"/>
        <v>5.7631145858032751</v>
      </c>
      <c r="I45" s="11" t="s">
        <v>71</v>
      </c>
      <c r="J45" s="11">
        <f>J43*J41</f>
        <v>0.67564000000000002</v>
      </c>
    </row>
    <row r="46" spans="1:11">
      <c r="A46" t="s">
        <v>47</v>
      </c>
      <c r="B46">
        <v>278</v>
      </c>
      <c r="C46">
        <v>0</v>
      </c>
      <c r="D46">
        <v>9.5399999999999991</v>
      </c>
      <c r="E46">
        <f t="shared" si="11"/>
        <v>1.0103462321792258E-4</v>
      </c>
      <c r="F46">
        <f t="shared" si="11"/>
        <v>1.3892260692464358E-3</v>
      </c>
      <c r="G46">
        <f t="shared" si="12"/>
        <v>5.4513298906203147</v>
      </c>
      <c r="I46" s="11" t="s">
        <v>72</v>
      </c>
      <c r="J46" s="11">
        <f>J44*J41</f>
        <v>35.56</v>
      </c>
    </row>
    <row r="47" spans="1:11">
      <c r="A47" t="s">
        <v>49</v>
      </c>
      <c r="B47">
        <v>278.3</v>
      </c>
      <c r="C47">
        <v>0</v>
      </c>
      <c r="D47">
        <v>9.7799999999999994</v>
      </c>
      <c r="E47">
        <f t="shared" si="11"/>
        <v>1.0357637474541749E-4</v>
      </c>
      <c r="F47">
        <f t="shared" si="11"/>
        <v>1.4241751527494908E-3</v>
      </c>
      <c r="G47">
        <f t="shared" si="12"/>
        <v>5.4572126207181064</v>
      </c>
      <c r="I47" s="11" t="s">
        <v>73</v>
      </c>
      <c r="J47" s="11">
        <f>PI()*J45^2*J46</f>
        <v>50.996730261790482</v>
      </c>
    </row>
    <row r="48" spans="1:11">
      <c r="A48" t="s">
        <v>47</v>
      </c>
      <c r="B48">
        <v>278</v>
      </c>
      <c r="C48">
        <v>0</v>
      </c>
      <c r="D48">
        <v>9.5399999999999991</v>
      </c>
      <c r="E48">
        <f t="shared" si="11"/>
        <v>1.0103462321792258E-4</v>
      </c>
      <c r="F48">
        <f t="shared" si="11"/>
        <v>1.3892260692464358E-3</v>
      </c>
      <c r="G48">
        <f t="shared" si="12"/>
        <v>5.4513298906203147</v>
      </c>
      <c r="I48" t="s">
        <v>74</v>
      </c>
      <c r="J48">
        <f>6.0221408E+23</f>
        <v>6.0221408E+23</v>
      </c>
    </row>
    <row r="49" spans="1:10">
      <c r="A49" t="s">
        <v>47</v>
      </c>
      <c r="B49">
        <v>278</v>
      </c>
      <c r="C49">
        <v>0</v>
      </c>
      <c r="D49">
        <v>9.5399999999999991</v>
      </c>
      <c r="E49">
        <f t="shared" si="11"/>
        <v>1.0103462321792258E-4</v>
      </c>
      <c r="F49">
        <f t="shared" si="11"/>
        <v>1.3892260692464358E-3</v>
      </c>
      <c r="G49">
        <f t="shared" si="12"/>
        <v>5.4513298906203147</v>
      </c>
      <c r="I49" t="s">
        <v>75</v>
      </c>
      <c r="J49">
        <v>6.06</v>
      </c>
    </row>
  </sheetData>
  <mergeCells count="18">
    <mergeCell ref="A39:F39"/>
    <mergeCell ref="F1:G1"/>
    <mergeCell ref="H1:K1"/>
    <mergeCell ref="A24:A25"/>
    <mergeCell ref="B24:B25"/>
    <mergeCell ref="C24:C25"/>
    <mergeCell ref="D24:D25"/>
    <mergeCell ref="E24:E25"/>
    <mergeCell ref="F24:G24"/>
    <mergeCell ref="H24:K24"/>
    <mergeCell ref="A1:A2"/>
    <mergeCell ref="B1:B2"/>
    <mergeCell ref="C1:C2"/>
    <mergeCell ref="D1:D2"/>
    <mergeCell ref="E1:E2"/>
    <mergeCell ref="S4:U4"/>
    <mergeCell ref="S5:U5"/>
    <mergeCell ref="M1: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7DB3-BD63-42E7-866C-B45856776591}">
  <dimension ref="A2:F11"/>
  <sheetViews>
    <sheetView workbookViewId="0">
      <selection activeCell="D17" sqref="D17"/>
    </sheetView>
  </sheetViews>
  <sheetFormatPr defaultRowHeight="15"/>
  <cols>
    <col min="1" max="1" width="23.140625" bestFit="1" customWidth="1"/>
    <col min="2" max="2" width="16.28515625" bestFit="1" customWidth="1"/>
    <col min="3" max="3" width="22.5703125" bestFit="1" customWidth="1"/>
    <col min="4" max="4" width="19.7109375" bestFit="1" customWidth="1"/>
    <col min="5" max="5" width="22.42578125" bestFit="1" customWidth="1"/>
    <col min="6" max="6" width="12" bestFit="1" customWidth="1"/>
  </cols>
  <sheetData>
    <row r="2" spans="1:6">
      <c r="B2" t="s">
        <v>76</v>
      </c>
      <c r="C2" t="s">
        <v>77</v>
      </c>
      <c r="D2" t="s">
        <v>78</v>
      </c>
      <c r="E2" t="s">
        <v>79</v>
      </c>
      <c r="F2" t="s">
        <v>80</v>
      </c>
    </row>
    <row r="3" spans="1:6">
      <c r="A3" t="s">
        <v>81</v>
      </c>
      <c r="B3">
        <f>0.00797</f>
        <v>7.9699999999999997E-3</v>
      </c>
      <c r="C3" s="12">
        <v>2.0300000000000001E-3</v>
      </c>
      <c r="D3">
        <v>7.7000000000000002E-3</v>
      </c>
      <c r="F3">
        <f>(B3-D3)*10^5</f>
        <v>26.99999999999994</v>
      </c>
    </row>
    <row r="4" spans="1:6">
      <c r="A4" t="s">
        <v>82</v>
      </c>
      <c r="B4" s="9">
        <v>6.8426399999999998E-6</v>
      </c>
      <c r="C4" s="14">
        <f>0.00045</f>
        <v>4.4999999999999999E-4</v>
      </c>
      <c r="D4" s="8">
        <v>8.1000000000000004E-6</v>
      </c>
      <c r="F4">
        <f>ABS(B4-D4)/D4*100</f>
        <v>15.52296296296297</v>
      </c>
    </row>
    <row r="5" spans="1:6">
      <c r="A5" t="s">
        <v>83</v>
      </c>
      <c r="B5">
        <f>B3/B4</f>
        <v>1164.7551237534051</v>
      </c>
      <c r="C5" s="8">
        <f>B5*SQRT((C3)^2+(C4)^2)</f>
        <v>2.4218505441072606</v>
      </c>
      <c r="D5">
        <v>950</v>
      </c>
      <c r="E5">
        <v>95</v>
      </c>
      <c r="F5">
        <f>B5-D5</f>
        <v>214.75512375340509</v>
      </c>
    </row>
    <row r="8" spans="1:6">
      <c r="C8" s="13"/>
    </row>
    <row r="11" spans="1:6">
      <c r="B11" s="8"/>
      <c r="C11" s="8"/>
      <c r="D11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5" ma:contentTypeDescription="Create a new document." ma:contentTypeScope="" ma:versionID="c9b35f98bcdb4a0d7929321150581d5e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53fe39de12092328c3276185799bfa71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3718347-7ac7-43d2-8bc2-3254bf3347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2a91055-1c75-4b8e-ba5a-0535042c3f9e}" ma:internalName="TaxCatchAll" ma:showField="CatchAllData" ma:web="e1ecaa1f-5549-4843-8e0b-36d11b9c4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ecaa1f-5549-4843-8e0b-36d11b9c4a00" xsi:nil="true"/>
    <lcf76f155ced4ddcb4097134ff3c332f xmlns="02f07221-7782-4248-899f-09bd431cf93f">
      <Terms xmlns="http://schemas.microsoft.com/office/infopath/2007/PartnerControls"/>
    </lcf76f155ced4ddcb4097134ff3c332f>
    <SharedWithUsers xmlns="e1ecaa1f-5549-4843-8e0b-36d11b9c4a00">
      <UserInfo>
        <DisplayName>Oliver Douglas Paleen</DisplayName>
        <AccountId>61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FEB34B-0950-495E-8A7D-7F2024A133DD}"/>
</file>

<file path=customXml/itemProps2.xml><?xml version="1.0" encoding="utf-8"?>
<ds:datastoreItem xmlns:ds="http://schemas.openxmlformats.org/officeDocument/2006/customXml" ds:itemID="{62A981A7-99F7-420B-92E3-468028514462}"/>
</file>

<file path=customXml/itemProps3.xml><?xml version="1.0" encoding="utf-8"?>
<ds:datastoreItem xmlns:ds="http://schemas.openxmlformats.org/officeDocument/2006/customXml" ds:itemID="{CC7DCD2E-E082-4B2B-AAD1-C045E48628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</dc:creator>
  <cp:keywords/>
  <dc:description/>
  <cp:lastModifiedBy>Oliver Douglas Paleen</cp:lastModifiedBy>
  <cp:revision/>
  <dcterms:created xsi:type="dcterms:W3CDTF">2023-03-27T14:30:17Z</dcterms:created>
  <dcterms:modified xsi:type="dcterms:W3CDTF">2023-04-04T15:51:49Z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  <property fmtid="{D5CDD505-2E9C-101B-9397-08002B2CF9AE}" pid="3" name="MediaServiceImageTags">
    <vt:lpwstr/>
  </property>
</Properties>
</file>