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-PRIVATE\snapReactors\reference_calc\"/>
    </mc:Choice>
  </mc:AlternateContent>
  <xr:revisionPtr revIDLastSave="0" documentId="13_ncr:1_{B4FA854A-B9B2-4916-BFC0-19C555F24334}" xr6:coauthVersionLast="47" xr6:coauthVersionMax="47" xr10:uidLastSave="{00000000-0000-0000-0000-000000000000}"/>
  <bookViews>
    <workbookView xWindow="-120" yWindow="-120" windowWidth="38640" windowHeight="21120" firstSheet="4" activeTab="13" xr2:uid="{81BEF129-3FF4-8B4D-B629-A8811C0FB0A3}"/>
  </bookViews>
  <sheets>
    <sheet name="Master Calculator" sheetId="1" r:id="rId1"/>
    <sheet name="Concrete, Regular" sheetId="18" r:id="rId2"/>
    <sheet name="316 SS" sheetId="3" r:id="rId3"/>
    <sheet name="HasteC" sheetId="11" r:id="rId4"/>
    <sheet name="HasteN" sheetId="12" r:id="rId5"/>
    <sheet name="AI-8763D" sheetId="13" r:id="rId6"/>
    <sheet name="BeO" sheetId="5" r:id="rId7"/>
    <sheet name="Be" sheetId="7" r:id="rId8"/>
    <sheet name="NaK" sheetId="8" r:id="rId9"/>
    <sheet name="Sm2O3" sheetId="10" r:id="rId10"/>
    <sheet name="Hg Coolant" sheetId="14" r:id="rId11"/>
    <sheet name="UZrH" sheetId="16" r:id="rId12"/>
    <sheet name="UZrH Critical" sheetId="17" r:id="rId13"/>
    <sheet name="UZrH_Wet" sheetId="19" r:id="rId14"/>
  </sheets>
  <definedNames>
    <definedName name="solver_adj" localSheetId="12" hidden="1">'UZrH Critical'!$B$85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'UZrH Critical'!$B$87</definedName>
    <definedName name="solver_pre" localSheetId="12" hidden="1">0.000001</definedName>
    <definedName name="solver_rbv" localSheetId="12" hidden="1">1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30.4</definedName>
    <definedName name="solver_ver" localSheetId="1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9" l="1"/>
  <c r="B145" i="19"/>
  <c r="B144" i="19"/>
  <c r="B143" i="19"/>
  <c r="B142" i="19"/>
  <c r="B141" i="19"/>
  <c r="B140" i="19"/>
  <c r="B139" i="19"/>
  <c r="B134" i="19"/>
  <c r="B107" i="19"/>
  <c r="B105" i="19"/>
  <c r="B121" i="19"/>
  <c r="D131" i="19"/>
  <c r="D130" i="19"/>
  <c r="B128" i="19"/>
  <c r="B129" i="19"/>
  <c r="B130" i="19"/>
  <c r="B131" i="19"/>
  <c r="B127" i="19"/>
  <c r="B123" i="19"/>
  <c r="B124" i="19"/>
  <c r="B125" i="19"/>
  <c r="B126" i="19"/>
  <c r="B122" i="19"/>
  <c r="B96" i="19"/>
  <c r="F104" i="19"/>
  <c r="B87" i="19"/>
  <c r="B113" i="19"/>
  <c r="C1" i="17"/>
  <c r="C1" i="19"/>
  <c r="B95" i="19"/>
  <c r="B94" i="19"/>
  <c r="B92" i="19"/>
  <c r="B87" i="17"/>
  <c r="B94" i="17" s="1"/>
  <c r="B95" i="17" s="1"/>
  <c r="B85" i="19"/>
  <c r="C30" i="19"/>
  <c r="I94" i="19"/>
  <c r="G94" i="19"/>
  <c r="F96" i="19" s="1"/>
  <c r="F93" i="19"/>
  <c r="B91" i="19"/>
  <c r="B90" i="19"/>
  <c r="G89" i="19"/>
  <c r="F88" i="19"/>
  <c r="G88" i="19" s="1"/>
  <c r="B88" i="19"/>
  <c r="F87" i="19"/>
  <c r="G87" i="19" s="1"/>
  <c r="G86" i="19"/>
  <c r="F86" i="19"/>
  <c r="B82" i="19"/>
  <c r="G79" i="19"/>
  <c r="C79" i="19"/>
  <c r="S78" i="19"/>
  <c r="G78" i="19"/>
  <c r="C78" i="19"/>
  <c r="S77" i="19"/>
  <c r="O77" i="19"/>
  <c r="G77" i="19"/>
  <c r="S76" i="19"/>
  <c r="O76" i="19"/>
  <c r="K76" i="19"/>
  <c r="S75" i="19"/>
  <c r="O75" i="19"/>
  <c r="K75" i="19"/>
  <c r="C75" i="19"/>
  <c r="O74" i="19"/>
  <c r="K74" i="19"/>
  <c r="G74" i="19"/>
  <c r="C74" i="19"/>
  <c r="O73" i="19"/>
  <c r="K73" i="19"/>
  <c r="G73" i="19"/>
  <c r="C73" i="19"/>
  <c r="R72" i="19"/>
  <c r="S72" i="19" s="1"/>
  <c r="O72" i="19"/>
  <c r="K72" i="19"/>
  <c r="G72" i="19"/>
  <c r="C72" i="19"/>
  <c r="R71" i="19"/>
  <c r="S71" i="19" s="1"/>
  <c r="O71" i="19"/>
  <c r="K71" i="19"/>
  <c r="G71" i="19"/>
  <c r="C71" i="19"/>
  <c r="G70" i="19"/>
  <c r="C70" i="19"/>
  <c r="C69" i="19"/>
  <c r="S68" i="19"/>
  <c r="O68" i="19"/>
  <c r="K68" i="19"/>
  <c r="S67" i="19"/>
  <c r="O67" i="19"/>
  <c r="K67" i="19"/>
  <c r="G67" i="19"/>
  <c r="G66" i="19"/>
  <c r="C66" i="19"/>
  <c r="G65" i="19"/>
  <c r="C65" i="19"/>
  <c r="S64" i="19"/>
  <c r="O64" i="19"/>
  <c r="K64" i="19"/>
  <c r="G64" i="19"/>
  <c r="S63" i="19"/>
  <c r="O63" i="19"/>
  <c r="K63" i="19"/>
  <c r="G63" i="19"/>
  <c r="S62" i="19"/>
  <c r="O62" i="19"/>
  <c r="K62" i="19"/>
  <c r="G62" i="19"/>
  <c r="C62" i="19"/>
  <c r="S61" i="19"/>
  <c r="O61" i="19"/>
  <c r="K61" i="19"/>
  <c r="C61" i="19"/>
  <c r="S60" i="19"/>
  <c r="O60" i="19"/>
  <c r="K60" i="19"/>
  <c r="S59" i="19"/>
  <c r="O59" i="19"/>
  <c r="K59" i="19"/>
  <c r="G59" i="19"/>
  <c r="S58" i="19"/>
  <c r="K58" i="19"/>
  <c r="G58" i="19"/>
  <c r="C58" i="19"/>
  <c r="G57" i="19"/>
  <c r="C57" i="19"/>
  <c r="O56" i="19"/>
  <c r="G56" i="19"/>
  <c r="C56" i="19"/>
  <c r="S55" i="19"/>
  <c r="O55" i="19"/>
  <c r="K55" i="19"/>
  <c r="G55" i="19"/>
  <c r="C55" i="19"/>
  <c r="S54" i="19"/>
  <c r="O54" i="19"/>
  <c r="K54" i="19"/>
  <c r="G54" i="19"/>
  <c r="C54" i="19"/>
  <c r="S53" i="19"/>
  <c r="O53" i="19"/>
  <c r="K53" i="19"/>
  <c r="G53" i="19"/>
  <c r="C53" i="19"/>
  <c r="S52" i="19"/>
  <c r="O52" i="19"/>
  <c r="K52" i="19"/>
  <c r="C52" i="19"/>
  <c r="O51" i="19"/>
  <c r="K51" i="19"/>
  <c r="O50" i="19"/>
  <c r="K50" i="19"/>
  <c r="G50" i="19"/>
  <c r="S49" i="19"/>
  <c r="K49" i="19"/>
  <c r="G49" i="19"/>
  <c r="C49" i="19"/>
  <c r="S48" i="19"/>
  <c r="G48" i="19"/>
  <c r="C48" i="19"/>
  <c r="O47" i="19"/>
  <c r="G47" i="19"/>
  <c r="C47" i="19"/>
  <c r="O46" i="19"/>
  <c r="K46" i="19"/>
  <c r="G46" i="19"/>
  <c r="C46" i="19"/>
  <c r="S45" i="19"/>
  <c r="O45" i="19"/>
  <c r="K45" i="19"/>
  <c r="G45" i="19"/>
  <c r="C45" i="19"/>
  <c r="S44" i="19"/>
  <c r="O44" i="19"/>
  <c r="K44" i="19"/>
  <c r="G44" i="19"/>
  <c r="C44" i="19"/>
  <c r="O43" i="19"/>
  <c r="K43" i="19"/>
  <c r="G43" i="19"/>
  <c r="C43" i="19"/>
  <c r="O42" i="19"/>
  <c r="K42" i="19"/>
  <c r="G42" i="19"/>
  <c r="C42" i="19"/>
  <c r="S41" i="19"/>
  <c r="O41" i="19"/>
  <c r="K41" i="19"/>
  <c r="S40" i="19"/>
  <c r="O40" i="19"/>
  <c r="K40" i="19"/>
  <c r="O39" i="19"/>
  <c r="K39" i="19"/>
  <c r="G39" i="19"/>
  <c r="C39" i="19"/>
  <c r="O38" i="19"/>
  <c r="G38" i="19"/>
  <c r="C38" i="19"/>
  <c r="S37" i="19"/>
  <c r="G37" i="19"/>
  <c r="S36" i="19"/>
  <c r="K36" i="19"/>
  <c r="G36" i="19"/>
  <c r="S35" i="19"/>
  <c r="O35" i="19"/>
  <c r="K35" i="19"/>
  <c r="G35" i="19"/>
  <c r="S34" i="19"/>
  <c r="O34" i="19"/>
  <c r="K34" i="19"/>
  <c r="G34" i="19"/>
  <c r="O33" i="19"/>
  <c r="K33" i="19"/>
  <c r="O32" i="19"/>
  <c r="K32" i="19"/>
  <c r="S31" i="19"/>
  <c r="O31" i="19"/>
  <c r="K31" i="19"/>
  <c r="G31" i="19"/>
  <c r="S30" i="19"/>
  <c r="O30" i="19"/>
  <c r="K30" i="19"/>
  <c r="G30" i="19"/>
  <c r="S29" i="19"/>
  <c r="O29" i="19"/>
  <c r="G29" i="19"/>
  <c r="S28" i="19"/>
  <c r="G28" i="19"/>
  <c r="B28" i="19"/>
  <c r="C28" i="19" s="1"/>
  <c r="S27" i="19"/>
  <c r="K27" i="19"/>
  <c r="G27" i="19"/>
  <c r="C27" i="19"/>
  <c r="B27" i="19"/>
  <c r="S26" i="19"/>
  <c r="O26" i="19"/>
  <c r="K26" i="19"/>
  <c r="G26" i="19"/>
  <c r="O25" i="19"/>
  <c r="O24" i="19"/>
  <c r="C24" i="19"/>
  <c r="S23" i="19"/>
  <c r="O23" i="19"/>
  <c r="K23" i="19"/>
  <c r="G23" i="19"/>
  <c r="C23" i="19"/>
  <c r="S22" i="19"/>
  <c r="O22" i="19"/>
  <c r="K22" i="19"/>
  <c r="G22" i="19"/>
  <c r="S21" i="19"/>
  <c r="G21" i="19"/>
  <c r="S20" i="19"/>
  <c r="G20" i="19"/>
  <c r="C20" i="19"/>
  <c r="S19" i="19"/>
  <c r="O19" i="19"/>
  <c r="K19" i="19"/>
  <c r="G19" i="19"/>
  <c r="C19" i="19"/>
  <c r="O18" i="19"/>
  <c r="K18" i="19"/>
  <c r="C18" i="19"/>
  <c r="O17" i="19"/>
  <c r="K17" i="19"/>
  <c r="C17" i="19"/>
  <c r="S16" i="19"/>
  <c r="O16" i="19"/>
  <c r="K16" i="19"/>
  <c r="G16" i="19"/>
  <c r="C16" i="19"/>
  <c r="S15" i="19"/>
  <c r="G15" i="19"/>
  <c r="S14" i="19"/>
  <c r="S13" i="19"/>
  <c r="O13" i="19"/>
  <c r="K13" i="19"/>
  <c r="C13" i="19"/>
  <c r="S12" i="19"/>
  <c r="O12" i="19"/>
  <c r="K12" i="19"/>
  <c r="F12" i="19"/>
  <c r="G12" i="19" s="1"/>
  <c r="C12" i="19"/>
  <c r="S11" i="19"/>
  <c r="O11" i="19"/>
  <c r="K11" i="19"/>
  <c r="F11" i="19"/>
  <c r="G11" i="19" s="1"/>
  <c r="C11" i="19"/>
  <c r="C10" i="19"/>
  <c r="S8" i="19"/>
  <c r="O8" i="19"/>
  <c r="K8" i="19"/>
  <c r="G8" i="19"/>
  <c r="S7" i="19"/>
  <c r="O7" i="19"/>
  <c r="K7" i="19"/>
  <c r="G7" i="19"/>
  <c r="B7" i="19"/>
  <c r="C7" i="19" s="1"/>
  <c r="S6" i="19"/>
  <c r="O6" i="19"/>
  <c r="K6" i="19"/>
  <c r="G6" i="19"/>
  <c r="B6" i="19"/>
  <c r="C6" i="19" s="1"/>
  <c r="R3" i="19"/>
  <c r="S3" i="19" s="1"/>
  <c r="N3" i="19"/>
  <c r="O3" i="19" s="1"/>
  <c r="J3" i="19"/>
  <c r="K3" i="19" s="1"/>
  <c r="G3" i="19"/>
  <c r="B3" i="19"/>
  <c r="C3" i="19" s="1"/>
  <c r="S2" i="19"/>
  <c r="R2" i="19"/>
  <c r="O2" i="19"/>
  <c r="N2" i="19"/>
  <c r="J2" i="19"/>
  <c r="K2" i="19" s="1"/>
  <c r="G2" i="19"/>
  <c r="B2" i="19"/>
  <c r="C2" i="19" s="1"/>
  <c r="O15" i="18"/>
  <c r="S5" i="18"/>
  <c r="S10" i="18"/>
  <c r="S14" i="18"/>
  <c r="S16" i="18"/>
  <c r="G5" i="18"/>
  <c r="C1" i="18"/>
  <c r="C9" i="3"/>
  <c r="G79" i="18"/>
  <c r="C79" i="18"/>
  <c r="S78" i="18"/>
  <c r="G78" i="18"/>
  <c r="C78" i="18"/>
  <c r="S77" i="18"/>
  <c r="O77" i="18"/>
  <c r="G77" i="18"/>
  <c r="S76" i="18"/>
  <c r="O76" i="18"/>
  <c r="K76" i="18"/>
  <c r="S75" i="18"/>
  <c r="O75" i="18"/>
  <c r="K75" i="18"/>
  <c r="C75" i="18"/>
  <c r="O74" i="18"/>
  <c r="K74" i="18"/>
  <c r="G74" i="18"/>
  <c r="C74" i="18"/>
  <c r="O73" i="18"/>
  <c r="K73" i="18"/>
  <c r="G73" i="18"/>
  <c r="C73" i="18"/>
  <c r="S72" i="18"/>
  <c r="R72" i="18"/>
  <c r="O72" i="18"/>
  <c r="K72" i="18"/>
  <c r="G72" i="18"/>
  <c r="C72" i="18"/>
  <c r="S71" i="18"/>
  <c r="R71" i="18"/>
  <c r="O71" i="18"/>
  <c r="K71" i="18"/>
  <c r="G71" i="18"/>
  <c r="C71" i="18"/>
  <c r="G70" i="18"/>
  <c r="C70" i="18"/>
  <c r="C69" i="18"/>
  <c r="S68" i="18"/>
  <c r="O68" i="18"/>
  <c r="K68" i="18"/>
  <c r="S67" i="18"/>
  <c r="O67" i="18"/>
  <c r="K67" i="18"/>
  <c r="G67" i="18"/>
  <c r="G66" i="18"/>
  <c r="C66" i="18"/>
  <c r="G65" i="18"/>
  <c r="C65" i="18"/>
  <c r="S64" i="18"/>
  <c r="O64" i="18"/>
  <c r="K64" i="18"/>
  <c r="G64" i="18"/>
  <c r="S63" i="18"/>
  <c r="O63" i="18"/>
  <c r="K63" i="18"/>
  <c r="G63" i="18"/>
  <c r="S62" i="18"/>
  <c r="O62" i="18"/>
  <c r="K62" i="18"/>
  <c r="G62" i="18"/>
  <c r="C62" i="18"/>
  <c r="S61" i="18"/>
  <c r="O61" i="18"/>
  <c r="K61" i="18"/>
  <c r="C61" i="18"/>
  <c r="S60" i="18"/>
  <c r="O60" i="18"/>
  <c r="K60" i="18"/>
  <c r="S59" i="18"/>
  <c r="O59" i="18"/>
  <c r="K59" i="18"/>
  <c r="G59" i="18"/>
  <c r="S58" i="18"/>
  <c r="K58" i="18"/>
  <c r="G58" i="18"/>
  <c r="C58" i="18"/>
  <c r="G57" i="18"/>
  <c r="C57" i="18"/>
  <c r="O56" i="18"/>
  <c r="G56" i="18"/>
  <c r="C56" i="18"/>
  <c r="S55" i="18"/>
  <c r="O55" i="18"/>
  <c r="K55" i="18"/>
  <c r="G55" i="18"/>
  <c r="C55" i="18"/>
  <c r="S54" i="18"/>
  <c r="O54" i="18"/>
  <c r="K54" i="18"/>
  <c r="G54" i="18"/>
  <c r="C54" i="18"/>
  <c r="S53" i="18"/>
  <c r="O53" i="18"/>
  <c r="K53" i="18"/>
  <c r="G53" i="18"/>
  <c r="C53" i="18"/>
  <c r="S52" i="18"/>
  <c r="O52" i="18"/>
  <c r="K52" i="18"/>
  <c r="C52" i="18"/>
  <c r="O51" i="18"/>
  <c r="K51" i="18"/>
  <c r="O50" i="18"/>
  <c r="K50" i="18"/>
  <c r="G50" i="18"/>
  <c r="S49" i="18"/>
  <c r="K49" i="18"/>
  <c r="G49" i="18"/>
  <c r="C49" i="18"/>
  <c r="S48" i="18"/>
  <c r="G48" i="18"/>
  <c r="C48" i="18"/>
  <c r="O47" i="18"/>
  <c r="G47" i="18"/>
  <c r="C47" i="18"/>
  <c r="O46" i="18"/>
  <c r="K46" i="18"/>
  <c r="G46" i="18"/>
  <c r="C46" i="18"/>
  <c r="S45" i="18"/>
  <c r="O45" i="18"/>
  <c r="K45" i="18"/>
  <c r="G45" i="18"/>
  <c r="C45" i="18"/>
  <c r="S44" i="18"/>
  <c r="O44" i="18"/>
  <c r="K44" i="18"/>
  <c r="G44" i="18"/>
  <c r="C44" i="18"/>
  <c r="O43" i="18"/>
  <c r="K43" i="18"/>
  <c r="G43" i="18"/>
  <c r="C43" i="18"/>
  <c r="O42" i="18"/>
  <c r="K42" i="18"/>
  <c r="G42" i="18"/>
  <c r="C42" i="18"/>
  <c r="S41" i="18"/>
  <c r="O41" i="18"/>
  <c r="K41" i="18"/>
  <c r="S40" i="18"/>
  <c r="O40" i="18"/>
  <c r="K40" i="18"/>
  <c r="O39" i="18"/>
  <c r="K39" i="18"/>
  <c r="G39" i="18"/>
  <c r="C39" i="18"/>
  <c r="O38" i="18"/>
  <c r="G38" i="18"/>
  <c r="C38" i="18"/>
  <c r="S37" i="18"/>
  <c r="G37" i="18"/>
  <c r="S36" i="18"/>
  <c r="K36" i="18"/>
  <c r="G36" i="18"/>
  <c r="S35" i="18"/>
  <c r="O35" i="18"/>
  <c r="K35" i="18"/>
  <c r="G35" i="18"/>
  <c r="C35" i="18"/>
  <c r="S34" i="18"/>
  <c r="O34" i="18"/>
  <c r="K34" i="18"/>
  <c r="G34" i="18"/>
  <c r="C34" i="18"/>
  <c r="O33" i="18"/>
  <c r="K33" i="18"/>
  <c r="C33" i="18"/>
  <c r="O32" i="18"/>
  <c r="K32" i="18"/>
  <c r="C32" i="18"/>
  <c r="S31" i="18"/>
  <c r="O31" i="18"/>
  <c r="K31" i="18"/>
  <c r="G31" i="18"/>
  <c r="C31" i="18"/>
  <c r="S30" i="18"/>
  <c r="O30" i="18"/>
  <c r="K30" i="18"/>
  <c r="G30" i="18"/>
  <c r="S29" i="18"/>
  <c r="O29" i="18"/>
  <c r="G29" i="18"/>
  <c r="S28" i="18"/>
  <c r="G28" i="18"/>
  <c r="B28" i="18"/>
  <c r="C28" i="18" s="1"/>
  <c r="S27" i="18"/>
  <c r="K27" i="18"/>
  <c r="G27" i="18"/>
  <c r="C27" i="18"/>
  <c r="B27" i="18"/>
  <c r="S26" i="18"/>
  <c r="O26" i="18"/>
  <c r="K26" i="18"/>
  <c r="G26" i="18"/>
  <c r="O25" i="18"/>
  <c r="O24" i="18"/>
  <c r="C24" i="18"/>
  <c r="S23" i="18"/>
  <c r="O23" i="18"/>
  <c r="K23" i="18"/>
  <c r="G23" i="18"/>
  <c r="C23" i="18"/>
  <c r="S22" i="18"/>
  <c r="O22" i="18"/>
  <c r="K22" i="18"/>
  <c r="G22" i="18"/>
  <c r="S21" i="18"/>
  <c r="G21" i="18"/>
  <c r="S20" i="18"/>
  <c r="G20" i="18"/>
  <c r="C20" i="18"/>
  <c r="S19" i="18"/>
  <c r="O19" i="18"/>
  <c r="K19" i="18"/>
  <c r="G19" i="18"/>
  <c r="C19" i="18"/>
  <c r="O18" i="18"/>
  <c r="K18" i="18"/>
  <c r="C18" i="18"/>
  <c r="O17" i="18"/>
  <c r="K17" i="18"/>
  <c r="C17" i="18"/>
  <c r="O16" i="18"/>
  <c r="K16" i="18"/>
  <c r="G16" i="18"/>
  <c r="C16" i="18"/>
  <c r="S15" i="18"/>
  <c r="G15" i="18"/>
  <c r="S13" i="18"/>
  <c r="O13" i="18"/>
  <c r="K13" i="18"/>
  <c r="C13" i="18"/>
  <c r="S12" i="18"/>
  <c r="O12" i="18"/>
  <c r="K12" i="18"/>
  <c r="F12" i="18"/>
  <c r="G12" i="18" s="1"/>
  <c r="C12" i="18"/>
  <c r="S11" i="18"/>
  <c r="O11" i="18"/>
  <c r="K11" i="18"/>
  <c r="F11" i="18"/>
  <c r="G11" i="18" s="1"/>
  <c r="C11" i="18"/>
  <c r="C10" i="18"/>
  <c r="S8" i="18"/>
  <c r="O8" i="18"/>
  <c r="K8" i="18"/>
  <c r="G8" i="18"/>
  <c r="S7" i="18"/>
  <c r="O7" i="18"/>
  <c r="K7" i="18"/>
  <c r="G7" i="18"/>
  <c r="B7" i="18"/>
  <c r="C7" i="18" s="1"/>
  <c r="S6" i="18"/>
  <c r="O6" i="18"/>
  <c r="K6" i="18"/>
  <c r="G6" i="18"/>
  <c r="B6" i="18"/>
  <c r="C6" i="18" s="1"/>
  <c r="R3" i="18"/>
  <c r="S3" i="18" s="1"/>
  <c r="N3" i="18"/>
  <c r="O3" i="18" s="1"/>
  <c r="J3" i="18"/>
  <c r="K3" i="18" s="1"/>
  <c r="G3" i="18"/>
  <c r="B3" i="18"/>
  <c r="C3" i="18" s="1"/>
  <c r="R2" i="18"/>
  <c r="S2" i="18" s="1"/>
  <c r="N2" i="18"/>
  <c r="O2" i="18" s="1"/>
  <c r="J2" i="18"/>
  <c r="K2" i="18" s="1"/>
  <c r="G2" i="18"/>
  <c r="B2" i="18"/>
  <c r="C2" i="18" s="1"/>
  <c r="F97" i="17"/>
  <c r="F121" i="17"/>
  <c r="F120" i="17"/>
  <c r="F119" i="17"/>
  <c r="F117" i="17"/>
  <c r="F109" i="17"/>
  <c r="F118" i="17"/>
  <c r="F96" i="17"/>
  <c r="E100" i="17"/>
  <c r="F111" i="17"/>
  <c r="F106" i="17"/>
  <c r="F107" i="17"/>
  <c r="I94" i="17"/>
  <c r="C34" i="19" l="1"/>
  <c r="B110" i="19" s="1"/>
  <c r="C35" i="19"/>
  <c r="B111" i="19" s="1"/>
  <c r="C31" i="19"/>
  <c r="C32" i="19"/>
  <c r="B108" i="19" s="1"/>
  <c r="C33" i="19"/>
  <c r="B109" i="19" s="1"/>
  <c r="B97" i="19"/>
  <c r="B98" i="19" s="1"/>
  <c r="F107" i="19"/>
  <c r="F106" i="19" s="1"/>
  <c r="F97" i="19"/>
  <c r="F117" i="19"/>
  <c r="F118" i="19" s="1"/>
  <c r="F119" i="19" s="1"/>
  <c r="F120" i="19" s="1"/>
  <c r="F121" i="19" s="1"/>
  <c r="G96" i="19"/>
  <c r="F109" i="19"/>
  <c r="F111" i="19" s="1"/>
  <c r="F103" i="19"/>
  <c r="F90" i="19"/>
  <c r="G97" i="17"/>
  <c r="G96" i="17"/>
  <c r="F98" i="17"/>
  <c r="G86" i="17"/>
  <c r="G94" i="17"/>
  <c r="F86" i="17"/>
  <c r="F103" i="17"/>
  <c r="F90" i="17"/>
  <c r="G89" i="17"/>
  <c r="G88" i="17"/>
  <c r="F88" i="17"/>
  <c r="G87" i="17"/>
  <c r="F87" i="17"/>
  <c r="F93" i="17"/>
  <c r="B90" i="17"/>
  <c r="B105" i="17"/>
  <c r="C30" i="17" s="1"/>
  <c r="C3" i="17"/>
  <c r="B82" i="17"/>
  <c r="B88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G97" i="19" l="1"/>
  <c r="G98" i="19" s="1"/>
  <c r="F98" i="19"/>
  <c r="E100" i="19" s="1"/>
  <c r="B96" i="17"/>
  <c r="B97" i="17"/>
  <c r="B98" i="17" s="1"/>
  <c r="G98" i="17"/>
  <c r="F105" i="17"/>
  <c r="F104" i="17" s="1"/>
  <c r="H104" i="17" s="1"/>
  <c r="J107" i="17" s="1"/>
  <c r="G101" i="17"/>
  <c r="C34" i="17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F105" i="19" l="1"/>
  <c r="G101" i="19"/>
  <c r="G79" i="13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<sst xmlns="http://schemas.openxmlformats.org/spreadsheetml/2006/main" count="4930" uniqueCount="456">
  <si>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</si>
  <si>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</si>
  <si>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</si>
  <si>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</si>
  <si>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</si>
  <si>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</si>
  <si>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</si>
  <si>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</si>
  <si>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</si>
  <si>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</si>
  <si>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</si>
  <si>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</si>
  <si>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</si>
  <si>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</si>
  <si>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</si>
  <si>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</si>
  <si>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</si>
  <si>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</si>
  <si>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</si>
  <si>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</si>
  <si>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</si>
  <si>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</si>
  <si>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</si>
  <si>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</si>
  <si>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</si>
  <si>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</si>
  <si>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</si>
  <si>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</si>
  <si>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</si>
  <si>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</si>
  <si>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</si>
  <si>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</si>
  <si>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</si>
  <si>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</si>
  <si>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</si>
  <si>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</si>
  <si>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</si>
  <si>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</si>
  <si>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</si>
  <si>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</si>
  <si>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</si>
  <si>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</si>
  <si>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</si>
  <si>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</si>
  <si>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</si>
  <si>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</si>
  <si>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</si>
  <si>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</si>
  <si>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</si>
  <si>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</si>
  <si>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</si>
  <si>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</si>
  <si>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</si>
  <si>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</si>
  <si>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</si>
  <si>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</si>
  <si>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</si>
  <si>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</si>
  <si>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</si>
  <si>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</si>
  <si>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</si>
  <si>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</si>
  <si>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</si>
  <si>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</si>
  <si>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</si>
  <si>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</si>
  <si>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</si>
  <si>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</si>
  <si>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</si>
  <si>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</si>
  <si>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</si>
  <si>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</si>
  <si>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</si>
  <si>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</si>
  <si>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</si>
  <si>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</si>
  <si>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</si>
  <si>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</si>
  <si>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</si>
  <si>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</si>
  <si>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</si>
  <si>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</si>
  <si>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</si>
  <si>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</si>
  <si>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</si>
  <si>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</si>
  <si>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</si>
  <si>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</si>
  <si>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</si>
  <si>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</si>
  <si>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</si>
  <si>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</si>
  <si>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</si>
  <si>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</si>
  <si>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</si>
  <si>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</si>
  <si>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</si>
  <si>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</si>
  <si>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</si>
  <si>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</si>
  <si>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</si>
  <si>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</si>
  <si>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</si>
  <si>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</si>
  <si>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</si>
  <si>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</si>
  <si>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</si>
  <si>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</si>
  <si>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</si>
  <si>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</si>
  <si>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</si>
  <si>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</si>
  <si>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</si>
  <si>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</si>
  <si>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</si>
  <si>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</si>
  <si>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</si>
  <si>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</si>
  <si>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</si>
  <si>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</si>
  <si>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</si>
  <si>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</si>
  <si>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</si>
  <si>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</si>
  <si>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</si>
  <si>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</si>
  <si>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</si>
  <si>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</si>
  <si>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</si>
  <si>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</si>
  <si>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</si>
  <si>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</si>
  <si>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</si>
  <si>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</si>
  <si>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</si>
  <si>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</si>
  <si>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</si>
  <si>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</si>
  <si>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</si>
  <si>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</si>
  <si>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</si>
  <si>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</si>
  <si>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</si>
  <si>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</si>
  <si>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</si>
  <si>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</si>
  <si>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</si>
  <si>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</si>
  <si>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</si>
  <si>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</si>
  <si>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</si>
  <si>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</si>
  <si>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</si>
  <si>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</si>
  <si>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</si>
  <si>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</si>
  <si>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</si>
  <si>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</si>
  <si>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</si>
  <si>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</si>
  <si>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</si>
  <si>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</si>
  <si>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</si>
  <si>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</si>
  <si>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</si>
  <si>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</si>
  <si>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</si>
  <si>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</si>
  <si>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</si>
  <si>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</si>
  <si>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</si>
  <si>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</si>
  <si>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</si>
  <si>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</si>
  <si>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</si>
  <si>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</si>
  <si>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</si>
  <si>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</si>
  <si>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</si>
  <si>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</si>
  <si>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</si>
  <si>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</si>
  <si>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</si>
  <si>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</si>
  <si>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</si>
  <si>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</si>
  <si>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</si>
  <si>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</si>
  <si>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</si>
  <si>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</si>
  <si>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</si>
  <si>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</si>
  <si>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</si>
  <si>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</si>
  <si>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</si>
  <si>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</si>
  <si>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</si>
  <si>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</si>
  <si>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</si>
  <si>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</si>
  <si>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</si>
  <si>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</si>
  <si>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</si>
  <si>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</si>
  <si>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</si>
  <si>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</si>
  <si>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</si>
  <si>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</si>
  <si>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</si>
  <si>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</si>
  <si>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</si>
  <si>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</si>
  <si>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</si>
  <si>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</si>
  <si>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</si>
  <si>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</si>
  <si>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</si>
  <si>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</si>
  <si>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</si>
  <si>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</si>
  <si>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</si>
  <si>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</si>
  <si>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</si>
  <si>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</si>
  <si>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</si>
  <si>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</si>
  <si>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</si>
  <si>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</si>
  <si>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</si>
  <si>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</si>
  <si>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</si>
  <si>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</si>
  <si>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</si>
  <si>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</si>
  <si>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</si>
  <si>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</si>
  <si>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</si>
  <si>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</si>
  <si>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</si>
  <si>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</si>
  <si>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</si>
  <si>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</si>
  <si>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</si>
  <si>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</si>
  <si>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</si>
  <si>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</si>
  <si>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</si>
  <si>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</si>
  <si>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</si>
  <si>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</si>
  <si>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</si>
  <si>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</si>
  <si>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</si>
  <si>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</si>
  <si>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</si>
  <si>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</si>
  <si>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</si>
  <si>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</si>
  <si>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</si>
  <si>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</si>
  <si>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</si>
  <si>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</si>
  <si>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</si>
  <si>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</si>
  <si>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</si>
  <si>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</si>
  <si>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</si>
  <si>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</si>
  <si>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</si>
  <si>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</si>
  <si>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</si>
  <si>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</si>
  <si>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</si>
  <si>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</si>
  <si>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</si>
  <si>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</si>
  <si>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</si>
  <si>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</si>
  <si>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</si>
  <si>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</si>
  <si>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</si>
  <si>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</si>
  <si>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</si>
  <si>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</si>
  <si>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</si>
  <si>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</si>
  <si>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</si>
  <si>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</si>
  <si>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</si>
  <si>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</si>
  <si>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</si>
  <si>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</si>
  <si>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</si>
  <si>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</si>
  <si>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</si>
  <si>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</si>
  <si>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</si>
  <si>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</si>
  <si>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</si>
  <si>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</si>
  <si>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</si>
  <si>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</si>
  <si>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</si>
  <si>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</si>
  <si>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</si>
  <si>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</si>
  <si>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</si>
  <si>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</si>
  <si>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</si>
  <si>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</si>
  <si>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</si>
  <si>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</si>
  <si>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</si>
  <si>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</si>
  <si>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</si>
  <si>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</si>
  <si>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</si>
  <si>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</si>
  <si>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</si>
  <si>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</si>
  <si>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</si>
  <si>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</si>
  <si>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</si>
  <si>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</si>
  <si>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</si>
  <si>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</si>
  <si>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</si>
  <si>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</si>
  <si>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</si>
  <si>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</si>
  <si>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</si>
  <si>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</si>
  <si>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</si>
  <si>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</si>
  <si>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</si>
  <si>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</si>
  <si>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</si>
  <si>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</si>
  <si>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</si>
  <si>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</si>
  <si>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</si>
  <si>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</si>
  <si>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</si>
  <si>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</si>
  <si>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</si>
  <si>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</si>
  <si>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</si>
  <si>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</si>
  <si>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</si>
  <si>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</si>
  <si>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</si>
  <si>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</si>
  <si>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</si>
  <si>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</si>
  <si>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</si>
  <si>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</si>
  <si>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</si>
  <si>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</si>
  <si>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</si>
  <si>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</si>
  <si>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</si>
  <si>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</si>
  <si>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</si>
  <si>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</si>
  <si>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</si>
  <si>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</si>
  <si>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</si>
  <si>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</si>
  <si>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</si>
  <si>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</si>
  <si>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</si>
  <si>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</si>
  <si>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</si>
  <si>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</si>
  <si>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</si>
  <si>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</si>
  <si>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</si>
  <si>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</si>
  <si>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</si>
  <si>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</si>
  <si>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</si>
  <si>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</si>
  <si>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</si>
  <si>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</si>
  <si>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</si>
  <si>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</si>
  <si>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</si>
  <si>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</si>
  <si>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</si>
  <si>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</si>
  <si>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</si>
  <si>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</si>
  <si>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</si>
  <si>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</si>
  <si>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</si>
  <si>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</si>
  <si>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</si>
  <si>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</si>
  <si>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</si>
  <si>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</si>
  <si>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</si>
  <si>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</si>
  <si>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</si>
  <si>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</si>
  <si>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</si>
  <si>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</si>
  <si>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</si>
  <si>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</si>
  <si>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</si>
  <si>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</si>
  <si>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</si>
  <si>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</si>
  <si>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</si>
  <si>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</si>
  <si>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</si>
  <si>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</si>
  <si>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</si>
  <si>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</si>
  <si>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</si>
  <si>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</si>
  <si>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</si>
  <si>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</si>
  <si>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</si>
  <si>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</si>
  <si>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</si>
  <si>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</si>
  <si>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</si>
  <si>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</si>
  <si>
    <t>radial poison mass</t>
  </si>
  <si>
    <t>Total poison mass minus radial (I.e. axial mass)</t>
  </si>
  <si>
    <t>Volume</t>
  </si>
  <si>
    <t>poison thickness</t>
  </si>
  <si>
    <t>H</t>
  </si>
  <si>
    <t>pow_dens (kW/g)</t>
  </si>
  <si>
    <t>Zr-90 MW</t>
  </si>
  <si>
    <t>Zr-91 MW</t>
  </si>
  <si>
    <t>Zr-92 MW</t>
  </si>
  <si>
    <t>Zr-94 MW</t>
  </si>
  <si>
    <t>Zr-96 MW</t>
  </si>
  <si>
    <t>Zr Atoms</t>
  </si>
  <si>
    <t>Zr g</t>
  </si>
  <si>
    <t>Zr-90 mols</t>
  </si>
  <si>
    <t>Zr-91 mols</t>
  </si>
  <si>
    <t>Zr-92 mols</t>
  </si>
  <si>
    <t>Zr-94 mols</t>
  </si>
  <si>
    <t>Zr-96 mols</t>
  </si>
  <si>
    <t>H-1 MW</t>
  </si>
  <si>
    <t>H-2 MW</t>
  </si>
  <si>
    <t>H-1 Atoms/cm^3</t>
  </si>
  <si>
    <t>H-2 Atomc/cm^3</t>
  </si>
  <si>
    <t>H-1 mols/cm^3</t>
  </si>
  <si>
    <t>H-2 mols/cm^3</t>
  </si>
  <si>
    <t>H g/cm^3</t>
  </si>
  <si>
    <t>H g</t>
  </si>
  <si>
    <t>Fuel Mass</t>
  </si>
  <si>
    <t>Fuel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</si>
</sst>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0E+00"/>
    <numFmt numFmtId="171" formatCode="0.00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7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19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A15:B15"/>
    <mergeCell ref="E14:F14"/>
    <mergeCell ref="I15:J15"/>
    <mergeCell ref="M15:N15"/>
    <mergeCell ref="Q18:R18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A60:B60"/>
    <mergeCell ref="I57:J57"/>
    <mergeCell ref="M58:N58"/>
    <mergeCell ref="Q57:R57"/>
    <mergeCell ref="A64:B64"/>
    <mergeCell ref="E61:F61"/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>
        <f>V19</f>
        <v>0.13764179787576325</v>
      </c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A3CDC989-7A3E-5B4C-9223-0F34C2FD60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19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>
        <v>1</v>
      </c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4" t="s">
        <v>0</v>
      </c>
      <c r="B1" s="14"/>
      <c r="C1" s="5">
        <f>6E+22/1E+24</f>
        <v>0.06</v>
      </c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19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4" t="s">
        <v>123</v>
      </c>
      <c r="B30" s="14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388</v>
      </c>
      <c r="B85" s="10">
        <v>6560</v>
      </c>
      <c r="C85" s="10"/>
      <c r="D85" s="10"/>
    </row>
    <row r="86" spans="1:4" x14ac:dyDescent="0.25">
      <c r="A86" s="10" t="s">
        <v>389</v>
      </c>
      <c r="B86" s="10">
        <v>211</v>
      </c>
      <c r="C86" s="10"/>
      <c r="D86" s="10"/>
    </row>
    <row r="87" spans="1:4" x14ac:dyDescent="0.25">
      <c r="A87" s="10" t="s">
        <v>390</v>
      </c>
      <c r="B87" s="10">
        <v>31.090047389999999</v>
      </c>
      <c r="C87" s="10"/>
      <c r="D87" s="10"/>
    </row>
    <row r="88" spans="1:4" x14ac:dyDescent="0.25">
      <c r="A88" s="10" t="s">
        <v>391</v>
      </c>
      <c r="B88" s="10">
        <f>0.532/2</f>
        <v>0.26600000000000001</v>
      </c>
      <c r="C88" s="10"/>
      <c r="D88" s="10"/>
    </row>
    <row r="89" spans="1:4" x14ac:dyDescent="0.25">
      <c r="A89" s="10" t="s">
        <v>392</v>
      </c>
      <c r="B89" s="10">
        <v>14</v>
      </c>
      <c r="C89" s="10"/>
      <c r="D89" s="10"/>
    </row>
    <row r="90" spans="1:4" x14ac:dyDescent="0.25">
      <c r="A90" s="10" t="s">
        <v>393</v>
      </c>
      <c r="B90" s="10">
        <f>B88*B83</f>
        <v>0.67564000000000002</v>
      </c>
      <c r="C90" s="10"/>
      <c r="D90" s="10"/>
    </row>
    <row r="91" spans="1:4" x14ac:dyDescent="0.25">
      <c r="A91" s="10" t="s">
        <v>394</v>
      </c>
      <c r="B91" s="10">
        <f>B89*B83</f>
        <v>35.56</v>
      </c>
      <c r="C91" s="10"/>
      <c r="D91" s="10"/>
    </row>
    <row r="92" spans="1:4" x14ac:dyDescent="0.25">
      <c r="A92" s="10" t="s">
        <v>395</v>
      </c>
      <c r="B92" s="10">
        <f>PI()*B90^2*B91</f>
        <v>50.996730261790482</v>
      </c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396</v>
      </c>
      <c r="B94" s="10">
        <v>0.60964785799999999</v>
      </c>
      <c r="C94" s="10"/>
      <c r="D94" s="10"/>
    </row>
    <row r="95" spans="1:4" x14ac:dyDescent="0.25">
      <c r="A95" s="10" t="s">
        <v>397</v>
      </c>
      <c r="B95" s="10">
        <v>0.56788698000000004</v>
      </c>
      <c r="C95" s="11"/>
      <c r="D95" s="10"/>
    </row>
    <row r="96" spans="1:4" x14ac:dyDescent="0.2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25">
      <c r="A97" s="10" t="s">
        <v>399</v>
      </c>
      <c r="B97" s="10">
        <v>4.1760878000000001E-2</v>
      </c>
      <c r="C97" s="10"/>
      <c r="D97" s="10"/>
    </row>
    <row r="98" spans="1:4" x14ac:dyDescent="0.2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401</v>
      </c>
      <c r="B100" s="10">
        <v>310.90047390000001</v>
      </c>
      <c r="C100" s="10"/>
      <c r="D100" s="10"/>
    </row>
    <row r="101" spans="1:4" x14ac:dyDescent="0.2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403</v>
      </c>
      <c r="B103" s="10">
        <v>279.81042650000001</v>
      </c>
      <c r="C103" s="10"/>
      <c r="D103" s="10"/>
    </row>
    <row r="104" spans="1:4" x14ac:dyDescent="0.25">
      <c r="A104" s="10" t="s">
        <v>404</v>
      </c>
      <c r="B104" s="10">
        <v>5.486830726</v>
      </c>
      <c r="C104" s="10"/>
      <c r="D104" s="10"/>
    </row>
    <row r="105" spans="1:4" x14ac:dyDescent="0.25">
      <c r="A105" s="10" t="s">
        <v>405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21"/>
  <sheetViews>
    <sheetView zoomScale="90" zoomScaleNormal="90" workbookViewId="0">
      <selection activeCell="D95" sqref="D95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4" t="s">
        <v>0</v>
      </c>
      <c r="B1" s="14"/>
      <c r="C1" s="5">
        <f>5.96E+22/1E+24</f>
        <v>5.96E-2</v>
      </c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5.9591358000000004E-2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8.6419999999999996E-6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19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4" t="s">
        <v>123</v>
      </c>
      <c r="B30" s="14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6.0125882352941185E-3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v>6414.4000000000005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30.400000000000002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0.59611664990955959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0.55528265939075472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1">
        <f>B95*D83/235.043928/1E+24</f>
        <v>1.4227084881016112E-3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4.0833990518804833E-2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1">
        <f>B97*D83/238/1E+24</f>
        <v>1.0332269229534258E-4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5.96E-2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/>
    </row>
    <row r="105" spans="1:11" x14ac:dyDescent="0.2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>
        <f>G87</f>
        <v>0.71374000000000004</v>
      </c>
      <c r="J107">
        <f>F103+H104</f>
        <v>0.68272059090736836</v>
      </c>
    </row>
    <row r="108" spans="1:11" x14ac:dyDescent="0.2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2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2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  <row r="117" spans="5:6" x14ac:dyDescent="0.25">
      <c r="E117" t="s">
        <v>428</v>
      </c>
      <c r="F117">
        <f>F96*(14*2.54)*F95</f>
        <v>4.0320000000000002E-2</v>
      </c>
    </row>
    <row r="118" spans="5:6" x14ac:dyDescent="0.25">
      <c r="E118" t="s">
        <v>429</v>
      </c>
      <c r="F118">
        <f>F93-F117</f>
        <v>1.1753554502363928E-5</v>
      </c>
    </row>
    <row r="119" spans="5:6" x14ac:dyDescent="0.25">
      <c r="E119" t="s">
        <v>430</v>
      </c>
      <c r="F119">
        <f>F118/F95</f>
        <v>1.4081172280297026E-6</v>
      </c>
    </row>
    <row r="120" spans="5:6" x14ac:dyDescent="0.25">
      <c r="E120" t="s">
        <v>431</v>
      </c>
      <c r="F120">
        <f>F119/(PI()*G87^2)</f>
        <v>8.7985046173196734E-7</v>
      </c>
    </row>
    <row r="121" spans="5:6" ht="10.5" customHeight="1" x14ac:dyDescent="0.25">
      <c r="F121">
        <f>18.1483+F120</f>
        <v>18.14830087985046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B2F3-6616-42B0-B44B-CE17E2FA58CA}">
  <dimension ref="A1:V146"/>
  <sheetViews>
    <sheetView tabSelected="1" topLeftCell="A104" zoomScale="90" zoomScaleNormal="90" workbookViewId="0">
      <selection activeCell="B146" sqref="B146"/>
    </sheetView>
  </sheetViews>
  <sheetFormatPr defaultColWidth="11" defaultRowHeight="15.75" x14ac:dyDescent="0.25"/>
  <cols>
    <col min="1" max="1" width="20.5" bestFit="1" customWidth="1"/>
    <col min="2" max="2" width="11.875" bestFit="1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4" t="s">
        <v>0</v>
      </c>
      <c r="B1" s="14"/>
      <c r="C1" s="5">
        <f>6E+22/1E+24</f>
        <v>0.06</v>
      </c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19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4" t="s">
        <v>123</v>
      </c>
      <c r="B30" s="14"/>
      <c r="C30" s="5">
        <f>B105</f>
        <v>3.5294117647058823E-2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1.8158823529411762E-2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3.96E-3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6.0529411764705891E-3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6.1341176470588238E-3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9.8823529411764697E-4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f>6.56*1000</f>
        <v>6560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31.09004739336493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0.60964785847572822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0.56788698017014083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3">
        <f>B95*D83/235.043928/1E+24</f>
        <v>1.4550024448033443E-3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4.1760878305587383E-2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3">
        <f>B97*D83/238/1E+24</f>
        <v>1.0566800658790335E-4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0.06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K104"/>
    </row>
    <row r="105" spans="1:11" x14ac:dyDescent="0.25">
      <c r="A105" s="10" t="s">
        <v>405</v>
      </c>
      <c r="B105" s="11">
        <f>B99/1.7</f>
        <v>3.5294117647058823E-2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2">
        <f>C31</f>
        <v>1.8158823529411762E-2</v>
      </c>
      <c r="C107" s="10"/>
      <c r="D107" s="10"/>
      <c r="E107" t="s">
        <v>424</v>
      </c>
      <c r="F107">
        <f>G87</f>
        <v>0.71374000000000004</v>
      </c>
    </row>
    <row r="108" spans="1:11" x14ac:dyDescent="0.25">
      <c r="A108" s="10" t="s">
        <v>133</v>
      </c>
      <c r="B108" s="12">
        <f t="shared" ref="B108:B111" si="40">C32</f>
        <v>3.96E-3</v>
      </c>
      <c r="C108" s="10"/>
      <c r="D108" s="10"/>
    </row>
    <row r="109" spans="1:11" x14ac:dyDescent="0.25">
      <c r="A109" s="10" t="s">
        <v>136</v>
      </c>
      <c r="B109" s="12">
        <f t="shared" si="40"/>
        <v>6.0529411764705891E-3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2">
        <f t="shared" si="40"/>
        <v>6.1341176470588238E-3</v>
      </c>
      <c r="C110" s="10"/>
      <c r="D110" s="10"/>
    </row>
    <row r="111" spans="1:11" x14ac:dyDescent="0.25">
      <c r="A111" s="10" t="s">
        <v>146</v>
      </c>
      <c r="B111" s="12">
        <f t="shared" si="40"/>
        <v>9.8823529411764697E-4</v>
      </c>
      <c r="C111" s="10"/>
      <c r="D111" s="10"/>
      <c r="F111">
        <f>18.1483+F109</f>
        <v>18.148395160852814</v>
      </c>
    </row>
    <row r="113" spans="1:6" x14ac:dyDescent="0.25">
      <c r="A113" s="10" t="s">
        <v>433</v>
      </c>
      <c r="B113" s="10">
        <f>450/B87</f>
        <v>14.474085365853657</v>
      </c>
    </row>
    <row r="115" spans="1:6" x14ac:dyDescent="0.25">
      <c r="A115" s="10" t="s">
        <v>434</v>
      </c>
      <c r="B115">
        <v>89.904698999999994</v>
      </c>
    </row>
    <row r="116" spans="1:6" x14ac:dyDescent="0.25">
      <c r="A116" s="10" t="s">
        <v>435</v>
      </c>
      <c r="B116">
        <v>90.905640000000005</v>
      </c>
    </row>
    <row r="117" spans="1:6" x14ac:dyDescent="0.25">
      <c r="A117" s="10" t="s">
        <v>436</v>
      </c>
      <c r="B117">
        <v>91.905035339999998</v>
      </c>
      <c r="E117" t="s">
        <v>428</v>
      </c>
      <c r="F117">
        <f>F96*(14*2.54)*F95</f>
        <v>4.0320000000000002E-2</v>
      </c>
    </row>
    <row r="118" spans="1:6" x14ac:dyDescent="0.25">
      <c r="A118" s="10" t="s">
        <v>437</v>
      </c>
      <c r="B118">
        <v>93.906315199999995</v>
      </c>
      <c r="E118" t="s">
        <v>429</v>
      </c>
      <c r="F118">
        <f>F93-F117</f>
        <v>1.1753554502363928E-5</v>
      </c>
    </row>
    <row r="119" spans="1:6" x14ac:dyDescent="0.25">
      <c r="A119" s="10" t="s">
        <v>438</v>
      </c>
      <c r="B119">
        <v>95.908277620000007</v>
      </c>
      <c r="E119" t="s">
        <v>430</v>
      </c>
      <c r="F119">
        <f>F118/F95</f>
        <v>1.4081172280297026E-6</v>
      </c>
    </row>
    <row r="120" spans="1:6" x14ac:dyDescent="0.25">
      <c r="E120" t="s">
        <v>431</v>
      </c>
      <c r="F120">
        <f>F119/(PI()*G87^2)</f>
        <v>8.7985046173196734E-7</v>
      </c>
    </row>
    <row r="121" spans="1:6" x14ac:dyDescent="0.25">
      <c r="A121" s="10" t="s">
        <v>439</v>
      </c>
      <c r="B121" s="7">
        <f>B105*1E+24</f>
        <v>3.5294117647058823E+22</v>
      </c>
      <c r="F121">
        <f>18.1483+F120</f>
        <v>18.14830087985046</v>
      </c>
    </row>
    <row r="122" spans="1:6" x14ac:dyDescent="0.25">
      <c r="A122" s="10" t="s">
        <v>128</v>
      </c>
      <c r="B122" s="20">
        <f>B107*1E+24</f>
        <v>1.8158823529411762E+22</v>
      </c>
    </row>
    <row r="123" spans="1:6" x14ac:dyDescent="0.25">
      <c r="A123" s="10" t="s">
        <v>133</v>
      </c>
      <c r="B123" s="20">
        <f t="shared" ref="B123:B126" si="41">B108*1E+24</f>
        <v>3.96E+21</v>
      </c>
    </row>
    <row r="124" spans="1:6" x14ac:dyDescent="0.25">
      <c r="A124" s="10" t="s">
        <v>136</v>
      </c>
      <c r="B124" s="20">
        <f t="shared" si="41"/>
        <v>6.0529411764705894E+21</v>
      </c>
    </row>
    <row r="125" spans="1:6" x14ac:dyDescent="0.25">
      <c r="A125" s="10" t="s">
        <v>141</v>
      </c>
      <c r="B125" s="20">
        <f t="shared" si="41"/>
        <v>6.1341176470588233E+21</v>
      </c>
    </row>
    <row r="126" spans="1:6" x14ac:dyDescent="0.25">
      <c r="A126" s="10" t="s">
        <v>146</v>
      </c>
      <c r="B126" s="20">
        <f t="shared" si="41"/>
        <v>9.8823529411764696E+20</v>
      </c>
    </row>
    <row r="127" spans="1:6" x14ac:dyDescent="0.25">
      <c r="A127" s="10" t="s">
        <v>441</v>
      </c>
      <c r="B127" s="7">
        <f>B122/$D$83</f>
        <v>3.0153439689897216E-2</v>
      </c>
    </row>
    <row r="128" spans="1:6" x14ac:dyDescent="0.25">
      <c r="A128" s="10" t="s">
        <v>442</v>
      </c>
      <c r="B128" s="7">
        <f t="shared" ref="B128:B131" si="42">B123/$D$83</f>
        <v>6.5757355358726302E-3</v>
      </c>
    </row>
    <row r="129" spans="1:4" x14ac:dyDescent="0.25">
      <c r="A129" s="10" t="s">
        <v>443</v>
      </c>
      <c r="B129" s="7">
        <f t="shared" si="42"/>
        <v>1.0051146563299076E-2</v>
      </c>
    </row>
    <row r="130" spans="1:4" x14ac:dyDescent="0.25">
      <c r="A130" s="10" t="s">
        <v>444</v>
      </c>
      <c r="B130" s="7">
        <f t="shared" si="42"/>
        <v>1.0185943281057604E-2</v>
      </c>
      <c r="D130" s="7">
        <f>B127*B115</f>
        <v>2.7109359191348625</v>
      </c>
    </row>
    <row r="131" spans="1:4" x14ac:dyDescent="0.25">
      <c r="A131" s="10" t="s">
        <v>445</v>
      </c>
      <c r="B131" s="7">
        <f t="shared" si="42"/>
        <v>1.6410035205386242E-3</v>
      </c>
      <c r="D131" s="7">
        <f>B116*B128</f>
        <v>0.59777144735924448</v>
      </c>
    </row>
    <row r="133" spans="1:4" x14ac:dyDescent="0.25">
      <c r="A133" s="10"/>
      <c r="B133" s="7"/>
    </row>
    <row r="134" spans="1:4" x14ac:dyDescent="0.25">
      <c r="A134" s="10" t="s">
        <v>440</v>
      </c>
      <c r="B134" s="22">
        <f>(B127*B115+B128*B116+B129*B117+B130*B118+B131*B119)*B92</f>
        <v>272.64731575185368</v>
      </c>
    </row>
    <row r="137" spans="1:4" x14ac:dyDescent="0.25">
      <c r="A137" t="s">
        <v>446</v>
      </c>
      <c r="B137">
        <v>1.007825031898</v>
      </c>
    </row>
    <row r="138" spans="1:4" x14ac:dyDescent="0.25">
      <c r="A138" t="s">
        <v>447</v>
      </c>
      <c r="B138">
        <v>2.014101777844</v>
      </c>
    </row>
    <row r="139" spans="1:4" x14ac:dyDescent="0.25">
      <c r="A139" t="s">
        <v>448</v>
      </c>
      <c r="B139" s="7">
        <f>C2*1E+24</f>
        <v>5.9991299999999998E+22</v>
      </c>
    </row>
    <row r="140" spans="1:4" x14ac:dyDescent="0.25">
      <c r="A140" t="s">
        <v>449</v>
      </c>
      <c r="B140" s="7">
        <f>C3*1E+24</f>
        <v>8.7E+18</v>
      </c>
    </row>
    <row r="141" spans="1:4" x14ac:dyDescent="0.25">
      <c r="A141" t="s">
        <v>450</v>
      </c>
      <c r="B141" s="7">
        <f>B139/$D$83</f>
        <v>9.9617909912423155E-2</v>
      </c>
    </row>
    <row r="142" spans="1:4" x14ac:dyDescent="0.25">
      <c r="A142" t="s">
        <v>451</v>
      </c>
      <c r="B142" s="7">
        <f>B140/$D$83</f>
        <v>1.4446691707598961E-5</v>
      </c>
    </row>
    <row r="143" spans="1:4" x14ac:dyDescent="0.25">
      <c r="A143" t="s">
        <v>452</v>
      </c>
      <c r="B143" s="7">
        <f>B141*B137+B142*B138</f>
        <v>0.10042652034255219</v>
      </c>
    </row>
    <row r="144" spans="1:4" x14ac:dyDescent="0.25">
      <c r="A144" t="s">
        <v>453</v>
      </c>
      <c r="B144" s="7">
        <f>B143*B92</f>
        <v>5.1214241690393489</v>
      </c>
    </row>
    <row r="145" spans="1:2" x14ac:dyDescent="0.25">
      <c r="A145" t="s">
        <v>454</v>
      </c>
      <c r="B145" s="7">
        <f>B144+B134+B87</f>
        <v>308.858787314258</v>
      </c>
    </row>
    <row r="146" spans="1:2" x14ac:dyDescent="0.25">
      <c r="A146" t="s">
        <v>455</v>
      </c>
      <c r="B146" s="21">
        <f>B145/B92</f>
        <v>6.0564429470034424</v>
      </c>
    </row>
  </sheetData>
  <mergeCells count="65">
    <mergeCell ref="U1:V1"/>
    <mergeCell ref="A1:B1"/>
    <mergeCell ref="E1:F1"/>
    <mergeCell ref="I1:J1"/>
    <mergeCell ref="M1:N1"/>
    <mergeCell ref="Q1:R1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A51:B51"/>
    <mergeCell ref="Q51:R51"/>
    <mergeCell ref="A37:B37"/>
    <mergeCell ref="M37:N37"/>
    <mergeCell ref="I38:J38"/>
    <mergeCell ref="Q39:R39"/>
    <mergeCell ref="A41:B41"/>
    <mergeCell ref="E41:F41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60:B60"/>
    <mergeCell ref="A77:B77"/>
    <mergeCell ref="A64:B64"/>
    <mergeCell ref="I66:J66"/>
    <mergeCell ref="M66:N66"/>
    <mergeCell ref="Q66:R66"/>
    <mergeCell ref="A68:B68"/>
    <mergeCell ref="E69:F69"/>
    <mergeCell ref="I70:J70"/>
    <mergeCell ref="M70:N70"/>
    <mergeCell ref="Q70:R70"/>
    <mergeCell ref="Q74:R74"/>
    <mergeCell ref="E76:F76"/>
  </mergeCells>
  <hyperlinks>
    <hyperlink ref="V14" r:id="rId1" xr:uid="{BB4411A0-4F9E-4832-87B1-3F3413E29E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BC1-4AD1-4200-8C3B-E8B83C18312B}">
  <dimension ref="A1:V79"/>
  <sheetViews>
    <sheetView zoomScale="90" zoomScaleNormal="90" workbookViewId="0">
      <selection activeCell="V29" sqref="V29"/>
    </sheetView>
  </sheetViews>
  <sheetFormatPr defaultColWidth="11" defaultRowHeight="15.75" x14ac:dyDescent="0.25"/>
  <cols>
    <col min="1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4" t="s">
        <v>0</v>
      </c>
      <c r="B1" s="14"/>
      <c r="C1" s="5">
        <f>V16</f>
        <v>0.01</v>
      </c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9.9985500000000001E-3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1.4500000000000001E-6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>
        <f>V17</f>
        <v>0.53200000000000003</v>
      </c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>
        <f>V20</f>
        <v>0.33700000000000002</v>
      </c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0.53080832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0.31111166000000001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1.9684000000000002E-4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1.5653650000000002E-2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9.9484000000000009E-4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1.0234690000000001E-2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>
        <f>V21</f>
        <v>4.3999999999999997E-2</v>
      </c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4.2654039999999997E-2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2.8467999999999999E-4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5.94E-5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9.1783999999999995E-4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>
        <f>V22</f>
        <v>1.4E-2</v>
      </c>
      <c r="Q15" s="4" t="s">
        <v>64</v>
      </c>
      <c r="R15" s="4">
        <v>4.0000000000000003E-5</v>
      </c>
      <c r="S15" s="6">
        <f t="shared" si="7"/>
        <v>1.7600000000000001E-6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8.183E-4</v>
      </c>
      <c r="Q16" s="4" t="s">
        <v>69</v>
      </c>
      <c r="R16" s="4">
        <v>1.8699999999999999E-3</v>
      </c>
      <c r="S16" s="6">
        <f t="shared" si="7"/>
        <v>8.2279999999999991E-5</v>
      </c>
      <c r="U16" t="s">
        <v>432</v>
      </c>
      <c r="V16">
        <v>0.01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1.2845560000000001E-2</v>
      </c>
      <c r="U17" t="s">
        <v>375</v>
      </c>
      <c r="V17">
        <v>0.53200000000000003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2.9666000000000002E-4</v>
      </c>
      <c r="Q18" s="14" t="s">
        <v>77</v>
      </c>
      <c r="R18" s="14"/>
      <c r="S18" s="5"/>
      <c r="U18" t="s">
        <v>384</v>
      </c>
      <c r="V18">
        <v>2.9000000000000001E-2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3.9480000000000001E-5</v>
      </c>
      <c r="Q19" s="4" t="s">
        <v>82</v>
      </c>
      <c r="R19" s="4">
        <v>0.68076899999999996</v>
      </c>
      <c r="S19" s="6">
        <f>$S$18*R19</f>
        <v>0</v>
      </c>
      <c r="U19" t="s">
        <v>354</v>
      </c>
      <c r="V19">
        <v>3.4000000000000002E-2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  <c r="U20" t="s">
        <v>340</v>
      </c>
      <c r="V20">
        <v>0.33700000000000002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  <c r="U21" t="s">
        <v>377</v>
      </c>
      <c r="V21">
        <v>4.3999999999999997E-2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  <c r="U22" t="s">
        <v>347</v>
      </c>
      <c r="V22">
        <v>1.4E-2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BAE1FE7-BFBB-4ABC-910D-DC0033CB0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X42" sqref="X4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>
        <f>V17</f>
        <v>8.0000000000000004E-4</v>
      </c>
      <c r="U1" s="17" t="s">
        <v>5</v>
      </c>
      <c r="V1" s="17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6" t="s">
        <v>11</v>
      </c>
      <c r="V2" s="16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6"/>
      <c r="V3" s="16"/>
    </row>
    <row r="4" spans="1:23" x14ac:dyDescent="0.25">
      <c r="U4" s="16"/>
      <c r="V4" s="16"/>
    </row>
    <row r="5" spans="1:23" x14ac:dyDescent="0.25">
      <c r="A5" s="14" t="s">
        <v>17</v>
      </c>
      <c r="B5" s="14"/>
      <c r="C5" s="5">
        <f>V25</f>
        <v>1E-3</v>
      </c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>
        <f>V19</f>
        <v>7.4999999999999997E-3</v>
      </c>
      <c r="U5" s="16"/>
      <c r="V5" s="16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6"/>
      <c r="V6" s="16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6"/>
      <c r="V7" s="16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6"/>
      <c r="V8" s="16"/>
    </row>
    <row r="9" spans="1:23" x14ac:dyDescent="0.25">
      <c r="A9" s="14" t="s">
        <v>36</v>
      </c>
      <c r="B9" s="14"/>
      <c r="C9" s="5">
        <f>V21</f>
        <v>2.9999999999999997E-4</v>
      </c>
      <c r="U9" s="16"/>
      <c r="V9" s="16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>
        <f>V22</f>
        <v>0.17</v>
      </c>
      <c r="M15" s="14" t="s">
        <v>63</v>
      </c>
      <c r="N15" s="14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7" t="s">
        <v>335</v>
      </c>
      <c r="V16" s="17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8" t="s">
        <v>338</v>
      </c>
      <c r="Y17" s="18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4" t="s">
        <v>77</v>
      </c>
      <c r="R18" s="14"/>
      <c r="S18" s="5">
        <f>V24</f>
        <v>0.12</v>
      </c>
      <c r="U18" t="s">
        <v>339</v>
      </c>
      <c r="V18" s="7">
        <v>0.02</v>
      </c>
      <c r="X18" s="18"/>
      <c r="Y18" s="18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  <c r="U25" t="s">
        <v>346</v>
      </c>
      <c r="V25" s="7">
        <v>1E-3</v>
      </c>
    </row>
    <row r="26" spans="1:25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>
        <f>V26</f>
        <v>1E-4</v>
      </c>
      <c r="U1" s="17" t="s">
        <v>5</v>
      </c>
      <c r="V1" s="17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6" t="s">
        <v>11</v>
      </c>
      <c r="V2" s="16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6"/>
      <c r="V3" s="16"/>
    </row>
    <row r="4" spans="1:23" x14ac:dyDescent="0.25">
      <c r="U4" s="16"/>
      <c r="V4" s="16"/>
    </row>
    <row r="5" spans="1:23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>
        <f>V25</f>
        <v>8.0000000000000004E-4</v>
      </c>
      <c r="U5" s="16"/>
      <c r="V5" s="16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6"/>
      <c r="V6" s="16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6"/>
      <c r="V7" s="16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6"/>
      <c r="V8" s="16"/>
    </row>
    <row r="9" spans="1:23" x14ac:dyDescent="0.25">
      <c r="A9" s="14" t="s">
        <v>36</v>
      </c>
      <c r="B9" s="14"/>
      <c r="C9" s="5"/>
      <c r="U9" s="16"/>
      <c r="V9" s="16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4" t="s">
        <v>56</v>
      </c>
      <c r="F14" s="14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8.7500000000000009E-6</v>
      </c>
      <c r="I15" s="14" t="s">
        <v>62</v>
      </c>
      <c r="J15" s="14"/>
      <c r="K15" s="5">
        <f>V19</f>
        <v>0.16</v>
      </c>
      <c r="M15" s="14" t="s">
        <v>63</v>
      </c>
      <c r="N15" s="14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7" t="s">
        <v>348</v>
      </c>
      <c r="V16" s="17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4" t="s">
        <v>77</v>
      </c>
      <c r="R18" s="14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4" t="s">
        <v>90</v>
      </c>
      <c r="B22" s="14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  <c r="U25" t="s">
        <v>340</v>
      </c>
      <c r="V25">
        <v>8.0000000000000004E-4</v>
      </c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>
        <f>V27</f>
        <v>5.9999999999999995E-4</v>
      </c>
      <c r="U1" s="17" t="s">
        <v>5</v>
      </c>
      <c r="V1" s="17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6" t="s">
        <v>11</v>
      </c>
      <c r="V2" s="16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6"/>
      <c r="V3" s="16"/>
    </row>
    <row r="4" spans="1:23" x14ac:dyDescent="0.25">
      <c r="U4" s="16"/>
      <c r="V4" s="16"/>
    </row>
    <row r="5" spans="1:23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>
        <f>V21</f>
        <v>0.01</v>
      </c>
      <c r="U5" s="16"/>
      <c r="V5" s="16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6"/>
      <c r="V6" s="16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6"/>
      <c r="V7" s="16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6"/>
      <c r="V8" s="16"/>
    </row>
    <row r="9" spans="1:23" x14ac:dyDescent="0.25">
      <c r="A9" s="14" t="s">
        <v>36</v>
      </c>
      <c r="B9" s="14"/>
      <c r="C9" s="5"/>
      <c r="U9" s="16"/>
      <c r="V9" s="16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4" t="s">
        <v>56</v>
      </c>
      <c r="F14" s="14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4" t="s">
        <v>60</v>
      </c>
      <c r="B15" s="14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4" t="s">
        <v>62</v>
      </c>
      <c r="J15" s="14"/>
      <c r="K15" s="5">
        <f>V19</f>
        <v>7.0000000000000007E-2</v>
      </c>
      <c r="M15" s="14" t="s">
        <v>63</v>
      </c>
      <c r="N15" s="14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7" t="s">
        <v>353</v>
      </c>
      <c r="V16" s="17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4" t="s">
        <v>77</v>
      </c>
      <c r="R18" s="14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4" t="s">
        <v>90</v>
      </c>
      <c r="B22" s="14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  <c r="U25" t="s">
        <v>352</v>
      </c>
      <c r="V25">
        <v>3.5000000000000001E-3</v>
      </c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>
        <f>V17</f>
        <v>5.2840778361997066E-3</v>
      </c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  <c r="W2" s="2"/>
      <c r="Y2" s="19" t="s">
        <v>357</v>
      </c>
      <c r="Z2" s="19"/>
      <c r="AA2" s="19"/>
      <c r="AB2" s="19"/>
      <c r="AC2" s="19"/>
      <c r="AD2" s="19"/>
      <c r="AE2" s="19"/>
      <c r="AF2" s="19"/>
      <c r="AG2" s="19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  <c r="W3" s="2"/>
      <c r="Y3" s="19"/>
      <c r="Z3" s="19"/>
      <c r="AA3" s="19"/>
      <c r="AB3" s="19"/>
      <c r="AC3" s="19"/>
      <c r="AD3" s="19"/>
      <c r="AE3" s="19"/>
      <c r="AF3" s="19"/>
      <c r="AG3" s="19"/>
    </row>
    <row r="4" spans="1:34" x14ac:dyDescent="0.25">
      <c r="U4" s="16"/>
      <c r="V4" s="16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4" t="s">
        <v>17</v>
      </c>
      <c r="B5" s="14"/>
      <c r="C5" s="5"/>
      <c r="E5" s="14" t="s">
        <v>18</v>
      </c>
      <c r="F5" s="15"/>
      <c r="G5" s="5">
        <f>V15</f>
        <v>0.36233529357985322</v>
      </c>
      <c r="I5" s="14" t="s">
        <v>19</v>
      </c>
      <c r="J5" s="14"/>
      <c r="K5" s="5"/>
      <c r="M5" s="14" t="s">
        <v>20</v>
      </c>
      <c r="N5" s="14"/>
      <c r="O5" s="5">
        <f>V20</f>
        <v>1.5754728620702579E-3</v>
      </c>
      <c r="Q5" s="14" t="s">
        <v>21</v>
      </c>
      <c r="R5" s="14"/>
      <c r="S5" s="5">
        <f>V16</f>
        <v>0.22218134963093683</v>
      </c>
      <c r="U5" s="16"/>
      <c r="V5" s="16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6"/>
      <c r="V6" s="16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6"/>
      <c r="V7" s="16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6"/>
      <c r="V8" s="16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4" t="s">
        <v>36</v>
      </c>
      <c r="B9" s="14"/>
      <c r="C9" s="5"/>
      <c r="U9" s="16"/>
      <c r="V9" s="16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>
        <f>V18</f>
        <v>1.0910928215318248E-2</v>
      </c>
      <c r="U10" s="16"/>
      <c r="V10" s="16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6"/>
      <c r="V11" s="16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6"/>
      <c r="V12" s="16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4" t="s">
        <v>60</v>
      </c>
      <c r="B15" s="14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4" t="s">
        <v>77</v>
      </c>
      <c r="R18" s="14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20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4" t="s">
        <v>123</v>
      </c>
      <c r="B30" s="14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4" t="s">
        <v>140</v>
      </c>
      <c r="R33" s="14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26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4" t="s">
        <v>204</v>
      </c>
      <c r="J48" s="14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Y2:AG3"/>
    <mergeCell ref="I70:J70"/>
    <mergeCell ref="M70:N70"/>
    <mergeCell ref="Q70:R70"/>
    <mergeCell ref="U2:V12"/>
    <mergeCell ref="Q51:R51"/>
    <mergeCell ref="E76:F76"/>
    <mergeCell ref="A77:B77"/>
    <mergeCell ref="A64:B64"/>
    <mergeCell ref="I66:J66"/>
    <mergeCell ref="E61:F61"/>
    <mergeCell ref="A68:B68"/>
    <mergeCell ref="E69:F69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>
        <f>V18</f>
        <v>0.63967962107924303</v>
      </c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/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4" t="s">
        <v>0</v>
      </c>
      <c r="B1" s="14"/>
      <c r="C1" s="5"/>
      <c r="E1" s="14" t="s">
        <v>1</v>
      </c>
      <c r="F1" s="14"/>
      <c r="G1" s="5"/>
      <c r="I1" s="14" t="s">
        <v>2</v>
      </c>
      <c r="J1" s="14"/>
      <c r="K1" s="5"/>
      <c r="M1" s="14" t="s">
        <v>3</v>
      </c>
      <c r="N1" s="14"/>
      <c r="O1" s="5"/>
      <c r="Q1" s="14" t="s">
        <v>4</v>
      </c>
      <c r="R1" s="14"/>
      <c r="S1" s="5"/>
      <c r="U1" s="17" t="s">
        <v>5</v>
      </c>
      <c r="V1" s="17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6" t="s">
        <v>11</v>
      </c>
      <c r="V2" s="16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6"/>
      <c r="V3" s="16"/>
    </row>
    <row r="4" spans="1:22" x14ac:dyDescent="0.25">
      <c r="U4" s="16"/>
      <c r="V4" s="16"/>
    </row>
    <row r="5" spans="1:22" x14ac:dyDescent="0.25">
      <c r="A5" s="14" t="s">
        <v>17</v>
      </c>
      <c r="B5" s="14"/>
      <c r="C5" s="5"/>
      <c r="E5" s="14" t="s">
        <v>18</v>
      </c>
      <c r="F5" s="15"/>
      <c r="G5" s="5"/>
      <c r="I5" s="14" t="s">
        <v>19</v>
      </c>
      <c r="J5" s="14"/>
      <c r="K5" s="5"/>
      <c r="M5" s="14" t="s">
        <v>20</v>
      </c>
      <c r="N5" s="14"/>
      <c r="O5" s="5"/>
      <c r="Q5" s="14" t="s">
        <v>21</v>
      </c>
      <c r="R5" s="14"/>
      <c r="S5" s="5"/>
      <c r="U5" s="16"/>
      <c r="V5" s="16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6"/>
      <c r="V6" s="16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6"/>
      <c r="V7" s="16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6"/>
      <c r="V8" s="16"/>
    </row>
    <row r="9" spans="1:22" x14ac:dyDescent="0.25">
      <c r="A9" s="14" t="s">
        <v>36</v>
      </c>
      <c r="B9" s="14"/>
      <c r="C9" s="5"/>
      <c r="U9" s="16"/>
      <c r="V9" s="16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4" t="s">
        <v>38</v>
      </c>
      <c r="F10" s="14"/>
      <c r="G10" s="5"/>
      <c r="I10" s="14" t="s">
        <v>39</v>
      </c>
      <c r="J10" s="14"/>
      <c r="K10" s="5"/>
      <c r="M10" s="14" t="s">
        <v>40</v>
      </c>
      <c r="N10" s="14"/>
      <c r="O10" s="5">
        <f>V18</f>
        <v>0.78</v>
      </c>
      <c r="Q10" s="14" t="s">
        <v>41</v>
      </c>
      <c r="R10" s="14"/>
      <c r="S10" s="5"/>
      <c r="U10" s="16"/>
      <c r="V10" s="16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6"/>
      <c r="V11" s="16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6"/>
      <c r="V12" s="16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4" t="s">
        <v>56</v>
      </c>
      <c r="F14" s="14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4" t="s">
        <v>60</v>
      </c>
      <c r="B15" s="14"/>
      <c r="C15" s="5"/>
      <c r="E15" s="4" t="s">
        <v>61</v>
      </c>
      <c r="F15" s="4">
        <v>2.5000000000000001E-3</v>
      </c>
      <c r="G15" s="6">
        <f>$G$14*F15</f>
        <v>0</v>
      </c>
      <c r="I15" s="14" t="s">
        <v>62</v>
      </c>
      <c r="J15" s="14"/>
      <c r="K15" s="5"/>
      <c r="M15" s="14" t="s">
        <v>63</v>
      </c>
      <c r="N15" s="14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4" t="s">
        <v>74</v>
      </c>
      <c r="F18" s="14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4" t="s">
        <v>77</v>
      </c>
      <c r="R18" s="14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4" t="s">
        <v>87</v>
      </c>
      <c r="J21" s="14"/>
      <c r="K21" s="5"/>
      <c r="M21" s="14" t="s">
        <v>88</v>
      </c>
      <c r="N21" s="14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4" t="s">
        <v>90</v>
      </c>
      <c r="B22" s="14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4" t="s">
        <v>102</v>
      </c>
      <c r="F25" s="14"/>
      <c r="G25" s="5"/>
      <c r="I25" s="14" t="s">
        <v>103</v>
      </c>
      <c r="J25" s="14"/>
      <c r="K25" s="5"/>
      <c r="M25" s="4" t="s">
        <v>104</v>
      </c>
      <c r="N25" s="4">
        <v>0.36520000000000002</v>
      </c>
      <c r="O25" s="6">
        <f t="shared" si="13"/>
        <v>0</v>
      </c>
      <c r="Q25" s="14" t="s">
        <v>105</v>
      </c>
      <c r="R25" s="14"/>
      <c r="S25" s="5"/>
    </row>
    <row r="26" spans="1:22" x14ac:dyDescent="0.25">
      <c r="A26" s="14" t="s">
        <v>106</v>
      </c>
      <c r="B26" s="14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4" t="s">
        <v>117</v>
      </c>
      <c r="N28" s="14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4" t="s">
        <v>120</v>
      </c>
      <c r="J29" s="14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4" t="s">
        <v>123</v>
      </c>
      <c r="B30" s="14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4" t="s">
        <v>137</v>
      </c>
      <c r="F33" s="14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4" t="s">
        <v>140</v>
      </c>
      <c r="R33" s="14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4" t="s">
        <v>154</v>
      </c>
      <c r="B37" s="14"/>
      <c r="C37" s="5"/>
      <c r="E37" s="4" t="s">
        <v>155</v>
      </c>
      <c r="F37" s="4">
        <v>0.27329999999999999</v>
      </c>
      <c r="G37" s="6">
        <f t="shared" si="19"/>
        <v>0</v>
      </c>
      <c r="M37" s="14" t="s">
        <v>156</v>
      </c>
      <c r="N37" s="14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4" t="s">
        <v>160</v>
      </c>
      <c r="J38" s="14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4" t="s">
        <v>166</v>
      </c>
      <c r="R39" s="14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4" t="s">
        <v>170</v>
      </c>
      <c r="B41" s="14"/>
      <c r="C41" s="5"/>
      <c r="E41" s="14" t="s">
        <v>171</v>
      </c>
      <c r="F41" s="14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4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4" t="s">
        <v>201</v>
      </c>
      <c r="R47" s="14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4" t="s">
        <v>204</v>
      </c>
      <c r="J48" s="14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4" t="s">
        <v>209</v>
      </c>
      <c r="N49" s="14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4" t="s">
        <v>214</v>
      </c>
      <c r="B51" s="14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4" t="s">
        <v>217</v>
      </c>
      <c r="R51" s="14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4" t="s">
        <v>219</v>
      </c>
      <c r="F52" s="14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4" t="s">
        <v>243</v>
      </c>
      <c r="J57" s="14"/>
      <c r="K57" s="5"/>
      <c r="Q57" s="14" t="s">
        <v>244</v>
      </c>
      <c r="R57" s="14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4" t="s">
        <v>248</v>
      </c>
      <c r="N58" s="14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4" t="s">
        <v>254</v>
      </c>
      <c r="B60" s="14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4" t="s">
        <v>259</v>
      </c>
      <c r="F61" s="14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4" t="s">
        <v>272</v>
      </c>
      <c r="B64" s="14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4" t="s">
        <v>281</v>
      </c>
      <c r="J66" s="14"/>
      <c r="K66" s="5"/>
      <c r="M66" s="14" t="s">
        <v>282</v>
      </c>
      <c r="N66" s="14"/>
      <c r="O66" s="5"/>
      <c r="Q66" s="14" t="s">
        <v>283</v>
      </c>
      <c r="R66" s="14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4" t="s">
        <v>288</v>
      </c>
      <c r="B68" s="14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4" t="s">
        <v>293</v>
      </c>
      <c r="F69" s="14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4" t="s">
        <v>296</v>
      </c>
      <c r="J70" s="14"/>
      <c r="K70" s="5"/>
      <c r="M70" s="14" t="s">
        <v>297</v>
      </c>
      <c r="N70" s="14"/>
      <c r="O70" s="5"/>
      <c r="Q70" s="14" t="s">
        <v>298</v>
      </c>
      <c r="R70" s="14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4" t="s">
        <v>317</v>
      </c>
      <c r="R74" s="14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4" t="s">
        <v>322</v>
      </c>
      <c r="F76" s="14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4" t="s">
        <v>326</v>
      </c>
      <c r="B77" s="14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D6C09FC6-787D-2047-80C4-D39A12F1973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Calculator</vt:lpstr>
      <vt:lpstr>Concrete, Regular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  <vt:lpstr>UZrH_Wet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 Garcia</cp:lastModifiedBy>
  <cp:revision/>
  <dcterms:created xsi:type="dcterms:W3CDTF">2022-02-11T04:22:50Z</dcterms:created>
  <dcterms:modified xsi:type="dcterms:W3CDTF">2025-03-24T18:22:49Z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