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761bce209af5ea/Documents/SNAP-REACTORS/snapReactors/reference_calc/"/>
    </mc:Choice>
  </mc:AlternateContent>
  <xr:revisionPtr revIDLastSave="0" documentId="13_ncr:1_{1007FB5E-A9A6-4EC6-924A-FF75BD0D05AE}" xr6:coauthVersionLast="47" xr6:coauthVersionMax="47" xr10:uidLastSave="{00000000-0000-0000-0000-000000000000}"/>
  <bookViews>
    <workbookView xWindow="-98" yWindow="-98" windowWidth="21795" windowHeight="12975" firstSheet="4" activeTab="12" xr2:uid="{81BEF129-3FF4-8B4D-B629-A8811C0FB0A3}"/>
  </bookViews>
  <sheets>
    <sheet name="Master Calculator" sheetId="1" r:id="rId1"/>
    <sheet name="Concrete, Regular" sheetId="18" r:id="rId2"/>
    <sheet name="316 SS" sheetId="3" r:id="rId3"/>
    <sheet name="HasteC" sheetId="11" r:id="rId4"/>
    <sheet name="HasteN" sheetId="12" r:id="rId5"/>
    <sheet name="AI-8763D" sheetId="13" r:id="rId6"/>
    <sheet name="BeO" sheetId="5" r:id="rId7"/>
    <sheet name="Be" sheetId="7" r:id="rId8"/>
    <sheet name="NaK" sheetId="8" r:id="rId9"/>
    <sheet name="Sm2O3" sheetId="10" r:id="rId10"/>
    <sheet name="Hg Coolant" sheetId="14" r:id="rId11"/>
    <sheet name="UZrH" sheetId="16" r:id="rId12"/>
    <sheet name="UZrH Critical" sheetId="1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8" l="1"/>
  <c r="S5" i="18"/>
  <c r="S10" i="18"/>
  <c r="S14" i="18"/>
  <c r="S16" i="18"/>
  <c r="G5" i="18"/>
  <c r="C1" i="18"/>
  <c r="C9" i="3"/>
  <c r="G79" i="18"/>
  <c r="C79" i="18"/>
  <c r="S78" i="18"/>
  <c r="G78" i="18"/>
  <c r="C78" i="18"/>
  <c r="S77" i="18"/>
  <c r="O77" i="18"/>
  <c r="G77" i="18"/>
  <c r="S76" i="18"/>
  <c r="O76" i="18"/>
  <c r="K76" i="18"/>
  <c r="S75" i="18"/>
  <c r="O75" i="18"/>
  <c r="K75" i="18"/>
  <c r="C75" i="18"/>
  <c r="O74" i="18"/>
  <c r="K74" i="18"/>
  <c r="G74" i="18"/>
  <c r="C74" i="18"/>
  <c r="O73" i="18"/>
  <c r="K73" i="18"/>
  <c r="G73" i="18"/>
  <c r="C73" i="18"/>
  <c r="S72" i="18"/>
  <c r="R72" i="18"/>
  <c r="O72" i="18"/>
  <c r="K72" i="18"/>
  <c r="G72" i="18"/>
  <c r="C72" i="18"/>
  <c r="S71" i="18"/>
  <c r="R71" i="18"/>
  <c r="O71" i="18"/>
  <c r="K71" i="18"/>
  <c r="G71" i="18"/>
  <c r="C71" i="18"/>
  <c r="G70" i="18"/>
  <c r="C70" i="18"/>
  <c r="C69" i="18"/>
  <c r="S68" i="18"/>
  <c r="O68" i="18"/>
  <c r="K68" i="18"/>
  <c r="S67" i="18"/>
  <c r="O67" i="18"/>
  <c r="K67" i="18"/>
  <c r="G67" i="18"/>
  <c r="G66" i="18"/>
  <c r="C66" i="18"/>
  <c r="G65" i="18"/>
  <c r="C65" i="18"/>
  <c r="S64" i="18"/>
  <c r="O64" i="18"/>
  <c r="K64" i="18"/>
  <c r="G64" i="18"/>
  <c r="S63" i="18"/>
  <c r="O63" i="18"/>
  <c r="K63" i="18"/>
  <c r="G63" i="18"/>
  <c r="S62" i="18"/>
  <c r="O62" i="18"/>
  <c r="K62" i="18"/>
  <c r="G62" i="18"/>
  <c r="C62" i="18"/>
  <c r="S61" i="18"/>
  <c r="O61" i="18"/>
  <c r="K61" i="18"/>
  <c r="C61" i="18"/>
  <c r="S60" i="18"/>
  <c r="O60" i="18"/>
  <c r="K60" i="18"/>
  <c r="S59" i="18"/>
  <c r="O59" i="18"/>
  <c r="K59" i="18"/>
  <c r="G59" i="18"/>
  <c r="S58" i="18"/>
  <c r="K58" i="18"/>
  <c r="G58" i="18"/>
  <c r="C58" i="18"/>
  <c r="G57" i="18"/>
  <c r="C57" i="18"/>
  <c r="O56" i="18"/>
  <c r="G56" i="18"/>
  <c r="C56" i="18"/>
  <c r="S55" i="18"/>
  <c r="O55" i="18"/>
  <c r="K55" i="18"/>
  <c r="G55" i="18"/>
  <c r="C55" i="18"/>
  <c r="S54" i="18"/>
  <c r="O54" i="18"/>
  <c r="K54" i="18"/>
  <c r="G54" i="18"/>
  <c r="C54" i="18"/>
  <c r="S53" i="18"/>
  <c r="O53" i="18"/>
  <c r="K53" i="18"/>
  <c r="G53" i="18"/>
  <c r="C53" i="18"/>
  <c r="S52" i="18"/>
  <c r="O52" i="18"/>
  <c r="K52" i="18"/>
  <c r="C52" i="18"/>
  <c r="O51" i="18"/>
  <c r="K51" i="18"/>
  <c r="O50" i="18"/>
  <c r="K50" i="18"/>
  <c r="G50" i="18"/>
  <c r="S49" i="18"/>
  <c r="K49" i="18"/>
  <c r="G49" i="18"/>
  <c r="C49" i="18"/>
  <c r="S48" i="18"/>
  <c r="G48" i="18"/>
  <c r="C48" i="18"/>
  <c r="O47" i="18"/>
  <c r="G47" i="18"/>
  <c r="C47" i="18"/>
  <c r="O46" i="18"/>
  <c r="K46" i="18"/>
  <c r="G46" i="18"/>
  <c r="C46" i="18"/>
  <c r="S45" i="18"/>
  <c r="O45" i="18"/>
  <c r="K45" i="18"/>
  <c r="G45" i="18"/>
  <c r="C45" i="18"/>
  <c r="S44" i="18"/>
  <c r="O44" i="18"/>
  <c r="K44" i="18"/>
  <c r="G44" i="18"/>
  <c r="C44" i="18"/>
  <c r="O43" i="18"/>
  <c r="K43" i="18"/>
  <c r="G43" i="18"/>
  <c r="C43" i="18"/>
  <c r="O42" i="18"/>
  <c r="K42" i="18"/>
  <c r="G42" i="18"/>
  <c r="C42" i="18"/>
  <c r="S41" i="18"/>
  <c r="O41" i="18"/>
  <c r="K41" i="18"/>
  <c r="S40" i="18"/>
  <c r="O40" i="18"/>
  <c r="K40" i="18"/>
  <c r="O39" i="18"/>
  <c r="K39" i="18"/>
  <c r="G39" i="18"/>
  <c r="C39" i="18"/>
  <c r="O38" i="18"/>
  <c r="G38" i="18"/>
  <c r="C38" i="18"/>
  <c r="S37" i="18"/>
  <c r="G37" i="18"/>
  <c r="S36" i="18"/>
  <c r="K36" i="18"/>
  <c r="G36" i="18"/>
  <c r="S35" i="18"/>
  <c r="O35" i="18"/>
  <c r="K35" i="18"/>
  <c r="G35" i="18"/>
  <c r="C35" i="18"/>
  <c r="S34" i="18"/>
  <c r="O34" i="18"/>
  <c r="K34" i="18"/>
  <c r="G34" i="18"/>
  <c r="C34" i="18"/>
  <c r="O33" i="18"/>
  <c r="K33" i="18"/>
  <c r="C33" i="18"/>
  <c r="O32" i="18"/>
  <c r="K32" i="18"/>
  <c r="C32" i="18"/>
  <c r="S31" i="18"/>
  <c r="O31" i="18"/>
  <c r="K31" i="18"/>
  <c r="G31" i="18"/>
  <c r="C31" i="18"/>
  <c r="S30" i="18"/>
  <c r="O30" i="18"/>
  <c r="K30" i="18"/>
  <c r="G30" i="18"/>
  <c r="S29" i="18"/>
  <c r="O29" i="18"/>
  <c r="G29" i="18"/>
  <c r="S28" i="18"/>
  <c r="G28" i="18"/>
  <c r="B28" i="18"/>
  <c r="C28" i="18" s="1"/>
  <c r="S27" i="18"/>
  <c r="K27" i="18"/>
  <c r="G27" i="18"/>
  <c r="C27" i="18"/>
  <c r="B27" i="18"/>
  <c r="S26" i="18"/>
  <c r="O26" i="18"/>
  <c r="K26" i="18"/>
  <c r="G26" i="18"/>
  <c r="O25" i="18"/>
  <c r="O24" i="18"/>
  <c r="C24" i="18"/>
  <c r="S23" i="18"/>
  <c r="O23" i="18"/>
  <c r="K23" i="18"/>
  <c r="G23" i="18"/>
  <c r="C23" i="18"/>
  <c r="S22" i="18"/>
  <c r="O22" i="18"/>
  <c r="K22" i="18"/>
  <c r="G22" i="18"/>
  <c r="S21" i="18"/>
  <c r="G21" i="18"/>
  <c r="S20" i="18"/>
  <c r="G20" i="18"/>
  <c r="C20" i="18"/>
  <c r="S19" i="18"/>
  <c r="O19" i="18"/>
  <c r="K19" i="18"/>
  <c r="G19" i="18"/>
  <c r="C19" i="18"/>
  <c r="O18" i="18"/>
  <c r="K18" i="18"/>
  <c r="C18" i="18"/>
  <c r="O17" i="18"/>
  <c r="K17" i="18"/>
  <c r="C17" i="18"/>
  <c r="O16" i="18"/>
  <c r="K16" i="18"/>
  <c r="G16" i="18"/>
  <c r="C16" i="18"/>
  <c r="S15" i="18"/>
  <c r="G15" i="18"/>
  <c r="S13" i="18"/>
  <c r="O13" i="18"/>
  <c r="K13" i="18"/>
  <c r="C13" i="18"/>
  <c r="S12" i="18"/>
  <c r="O12" i="18"/>
  <c r="K12" i="18"/>
  <c r="F12" i="18"/>
  <c r="G12" i="18" s="1"/>
  <c r="C12" i="18"/>
  <c r="S11" i="18"/>
  <c r="O11" i="18"/>
  <c r="K11" i="18"/>
  <c r="F11" i="18"/>
  <c r="G11" i="18" s="1"/>
  <c r="C11" i="18"/>
  <c r="C10" i="18"/>
  <c r="S8" i="18"/>
  <c r="O8" i="18"/>
  <c r="K8" i="18"/>
  <c r="G8" i="18"/>
  <c r="S7" i="18"/>
  <c r="O7" i="18"/>
  <c r="K7" i="18"/>
  <c r="G7" i="18"/>
  <c r="B7" i="18"/>
  <c r="C7" i="18" s="1"/>
  <c r="S6" i="18"/>
  <c r="O6" i="18"/>
  <c r="K6" i="18"/>
  <c r="G6" i="18"/>
  <c r="B6" i="18"/>
  <c r="C6" i="18" s="1"/>
  <c r="R3" i="18"/>
  <c r="S3" i="18" s="1"/>
  <c r="N3" i="18"/>
  <c r="O3" i="18" s="1"/>
  <c r="J3" i="18"/>
  <c r="K3" i="18" s="1"/>
  <c r="G3" i="18"/>
  <c r="B3" i="18"/>
  <c r="C3" i="18" s="1"/>
  <c r="R2" i="18"/>
  <c r="S2" i="18" s="1"/>
  <c r="N2" i="18"/>
  <c r="O2" i="18" s="1"/>
  <c r="J2" i="18"/>
  <c r="K2" i="18" s="1"/>
  <c r="G2" i="18"/>
  <c r="B2" i="18"/>
  <c r="C2" i="18" s="1"/>
  <c r="F97" i="17"/>
  <c r="F121" i="17"/>
  <c r="F120" i="17"/>
  <c r="F119" i="17"/>
  <c r="F117" i="17"/>
  <c r="F109" i="17"/>
  <c r="F118" i="17"/>
  <c r="F96" i="17"/>
  <c r="E100" i="17"/>
  <c r="B95" i="17"/>
  <c r="F111" i="17"/>
  <c r="F106" i="17"/>
  <c r="F107" i="17"/>
  <c r="I94" i="17"/>
  <c r="G97" i="17" l="1"/>
  <c r="G96" i="17"/>
  <c r="F98" i="17"/>
  <c r="G86" i="17"/>
  <c r="G94" i="17"/>
  <c r="F86" i="17"/>
  <c r="F103" i="17"/>
  <c r="F90" i="17"/>
  <c r="G89" i="17"/>
  <c r="G88" i="17"/>
  <c r="F88" i="17"/>
  <c r="G87" i="17"/>
  <c r="F87" i="17"/>
  <c r="F93" i="17"/>
  <c r="B90" i="17"/>
  <c r="B94" i="17"/>
  <c r="B96" i="17"/>
  <c r="B105" i="17"/>
  <c r="C30" i="17" s="1"/>
  <c r="C1" i="17"/>
  <c r="C3" i="17" s="1"/>
  <c r="B98" i="17"/>
  <c r="B97" i="17"/>
  <c r="B82" i="17"/>
  <c r="B88" i="17"/>
  <c r="B87" i="17"/>
  <c r="B85" i="17"/>
  <c r="B91" i="17"/>
  <c r="B92" i="17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G98" i="17" l="1"/>
  <c r="F105" i="17"/>
  <c r="F104" i="17" s="1"/>
  <c r="H104" i="17" s="1"/>
  <c r="J107" i="17" s="1"/>
  <c r="G101" i="17"/>
  <c r="C34" i="17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<sst xmlns="http://schemas.openxmlformats.org/spreadsheetml/2006/main" count="4518" uniqueCount="433">
  <si>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</si>
  <si>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</si>
  <si>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</si>
  <si>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</si>
  <si>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</si>
  <si>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</si>
  <si>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</si>
  <si>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</si>
  <si>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</si>
  <si>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</si>
  <si>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</si>
  <si>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</si>
  <si>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</si>
  <si>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</si>
  <si>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</si>
  <si>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</si>
  <si>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</si>
  <si>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</si>
  <si>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</si>
  <si>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</si>
  <si>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</si>
  <si>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</si>
  <si>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</si>
  <si>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</si>
  <si>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</si>
  <si>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</si>
  <si>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</si>
  <si>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</si>
  <si>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</si>
  <si>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</si>
  <si>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</si>
  <si>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</si>
  <si>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</si>
  <si>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</si>
  <si>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</si>
  <si>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</si>
  <si>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</si>
  <si>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</si>
  <si>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</si>
  <si>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</si>
  <si>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</si>
  <si>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</si>
  <si>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</si>
  <si>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</si>
  <si>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</si>
  <si>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</si>
  <si>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</si>
  <si>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</si>
  <si>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</si>
  <si>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</si>
  <si>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</si>
  <si>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</si>
  <si>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</si>
  <si>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</si>
  <si>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</si>
  <si>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</si>
  <si>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</si>
  <si>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</si>
  <si>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</si>
  <si>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</si>
  <si>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</si>
  <si>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</si>
  <si>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</si>
  <si>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</si>
  <si>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</si>
  <si>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</si>
  <si>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</si>
  <si>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</si>
  <si>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</si>
  <si>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</si>
  <si>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</si>
  <si>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</si>
  <si>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</si>
  <si>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</si>
  <si>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</si>
  <si>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</si>
  <si>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</si>
  <si>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</si>
  <si>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</si>
  <si>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</si>
  <si>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</si>
  <si>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</si>
  <si>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</si>
  <si>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</si>
  <si>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</si>
  <si>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</si>
  <si>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</si>
  <si>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</si>
  <si>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</si>
  <si>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</si>
  <si>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</si>
  <si>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</si>
  <si>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</si>
  <si>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</si>
  <si>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</si>
  <si>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</si>
  <si>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</si>
  <si>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</si>
  <si>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</si>
  <si>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</si>
  <si>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</si>
  <si>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</si>
  <si>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</si>
  <si>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</si>
  <si>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</si>
  <si>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</si>
  <si>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</si>
  <si>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</si>
  <si>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</si>
  <si>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</si>
  <si>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</si>
  <si>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</si>
  <si>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</si>
  <si>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</si>
  <si>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</si>
  <si>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</si>
  <si>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</si>
  <si>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</si>
  <si>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</si>
  <si>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</si>
  <si>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</si>
  <si>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</si>
  <si>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</si>
  <si>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</si>
  <si>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</si>
  <si>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</si>
  <si>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</si>
  <si>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</si>
  <si>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</si>
  <si>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</si>
  <si>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</si>
  <si>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</si>
  <si>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</si>
  <si>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</si>
  <si>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</si>
  <si>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</si>
  <si>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</si>
  <si>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</si>
  <si>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</si>
  <si>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</si>
  <si>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</si>
  <si>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</si>
  <si>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</si>
  <si>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</si>
  <si>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</si>
  <si>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</si>
  <si>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</si>
  <si>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</si>
  <si>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</si>
  <si>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</si>
  <si>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</si>
  <si>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</si>
  <si>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</si>
  <si>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</si>
  <si>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</si>
  <si>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</si>
  <si>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</si>
  <si>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</si>
  <si>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</si>
  <si>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</si>
  <si>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</si>
  <si>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</si>
  <si>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</si>
  <si>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</si>
  <si>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</si>
  <si>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</si>
  <si>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</si>
  <si>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</si>
  <si>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</si>
  <si>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</si>
  <si>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</si>
  <si>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</si>
  <si>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</si>
  <si>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</si>
  <si>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</si>
  <si>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</si>
  <si>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</si>
  <si>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</si>
  <si>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</si>
  <si>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</si>
  <si>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</si>
  <si>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</si>
  <si>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</si>
  <si>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</si>
  <si>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</si>
  <si>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</si>
  <si>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</si>
  <si>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</si>
  <si>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</si>
  <si>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</si>
  <si>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</si>
  <si>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</si>
  <si>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</si>
  <si>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</si>
  <si>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</si>
  <si>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</si>
  <si>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</si>
  <si>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</si>
  <si>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</si>
  <si>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</si>
  <si>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</si>
  <si>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</si>
  <si>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</si>
  <si>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</si>
  <si>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</si>
  <si>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</si>
  <si>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</si>
  <si>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</si>
  <si>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</si>
  <si>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</si>
  <si>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</si>
  <si>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</si>
  <si>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</si>
  <si>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</si>
  <si>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</si>
  <si>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</si>
  <si>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</si>
  <si>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</si>
  <si>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</si>
  <si>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</si>
  <si>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</si>
  <si>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</si>
  <si>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</si>
  <si>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</si>
  <si>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</si>
  <si>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</si>
  <si>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</si>
  <si>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</si>
  <si>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</si>
  <si>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</si>
  <si>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</si>
  <si>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</si>
  <si>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</si>
  <si>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</si>
  <si>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</si>
  <si>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</si>
  <si>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</si>
  <si>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</si>
  <si>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</si>
  <si>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</si>
  <si>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</si>
  <si>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</si>
  <si>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</si>
  <si>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</si>
  <si>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</si>
  <si>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</si>
  <si>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</si>
  <si>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</si>
  <si>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</si>
  <si>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</si>
  <si>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</si>
  <si>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</si>
  <si>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</si>
  <si>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</si>
  <si>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</si>
  <si>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</si>
  <si>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</si>
  <si>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</si>
  <si>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</si>
  <si>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</si>
  <si>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</si>
  <si>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</si>
  <si>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</si>
  <si>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</si>
  <si>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</si>
  <si>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</si>
  <si>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</si>
  <si>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</si>
  <si>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</si>
  <si>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</si>
  <si>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</si>
  <si>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</si>
  <si>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</si>
  <si>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</si>
  <si>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</si>
  <si>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</si>
  <si>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</si>
  <si>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</si>
  <si>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</si>
  <si>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</si>
  <si>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</si>
  <si>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</si>
  <si>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</si>
  <si>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</si>
  <si>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</si>
  <si>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</si>
  <si>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</si>
  <si>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</si>
  <si>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</si>
  <si>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</si>
  <si>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</si>
  <si>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</si>
  <si>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</si>
  <si>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</si>
  <si>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</si>
  <si>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</si>
  <si>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</si>
  <si>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</si>
  <si>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</si>
  <si>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</si>
  <si>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</si>
  <si>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</si>
  <si>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</si>
  <si>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</si>
  <si>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</si>
  <si>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</si>
  <si>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</si>
  <si>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</si>
  <si>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</si>
  <si>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</si>
  <si>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</si>
  <si>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</si>
  <si>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</si>
  <si>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</si>
  <si>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</si>
  <si>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</si>
  <si>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</si>
  <si>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</si>
  <si>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</si>
  <si>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</si>
  <si>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</si>
  <si>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</si>
  <si>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</si>
  <si>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</si>
  <si>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</si>
  <si>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</si>
  <si>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</si>
  <si>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</si>
  <si>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</si>
  <si>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</si>
  <si>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</si>
  <si>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</si>
  <si>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</si>
  <si>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</si>
  <si>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</si>
  <si>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</si>
  <si>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</si>
  <si>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</si>
  <si>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</si>
  <si>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</si>
  <si>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</si>
  <si>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</si>
  <si>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</si>
  <si>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</si>
  <si>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</si>
  <si>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</si>
  <si>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</si>
  <si>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</si>
  <si>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</si>
  <si>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</si>
  <si>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</si>
  <si>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</si>
  <si>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</si>
  <si>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</si>
  <si>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</si>
  <si>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</si>
  <si>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</si>
  <si>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</si>
  <si>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</si>
  <si>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</si>
  <si>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</si>
  <si>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</si>
  <si>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</si>
  <si>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</si>
  <si>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</si>
  <si>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</si>
  <si>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</si>
  <si>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</si>
  <si>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</si>
  <si>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</si>
  <si>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</si>
  <si>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</si>
  <si>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</si>
  <si>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</si>
  <si>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</si>
  <si>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</si>
  <si>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</si>
  <si>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</si>
  <si>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</si>
  <si>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</si>
  <si>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</si>
  <si>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</si>
  <si>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</si>
  <si>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</si>
  <si>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</si>
  <si>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</si>
  <si>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</si>
  <si>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</si>
  <si>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</si>
  <si>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</si>
  <si>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</si>
  <si>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</si>
  <si>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</si>
  <si>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</si>
  <si>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</si>
  <si>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</si>
  <si>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</si>
  <si>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</si>
  <si>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</si>
  <si>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</si>
  <si>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</si>
  <si>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</si>
  <si>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</si>
  <si>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</si>
  <si>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</si>
  <si>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</si>
  <si>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</si>
  <si>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</si>
  <si>
    <t>Sm2O3 Mass [g]</t>
  </si>
  <si>
    <t>Sm2O3 Mass per element</t>
  </si>
  <si>
    <t>Clad outer radius</t>
  </si>
  <si>
    <t>ceramic thickness</t>
  </si>
  <si>
    <t>He gap</t>
  </si>
  <si>
    <t>check</t>
  </si>
  <si>
    <t>fuel radius</t>
  </si>
  <si>
    <t>fuel+gap</t>
  </si>
  <si>
    <t>fuel+gap+ceramic</t>
  </si>
  <si>
    <t>clad thickness</t>
  </si>
  <si>
    <t>cm per inch</t>
  </si>
  <si>
    <t>Sm2O3 Linear Density [mg/in] [g/cm]</t>
  </si>
  <si>
    <t>Sm2O3 Density [Handbook of Chemistry and Physics] [g/cm^3]</t>
  </si>
  <si>
    <t>Sm2O3 Area [cm^2]</t>
  </si>
  <si>
    <t>Outer radius of Poison</t>
  </si>
  <si>
    <t>Inner Radius [r_i^2=R_o^2-Area/pi]</t>
  </si>
  <si>
    <t>""+clad</t>
  </si>
  <si>
    <t>fuel+gap+ceramic+poison</t>
  </si>
  <si>
    <t>i</t>
  </si>
  <si>
    <t>thickness up top</t>
  </si>
  <si>
    <t>radial poison mass</t>
  </si>
  <si>
    <t>Total poison mass minus radial (I.e. axial mass)</t>
  </si>
  <si>
    <t>Volume</t>
  </si>
  <si>
    <t>poison thickness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</si>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</sst>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A15:B15"/>
    <mergeCell ref="E14:F14"/>
    <mergeCell ref="I15:J15"/>
    <mergeCell ref="M15:N15"/>
    <mergeCell ref="Q18:R18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A60:B60"/>
    <mergeCell ref="I57:J57"/>
    <mergeCell ref="M58:N58"/>
    <mergeCell ref="Q57:R57"/>
    <mergeCell ref="A64:B64"/>
    <mergeCell ref="E61:F61"/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>
        <f>V19</f>
        <v>0.13764179787576325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386</v>
      </c>
      <c r="V18">
        <f>2*150.36/(2*150.36+3*15.9994)</f>
        <v>0.86235820212423675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2.6560632625426493E-2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A3CDC989-7A3E-5B4C-9223-0F34C2FD60C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>
        <v>1</v>
      </c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  <mergeCell ref="A9:B9"/>
    <mergeCell ref="E18:F18"/>
    <mergeCell ref="Q18:R18"/>
    <mergeCell ref="A15:B15"/>
    <mergeCell ref="I15:J15"/>
    <mergeCell ref="M15:N15"/>
    <mergeCell ref="E14:F14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76" zoomScale="90" zoomScaleNormal="90" workbookViewId="0">
      <selection activeCell="G93" sqref="G93"/>
    </sheetView>
  </sheetViews>
  <sheetFormatPr defaultColWidth="11" defaultRowHeight="15.75" x14ac:dyDescent="0.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5">
      <c r="A1" s="12" t="s">
        <v>0</v>
      </c>
      <c r="B1" s="12"/>
      <c r="C1" s="5">
        <f>6E+22/1E+24</f>
        <v>0.06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6.2119358000000012E-3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4" x14ac:dyDescent="0.5">
      <c r="A84" s="10"/>
      <c r="B84" s="10"/>
      <c r="C84" s="10"/>
      <c r="D84" s="10"/>
    </row>
    <row r="85" spans="1:4" x14ac:dyDescent="0.5">
      <c r="A85" s="10" t="s">
        <v>388</v>
      </c>
      <c r="B85" s="10">
        <v>6560</v>
      </c>
      <c r="C85" s="10"/>
      <c r="D85" s="10"/>
    </row>
    <row r="86" spans="1:4" x14ac:dyDescent="0.5">
      <c r="A86" s="10" t="s">
        <v>389</v>
      </c>
      <c r="B86" s="10">
        <v>211</v>
      </c>
      <c r="C86" s="10"/>
      <c r="D86" s="10"/>
    </row>
    <row r="87" spans="1:4" x14ac:dyDescent="0.5">
      <c r="A87" s="10" t="s">
        <v>390</v>
      </c>
      <c r="B87" s="10">
        <v>31.090047389999999</v>
      </c>
      <c r="C87" s="10"/>
      <c r="D87" s="10"/>
    </row>
    <row r="88" spans="1:4" x14ac:dyDescent="0.5">
      <c r="A88" s="10" t="s">
        <v>391</v>
      </c>
      <c r="B88" s="10">
        <f>0.532/2</f>
        <v>0.26600000000000001</v>
      </c>
      <c r="C88" s="10"/>
      <c r="D88" s="10"/>
    </row>
    <row r="89" spans="1:4" x14ac:dyDescent="0.5">
      <c r="A89" s="10" t="s">
        <v>392</v>
      </c>
      <c r="B89" s="10">
        <v>14</v>
      </c>
      <c r="C89" s="10"/>
      <c r="D89" s="10"/>
    </row>
    <row r="90" spans="1:4" x14ac:dyDescent="0.5">
      <c r="A90" s="10" t="s">
        <v>393</v>
      </c>
      <c r="B90" s="10">
        <f>B88*B83</f>
        <v>0.67564000000000002</v>
      </c>
      <c r="C90" s="10"/>
      <c r="D90" s="10"/>
    </row>
    <row r="91" spans="1:4" x14ac:dyDescent="0.5">
      <c r="A91" s="10" t="s">
        <v>394</v>
      </c>
      <c r="B91" s="10">
        <f>B89*B83</f>
        <v>35.56</v>
      </c>
      <c r="C91" s="10"/>
      <c r="D91" s="10"/>
    </row>
    <row r="92" spans="1:4" x14ac:dyDescent="0.5">
      <c r="A92" s="10" t="s">
        <v>395</v>
      </c>
      <c r="B92" s="10">
        <f>PI()*B90^2*B91</f>
        <v>50.996730261790482</v>
      </c>
      <c r="D92" s="10"/>
    </row>
    <row r="93" spans="1:4" x14ac:dyDescent="0.5">
      <c r="A93" s="10"/>
      <c r="B93" s="10"/>
      <c r="C93" s="10"/>
      <c r="D93" s="10"/>
    </row>
    <row r="94" spans="1:4" x14ac:dyDescent="0.5">
      <c r="A94" s="10" t="s">
        <v>396</v>
      </c>
      <c r="B94" s="10">
        <v>0.60964785799999999</v>
      </c>
      <c r="C94" s="10"/>
      <c r="D94" s="10"/>
    </row>
    <row r="95" spans="1:4" x14ac:dyDescent="0.5">
      <c r="A95" s="10" t="s">
        <v>397</v>
      </c>
      <c r="B95" s="10">
        <v>0.56788698000000004</v>
      </c>
      <c r="C95" s="11"/>
      <c r="D95" s="10"/>
    </row>
    <row r="96" spans="1:4" x14ac:dyDescent="0.5">
      <c r="A96" s="10" t="s">
        <v>398</v>
      </c>
      <c r="B96" s="11">
        <f>1.45501E+21/1E+24</f>
        <v>1.4550099999999999E-3</v>
      </c>
      <c r="C96" s="10"/>
      <c r="D96" s="10"/>
    </row>
    <row r="97" spans="1:4" x14ac:dyDescent="0.5">
      <c r="A97" s="10" t="s">
        <v>399</v>
      </c>
      <c r="B97" s="10">
        <v>4.1760878000000001E-2</v>
      </c>
      <c r="C97" s="10"/>
      <c r="D97" s="10"/>
    </row>
    <row r="98" spans="1:4" x14ac:dyDescent="0.5">
      <c r="A98" s="10" t="s">
        <v>400</v>
      </c>
      <c r="B98" s="11">
        <f>105656000000000000000/1E+24</f>
        <v>1.0565600000000001E-4</v>
      </c>
      <c r="C98" s="10"/>
      <c r="D98" s="10"/>
    </row>
    <row r="99" spans="1:4" x14ac:dyDescent="0.5">
      <c r="A99" s="10"/>
      <c r="B99" s="10"/>
      <c r="C99" s="10"/>
      <c r="D99" s="10"/>
    </row>
    <row r="100" spans="1:4" x14ac:dyDescent="0.5">
      <c r="A100" s="10" t="s">
        <v>401</v>
      </c>
      <c r="B100" s="10">
        <v>310.90047390000001</v>
      </c>
      <c r="C100" s="10"/>
      <c r="D100" s="10"/>
    </row>
    <row r="101" spans="1:4" x14ac:dyDescent="0.5">
      <c r="A101" s="10" t="s">
        <v>402</v>
      </c>
      <c r="B101" s="10">
        <v>6.0964785849999998</v>
      </c>
      <c r="C101" s="10">
        <v>6096.4785849999998</v>
      </c>
      <c r="D101" s="10"/>
    </row>
    <row r="102" spans="1:4" x14ac:dyDescent="0.5">
      <c r="A102" s="10"/>
      <c r="B102" s="10"/>
      <c r="C102" s="10"/>
      <c r="D102" s="10"/>
    </row>
    <row r="103" spans="1:4" x14ac:dyDescent="0.5">
      <c r="A103" s="10" t="s">
        <v>403</v>
      </c>
      <c r="B103" s="10">
        <v>279.81042650000001</v>
      </c>
      <c r="C103" s="10"/>
      <c r="D103" s="10"/>
    </row>
    <row r="104" spans="1:4" x14ac:dyDescent="0.5">
      <c r="A104" s="10" t="s">
        <v>404</v>
      </c>
      <c r="B104" s="10">
        <v>5.486830726</v>
      </c>
      <c r="C104" s="10"/>
      <c r="D104" s="10"/>
    </row>
    <row r="105" spans="1:4" x14ac:dyDescent="0.5">
      <c r="A105" s="10" t="s">
        <v>405</v>
      </c>
      <c r="B105" s="11">
        <v>3.6221200000000002E+22</v>
      </c>
      <c r="C105" s="10"/>
      <c r="D105" s="10"/>
    </row>
    <row r="106" spans="1:4" x14ac:dyDescent="0.5">
      <c r="A106" s="10"/>
      <c r="B106" s="10"/>
      <c r="C106" s="10"/>
      <c r="D106" s="10"/>
    </row>
    <row r="107" spans="1:4" x14ac:dyDescent="0.5">
      <c r="A107" s="10" t="s">
        <v>128</v>
      </c>
      <c r="B107" s="11">
        <f>C31</f>
        <v>1.8635807399999999E-2</v>
      </c>
      <c r="C107" s="10"/>
      <c r="D107" s="10"/>
    </row>
    <row r="108" spans="1:4" x14ac:dyDescent="0.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A9:B9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M15:N15"/>
    <mergeCell ref="E14:F14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21"/>
  <sheetViews>
    <sheetView tabSelected="1" topLeftCell="A78" zoomScale="90" zoomScaleNormal="90" workbookViewId="0">
      <selection activeCell="C94" sqref="C94"/>
    </sheetView>
  </sheetViews>
  <sheetFormatPr defaultColWidth="11" defaultRowHeight="15.75" x14ac:dyDescent="0.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5">
      <c r="A1" s="12" t="s">
        <v>0</v>
      </c>
      <c r="B1" s="12"/>
      <c r="C1" s="5">
        <f>6.06E+22/1E+24</f>
        <v>6.0600000000000001E-2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6.0591213000000005E-2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8.7870000000000007E-6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6.0125882352941185E-3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5">
      <c r="A82" t="s">
        <v>406</v>
      </c>
      <c r="B82">
        <f>0.9315</f>
        <v>0.93149999999999999</v>
      </c>
    </row>
    <row r="83" spans="1:9" x14ac:dyDescent="0.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5">
      <c r="A84" s="10"/>
      <c r="B84" s="10"/>
      <c r="C84" s="10"/>
      <c r="D84" s="10"/>
    </row>
    <row r="85" spans="1:9" x14ac:dyDescent="0.5">
      <c r="A85" s="10" t="s">
        <v>388</v>
      </c>
      <c r="B85" s="10">
        <f>6.44*1000</f>
        <v>6440</v>
      </c>
      <c r="C85" s="10"/>
      <c r="D85" s="10"/>
    </row>
    <row r="86" spans="1:9" x14ac:dyDescent="0.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5">
      <c r="A87" s="10" t="s">
        <v>390</v>
      </c>
      <c r="B87" s="10">
        <f>B85/211</f>
        <v>30.521327014218009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5">
      <c r="A91" s="10" t="s">
        <v>394</v>
      </c>
      <c r="B91" s="10">
        <f>B89*B83</f>
        <v>35.56</v>
      </c>
      <c r="C91" s="10"/>
      <c r="D91" s="10"/>
    </row>
    <row r="92" spans="1:9" x14ac:dyDescent="0.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5">
      <c r="A94" s="10" t="s">
        <v>396</v>
      </c>
      <c r="B94" s="10">
        <f>B87/B92</f>
        <v>0.59849576350361122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5">
      <c r="A95" s="10" t="s">
        <v>397</v>
      </c>
      <c r="B95" s="10">
        <f>B94*B82</f>
        <v>0.55749880370361382</v>
      </c>
      <c r="C95" s="11"/>
      <c r="D95" s="10"/>
      <c r="E95" t="s">
        <v>420</v>
      </c>
      <c r="F95">
        <v>8.3469999999999995</v>
      </c>
    </row>
    <row r="96" spans="1:9" x14ac:dyDescent="0.5">
      <c r="A96" s="10" t="s">
        <v>398</v>
      </c>
      <c r="B96" s="11">
        <f>B95*D83/235.043928/1E+24</f>
        <v>1.4283865464227951E-3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5">
      <c r="A97" s="10" t="s">
        <v>399</v>
      </c>
      <c r="B97" s="10">
        <f>(1-B82)*B94</f>
        <v>4.0996959799997373E-2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5">
      <c r="A98" s="10" t="s">
        <v>400</v>
      </c>
      <c r="B98" s="11">
        <f>B97*D83/238/1E+24</f>
        <v>1.0373505524788076E-4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5">
      <c r="A99" s="10" t="s">
        <v>407</v>
      </c>
      <c r="B99" s="11">
        <v>5.96E-2</v>
      </c>
      <c r="C99" s="10"/>
      <c r="D99" s="10"/>
    </row>
    <row r="100" spans="1:11" x14ac:dyDescent="0.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5">
      <c r="A102" s="10"/>
      <c r="B102" s="10"/>
      <c r="C102" s="10"/>
      <c r="D102" s="10"/>
    </row>
    <row r="103" spans="1:11" x14ac:dyDescent="0.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H104">
        <f>F104-F103</f>
        <v>7.0805909073683448E-3</v>
      </c>
      <c r="K104"/>
    </row>
    <row r="105" spans="1:11" x14ac:dyDescent="0.5">
      <c r="A105" s="10" t="s">
        <v>405</v>
      </c>
      <c r="B105" s="11">
        <f>B99/1.7</f>
        <v>3.5058823529411767E-2</v>
      </c>
      <c r="C105" s="10"/>
      <c r="D105" s="10"/>
      <c r="E105" t="s">
        <v>416</v>
      </c>
      <c r="F105">
        <f>F98</f>
        <v>0.6883085909073684</v>
      </c>
    </row>
    <row r="106" spans="1:11" x14ac:dyDescent="0.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5">
      <c r="A107" s="10" t="s">
        <v>128</v>
      </c>
      <c r="B107" s="11">
        <f>C31</f>
        <v>1.8037764705882354E-2</v>
      </c>
      <c r="C107" s="10"/>
      <c r="D107" s="10"/>
      <c r="E107" t="s">
        <v>424</v>
      </c>
      <c r="F107">
        <f>G87</f>
        <v>0.71374000000000004</v>
      </c>
      <c r="J107">
        <f>F103+H104</f>
        <v>0.68272059090736836</v>
      </c>
    </row>
    <row r="108" spans="1:11" x14ac:dyDescent="0.5">
      <c r="A108" s="10" t="s">
        <v>133</v>
      </c>
      <c r="B108" s="11">
        <f t="shared" ref="B108:B111" si="40">C32</f>
        <v>3.9335999999999998E-3</v>
      </c>
      <c r="C108" s="10"/>
      <c r="D108" s="10"/>
      <c r="J108" t="s">
        <v>426</v>
      </c>
    </row>
    <row r="109" spans="1:11" x14ac:dyDescent="0.5">
      <c r="A109" s="10" t="s">
        <v>136</v>
      </c>
      <c r="B109" s="11">
        <f t="shared" si="40"/>
        <v>6.0125882352941185E-3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5">
      <c r="A110" s="10" t="s">
        <v>141</v>
      </c>
      <c r="B110" s="11">
        <f t="shared" si="40"/>
        <v>6.0932235294117653E-3</v>
      </c>
      <c r="C110" s="10"/>
      <c r="D110" s="10"/>
    </row>
    <row r="111" spans="1:11" x14ac:dyDescent="0.5">
      <c r="A111" s="10" t="s">
        <v>146</v>
      </c>
      <c r="B111" s="11">
        <f t="shared" si="40"/>
        <v>9.8164705882352959E-4</v>
      </c>
      <c r="C111" s="10"/>
      <c r="D111" s="10"/>
      <c r="F111">
        <f>18.1483+F109</f>
        <v>18.148395160852814</v>
      </c>
    </row>
    <row r="117" spans="5:6" x14ac:dyDescent="0.5">
      <c r="E117" t="s">
        <v>428</v>
      </c>
      <c r="F117">
        <f>F96*(14*2.54)*F95</f>
        <v>4.0320000000000002E-2</v>
      </c>
    </row>
    <row r="118" spans="5:6" x14ac:dyDescent="0.5">
      <c r="E118" t="s">
        <v>429</v>
      </c>
      <c r="F118">
        <f>F93-F117</f>
        <v>1.1753554502363928E-5</v>
      </c>
    </row>
    <row r="119" spans="5:6" x14ac:dyDescent="0.5">
      <c r="E119" t="s">
        <v>430</v>
      </c>
      <c r="F119">
        <f>F118/F95</f>
        <v>1.4081172280297026E-6</v>
      </c>
    </row>
    <row r="120" spans="5:6" x14ac:dyDescent="0.5">
      <c r="E120" t="s">
        <v>431</v>
      </c>
      <c r="F120">
        <f>F119/(PI()*G87^2)</f>
        <v>8.7985046173196734E-7</v>
      </c>
    </row>
    <row r="121" spans="5:6" ht="10.5" customHeight="1" x14ac:dyDescent="0.5">
      <c r="F121">
        <f>18.1483+F120</f>
        <v>18.14830087985046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BBC1-4AD1-4200-8C3B-E8B83C18312B}">
  <dimension ref="A1:V79"/>
  <sheetViews>
    <sheetView zoomScale="90" zoomScaleNormal="90" workbookViewId="0">
      <selection activeCell="V29" sqref="V29"/>
    </sheetView>
  </sheetViews>
  <sheetFormatPr defaultColWidth="11" defaultRowHeight="15.75" x14ac:dyDescent="0.5"/>
  <cols>
    <col min="1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5">
      <c r="A1" s="12" t="s">
        <v>0</v>
      </c>
      <c r="B1" s="12"/>
      <c r="C1" s="5">
        <f>V16</f>
        <v>0.01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9.9985500000000001E-3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1.4500000000000001E-6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>
        <f>V17</f>
        <v>0.53200000000000003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V20</f>
        <v>0.33700000000000002</v>
      </c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0.53080832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0.31111166000000001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1.9684000000000002E-4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1.5653650000000002E-2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9.9484000000000009E-4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1.0234690000000001E-2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>
        <f>V21</f>
        <v>4.3999999999999997E-2</v>
      </c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4.2654039999999997E-2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2.8467999999999999E-4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5.94E-5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9.1783999999999995E-4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>
        <f>V22</f>
        <v>1.4E-2</v>
      </c>
      <c r="Q15" s="4" t="s">
        <v>64</v>
      </c>
      <c r="R15" s="4">
        <v>4.0000000000000003E-5</v>
      </c>
      <c r="S15" s="6">
        <f t="shared" si="7"/>
        <v>1.7600000000000001E-6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8.183E-4</v>
      </c>
      <c r="Q16" s="4" t="s">
        <v>69</v>
      </c>
      <c r="R16" s="4">
        <v>1.8699999999999999E-3</v>
      </c>
      <c r="S16" s="6">
        <f t="shared" si="7"/>
        <v>8.2279999999999991E-5</v>
      </c>
      <c r="U16" t="s">
        <v>432</v>
      </c>
      <c r="V16">
        <v>0.01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1.2845560000000001E-2</v>
      </c>
      <c r="U17" t="s">
        <v>375</v>
      </c>
      <c r="V17">
        <v>0.53200000000000003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2.9666000000000002E-4</v>
      </c>
      <c r="Q18" s="12" t="s">
        <v>77</v>
      </c>
      <c r="R18" s="12"/>
      <c r="S18" s="5"/>
      <c r="U18" t="s">
        <v>384</v>
      </c>
      <c r="V18">
        <v>2.9000000000000001E-2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3.9480000000000001E-5</v>
      </c>
      <c r="Q19" s="4" t="s">
        <v>82</v>
      </c>
      <c r="R19" s="4">
        <v>0.68076899999999996</v>
      </c>
      <c r="S19" s="6">
        <f>$S$18*R19</f>
        <v>0</v>
      </c>
      <c r="U19" t="s">
        <v>354</v>
      </c>
      <c r="V19">
        <v>3.4000000000000002E-2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  <c r="U20" t="s">
        <v>340</v>
      </c>
      <c r="V20">
        <v>0.33700000000000002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  <c r="U21" t="s">
        <v>377</v>
      </c>
      <c r="V21">
        <v>4.3999999999999997E-2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  <c r="U22" t="s">
        <v>347</v>
      </c>
      <c r="V22">
        <v>1.4E-2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U1:V1"/>
    <mergeCell ref="A1:B1"/>
    <mergeCell ref="E1:F1"/>
    <mergeCell ref="I1:J1"/>
    <mergeCell ref="M1:N1"/>
    <mergeCell ref="Q1:R1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E14:F14"/>
    <mergeCell ref="A15:B15"/>
    <mergeCell ref="I15:J15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A51:B51"/>
    <mergeCell ref="Q51:R51"/>
    <mergeCell ref="A37:B37"/>
    <mergeCell ref="M37:N37"/>
    <mergeCell ref="I38:J38"/>
    <mergeCell ref="Q39:R39"/>
    <mergeCell ref="A41:B41"/>
    <mergeCell ref="E41:F41"/>
    <mergeCell ref="E61:F61"/>
    <mergeCell ref="Q43:R43"/>
    <mergeCell ref="Q47:R47"/>
    <mergeCell ref="I48:J48"/>
    <mergeCell ref="M49:N49"/>
    <mergeCell ref="E52:F52"/>
    <mergeCell ref="I57:J57"/>
    <mergeCell ref="Q57:R57"/>
    <mergeCell ref="M58:N58"/>
    <mergeCell ref="A60:B60"/>
    <mergeCell ref="A77:B77"/>
    <mergeCell ref="A64:B64"/>
    <mergeCell ref="I66:J66"/>
    <mergeCell ref="M66:N66"/>
    <mergeCell ref="Q66:R66"/>
    <mergeCell ref="A68:B68"/>
    <mergeCell ref="E69:F69"/>
    <mergeCell ref="I70:J70"/>
    <mergeCell ref="M70:N70"/>
    <mergeCell ref="Q70:R70"/>
    <mergeCell ref="Q74:R74"/>
    <mergeCell ref="E76:F76"/>
  </mergeCells>
  <hyperlinks>
    <hyperlink ref="V14" r:id="rId1" xr:uid="{6BAE1FE7-BFBB-4ABC-910D-DC0033CB0B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X42" sqref="X42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V17</f>
        <v>8.0000000000000004E-4</v>
      </c>
      <c r="U1" s="15" t="s">
        <v>5</v>
      </c>
      <c r="V1" s="15"/>
    </row>
    <row r="2" spans="1:23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5">
      <c r="U4" s="14"/>
      <c r="V4" s="14"/>
    </row>
    <row r="5" spans="1:23" x14ac:dyDescent="0.5">
      <c r="A5" s="12" t="s">
        <v>17</v>
      </c>
      <c r="B5" s="12"/>
      <c r="C5" s="5">
        <f>V25</f>
        <v>1E-3</v>
      </c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V19</f>
        <v>7.4999999999999997E-3</v>
      </c>
      <c r="U5" s="14"/>
      <c r="V5" s="14"/>
    </row>
    <row r="6" spans="1:23" x14ac:dyDescent="0.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5">
      <c r="A9" s="12" t="s">
        <v>36</v>
      </c>
      <c r="B9" s="12"/>
      <c r="C9" s="5">
        <f>V21</f>
        <v>2.9999999999999997E-4</v>
      </c>
      <c r="U9" s="14"/>
      <c r="V9" s="14"/>
    </row>
    <row r="10" spans="1:23" x14ac:dyDescent="0.5">
      <c r="A10" s="4" t="s">
        <v>37</v>
      </c>
      <c r="B10" s="4">
        <v>0.95289999999999997</v>
      </c>
      <c r="C10" s="6">
        <f>$C$9*B10</f>
        <v>2.8586999999999997E-4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>
        <f>V22</f>
        <v>0.17</v>
      </c>
      <c r="M15" s="12" t="s">
        <v>63</v>
      </c>
      <c r="N15" s="12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5" t="s">
        <v>335</v>
      </c>
      <c r="V16" s="15"/>
      <c r="W16" s="3" t="s">
        <v>336</v>
      </c>
    </row>
    <row r="17" spans="1:25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2" t="s">
        <v>77</v>
      </c>
      <c r="R18" s="12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346</v>
      </c>
      <c r="V25" s="7">
        <v>1E-3</v>
      </c>
    </row>
    <row r="26" spans="1:25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V26</f>
        <v>1E-4</v>
      </c>
      <c r="U1" s="15" t="s">
        <v>5</v>
      </c>
      <c r="V1" s="15"/>
    </row>
    <row r="2" spans="1:23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5">
      <c r="U4" s="14"/>
      <c r="V4" s="14"/>
    </row>
    <row r="5" spans="1:23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V25</f>
        <v>8.0000000000000004E-4</v>
      </c>
      <c r="U5" s="14"/>
      <c r="V5" s="14"/>
    </row>
    <row r="6" spans="1:23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5">
      <c r="A9" s="12" t="s">
        <v>36</v>
      </c>
      <c r="B9" s="12"/>
      <c r="C9" s="5"/>
      <c r="U9" s="14"/>
      <c r="V9" s="14"/>
    </row>
    <row r="10" spans="1:23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5">
      <c r="E14" s="12" t="s">
        <v>56</v>
      </c>
      <c r="F14" s="12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8.7500000000000009E-6</v>
      </c>
      <c r="I15" s="12" t="s">
        <v>62</v>
      </c>
      <c r="J15" s="12"/>
      <c r="K15" s="5">
        <f>V19</f>
        <v>0.16</v>
      </c>
      <c r="M15" s="12" t="s">
        <v>63</v>
      </c>
      <c r="N15" s="12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5" t="s">
        <v>348</v>
      </c>
      <c r="V16" s="15"/>
      <c r="W16" s="3" t="s">
        <v>336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2" t="s">
        <v>77</v>
      </c>
      <c r="R18" s="12"/>
      <c r="S18" s="5">
        <f>V17</f>
        <v>0.54560000000000008</v>
      </c>
      <c r="U18" t="s">
        <v>349</v>
      </c>
      <c r="V18">
        <v>2.5000000000000001E-2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5">
      <c r="A22" s="12" t="s">
        <v>90</v>
      </c>
      <c r="B22" s="12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340</v>
      </c>
      <c r="V25">
        <v>8.0000000000000004E-4</v>
      </c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>
        <f>V22</f>
        <v>0.04</v>
      </c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V27</f>
        <v>5.9999999999999995E-4</v>
      </c>
      <c r="U1" s="15" t="s">
        <v>5</v>
      </c>
      <c r="V1" s="15"/>
    </row>
    <row r="2" spans="1:23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5">
      <c r="U4" s="14"/>
      <c r="V4" s="14"/>
    </row>
    <row r="5" spans="1:23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V21</f>
        <v>0.01</v>
      </c>
      <c r="U5" s="14"/>
      <c r="V5" s="14"/>
    </row>
    <row r="6" spans="1:23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5">
      <c r="A9" s="12" t="s">
        <v>36</v>
      </c>
      <c r="B9" s="12"/>
      <c r="C9" s="5"/>
      <c r="U9" s="14"/>
      <c r="V9" s="14"/>
    </row>
    <row r="10" spans="1:23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5">
      <c r="E14" s="12" t="s">
        <v>56</v>
      </c>
      <c r="F14" s="12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5">
      <c r="A15" s="12" t="s">
        <v>60</v>
      </c>
      <c r="B15" s="12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2" t="s">
        <v>62</v>
      </c>
      <c r="J15" s="12"/>
      <c r="K15" s="5">
        <f>V19</f>
        <v>7.0000000000000007E-2</v>
      </c>
      <c r="M15" s="12" t="s">
        <v>63</v>
      </c>
      <c r="N15" s="12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5" t="s">
        <v>353</v>
      </c>
      <c r="V16" s="15"/>
      <c r="W16" s="3" t="s">
        <v>336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5">
      <c r="A18" s="4" t="s">
        <v>73</v>
      </c>
      <c r="B18" s="4">
        <v>0.73719999999999997</v>
      </c>
      <c r="C18" s="6">
        <f t="shared" si="8"/>
        <v>1.843E-3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2" t="s">
        <v>77</v>
      </c>
      <c r="R18" s="12"/>
      <c r="S18" s="5">
        <f>V17</f>
        <v>0.69089999999999996</v>
      </c>
      <c r="U18" t="s">
        <v>344</v>
      </c>
      <c r="V18">
        <v>0.16</v>
      </c>
    </row>
    <row r="19" spans="1:22" x14ac:dyDescent="0.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5">
      <c r="A22" s="12" t="s">
        <v>90</v>
      </c>
      <c r="B22" s="12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352</v>
      </c>
      <c r="V25">
        <v>3.5000000000000001E-3</v>
      </c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>
        <f>V23</f>
        <v>5.0000000000000001E-3</v>
      </c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>
        <f>V17</f>
        <v>5.2840778361997066E-3</v>
      </c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  <c r="W1" s="1"/>
      <c r="X1" s="3" t="s">
        <v>356</v>
      </c>
    </row>
    <row r="2" spans="1:34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5">
      <c r="A5" s="12" t="s">
        <v>17</v>
      </c>
      <c r="B5" s="12"/>
      <c r="C5" s="5"/>
      <c r="E5" s="12" t="s">
        <v>18</v>
      </c>
      <c r="F5" s="13"/>
      <c r="G5" s="5">
        <f>V15</f>
        <v>0.36233529357985322</v>
      </c>
      <c r="I5" s="12" t="s">
        <v>19</v>
      </c>
      <c r="J5" s="12"/>
      <c r="K5" s="5"/>
      <c r="M5" s="12" t="s">
        <v>20</v>
      </c>
      <c r="N5" s="12"/>
      <c r="O5" s="5">
        <f>V20</f>
        <v>1.5754728620702579E-3</v>
      </c>
      <c r="Q5" s="12" t="s">
        <v>21</v>
      </c>
      <c r="R5" s="12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5">
      <c r="A9" s="12" t="s">
        <v>36</v>
      </c>
      <c r="B9" s="12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5">
      <c r="A15" s="12" t="s">
        <v>60</v>
      </c>
      <c r="B15" s="12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5">
      <c r="A18" s="4" t="s">
        <v>73</v>
      </c>
      <c r="B18" s="4">
        <v>0.73719999999999997</v>
      </c>
      <c r="C18" s="6">
        <f t="shared" si="15"/>
        <v>4.4053882184364984E-2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2" t="s">
        <v>77</v>
      </c>
      <c r="R18" s="12"/>
      <c r="S18" s="5"/>
      <c r="U18" t="s">
        <v>377</v>
      </c>
      <c r="V18">
        <f>AA11</f>
        <v>1.0910928215318248E-2</v>
      </c>
    </row>
    <row r="19" spans="1:22" x14ac:dyDescent="0.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5">
      <c r="E21" s="4" t="s">
        <v>86</v>
      </c>
      <c r="F21" s="4">
        <v>4.0399999999999998E-2</v>
      </c>
      <c r="G21" s="6">
        <f t="shared" si="18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20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5">
      <c r="E29" s="4" t="s">
        <v>119</v>
      </c>
      <c r="F29" s="4">
        <v>0.115</v>
      </c>
      <c r="G29" s="6">
        <f t="shared" si="21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5">
      <c r="A30" s="12" t="s">
        <v>123</v>
      </c>
      <c r="B30" s="12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5">
      <c r="A33" s="4" t="s">
        <v>136</v>
      </c>
      <c r="B33" s="4">
        <v>0.17150000000000001</v>
      </c>
      <c r="C33" s="6">
        <f t="shared" si="25"/>
        <v>6.3279668085487314E-3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2" t="s">
        <v>140</v>
      </c>
      <c r="R33" s="12"/>
      <c r="S33" s="5">
        <f>V22</f>
        <v>9.0871897915843613E-3</v>
      </c>
    </row>
    <row r="34" spans="1:19" x14ac:dyDescent="0.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26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2" t="s">
        <v>204</v>
      </c>
      <c r="J48" s="12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Y2:AG3"/>
    <mergeCell ref="I70:J70"/>
    <mergeCell ref="M70:N70"/>
    <mergeCell ref="Q70:R70"/>
    <mergeCell ref="U2:V12"/>
    <mergeCell ref="Q51:R51"/>
    <mergeCell ref="E76:F76"/>
    <mergeCell ref="A77:B77"/>
    <mergeCell ref="A64:B64"/>
    <mergeCell ref="I66:J66"/>
    <mergeCell ref="E61:F61"/>
    <mergeCell ref="A68:B68"/>
    <mergeCell ref="E69:F69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>
        <f>V18</f>
        <v>0.63967962107924303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375</v>
      </c>
      <c r="V18">
        <f>1-V17</f>
        <v>0.63967962107924303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>
        <f>V18</f>
        <v>0.78</v>
      </c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385</v>
      </c>
      <c r="V18">
        <v>0.78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U1:V1"/>
    <mergeCell ref="A1:B1"/>
    <mergeCell ref="E1:F1"/>
    <mergeCell ref="I1:J1"/>
    <mergeCell ref="M1:N1"/>
    <mergeCell ref="Q1:R1"/>
    <mergeCell ref="E14:F14"/>
    <mergeCell ref="E18:F18"/>
    <mergeCell ref="Q18:R18"/>
    <mergeCell ref="A15:B15"/>
    <mergeCell ref="I15:J15"/>
    <mergeCell ref="M15:N15"/>
  </mergeCells>
  <hyperlinks>
    <hyperlink ref="V14" r:id="rId1" xr:uid="{D6C09FC6-787D-2047-80C4-D39A12F1973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 Calculator</vt:lpstr>
      <vt:lpstr>Concrete, Regular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Samuel</cp:lastModifiedBy>
  <cp:revision/>
  <dcterms:created xsi:type="dcterms:W3CDTF">2022-02-11T04:22:50Z</dcterms:created>
  <dcterms:modified xsi:type="dcterms:W3CDTF">2023-05-25T15:19:22Z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