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h180/Documents/GitHub/NHANES_CoR/Data/"/>
    </mc:Choice>
  </mc:AlternateContent>
  <xr:revisionPtr revIDLastSave="0" documentId="13_ncr:1_{BA0C303D-550F-6A4D-B608-2FF4090C3F1C}" xr6:coauthVersionLast="43" xr6:coauthVersionMax="43" xr10:uidLastSave="{00000000-0000-0000-0000-000000000000}"/>
  <bookViews>
    <workbookView xWindow="42740" yWindow="1620" windowWidth="28040" windowHeight="17440" activeTab="1" xr2:uid="{8CA9293A-3A41-564E-BB98-832981AD5D2E}"/>
  </bookViews>
  <sheets>
    <sheet name="Analytical vs. Full" sheetId="1" r:id="rId1"/>
    <sheet name="Pre vs. Post menopause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2" l="1"/>
  <c r="C21" i="2"/>
  <c r="B22" i="2"/>
  <c r="B21" i="2"/>
  <c r="C16" i="2"/>
  <c r="B16" i="2"/>
  <c r="C17" i="2"/>
  <c r="B17" i="2"/>
  <c r="C18" i="2"/>
  <c r="C15" i="2"/>
  <c r="B18" i="2"/>
  <c r="B15" i="2"/>
  <c r="C13" i="2"/>
  <c r="C12" i="2"/>
  <c r="C11" i="2"/>
  <c r="C10" i="2"/>
  <c r="B13" i="2"/>
  <c r="B12" i="2"/>
  <c r="B11" i="2"/>
  <c r="B10" i="2"/>
  <c r="C8" i="2"/>
  <c r="C7" i="2"/>
  <c r="C6" i="2"/>
  <c r="B8" i="2"/>
  <c r="B7" i="2"/>
  <c r="B6" i="2"/>
  <c r="C28" i="1" l="1"/>
  <c r="C27" i="1"/>
  <c r="C26" i="1"/>
  <c r="C25" i="1"/>
  <c r="C24" i="1"/>
  <c r="C23" i="1"/>
  <c r="C22" i="1"/>
  <c r="C20" i="1"/>
  <c r="C19" i="1"/>
  <c r="C18" i="1"/>
  <c r="C17" i="1"/>
  <c r="C16" i="1"/>
  <c r="C15" i="1"/>
  <c r="C14" i="1"/>
  <c r="C13" i="1"/>
  <c r="C11" i="1"/>
  <c r="C10" i="1"/>
  <c r="C9" i="1"/>
  <c r="C8" i="1"/>
  <c r="C7" i="1"/>
  <c r="C6" i="1"/>
  <c r="C5" i="1"/>
  <c r="C4" i="1"/>
  <c r="C3" i="1"/>
  <c r="B28" i="1" l="1"/>
  <c r="B27" i="1"/>
  <c r="B26" i="1"/>
  <c r="B25" i="1"/>
  <c r="B24" i="1"/>
  <c r="B23" i="1"/>
  <c r="B22" i="1"/>
  <c r="B20" i="1"/>
  <c r="B19" i="1"/>
  <c r="B18" i="1"/>
  <c r="B17" i="1"/>
  <c r="B16" i="1"/>
  <c r="B15" i="1"/>
  <c r="B14" i="1"/>
  <c r="B13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<sst xmlns="http://schemas.openxmlformats.org/spreadsheetml/2006/main" count="104" uniqueCount="98">
  <si>
    <t>ITEM</t>
  </si>
  <si>
    <t>Women Aged 18-84 w/complete biomarker data (N=5870)</t>
  </si>
  <si>
    <t>Mean Age (SD)</t>
  </si>
  <si>
    <t>Proportion Live births 0</t>
  </si>
  <si>
    <t>Proportion Live births 1</t>
  </si>
  <si>
    <t>Proportion Live births 2</t>
  </si>
  <si>
    <t>Proportion Live births 3</t>
  </si>
  <si>
    <t>Proportion Live births 4</t>
  </si>
  <si>
    <t>Proportion Live births 5</t>
  </si>
  <si>
    <t>Proportion Live births 6</t>
  </si>
  <si>
    <t>Proportion Live births 7</t>
  </si>
  <si>
    <t>Proportion Live births 8+</t>
  </si>
  <si>
    <t xml:space="preserve">Proportion Hispanic </t>
  </si>
  <si>
    <t xml:space="preserve">Proportion Non-Hispanic White </t>
  </si>
  <si>
    <t>Proportion Non-Hispanic Black</t>
  </si>
  <si>
    <t xml:space="preserve">Proportion Less than HS </t>
  </si>
  <si>
    <t xml:space="preserve">Proportion HS </t>
  </si>
  <si>
    <t xml:space="preserve">Proportion Some College </t>
  </si>
  <si>
    <t xml:space="preserve">Proportion College Graduate </t>
  </si>
  <si>
    <t>48.52 (19.67)</t>
  </si>
  <si>
    <t xml:space="preserve">p-value </t>
  </si>
  <si>
    <t>Mean Poverty Income Ratio (SD)</t>
  </si>
  <si>
    <t>Percent Pre-menopause</t>
  </si>
  <si>
    <t>Percent Post-menopause</t>
  </si>
  <si>
    <t xml:space="preserve">Proportion Never Smoked </t>
  </si>
  <si>
    <t xml:space="preserve">Proportion Current Smoker </t>
  </si>
  <si>
    <t xml:space="preserve">Proportion Past Smoker </t>
  </si>
  <si>
    <t xml:space="preserve">Proportion Never Pregnant </t>
  </si>
  <si>
    <t>Proportion Ever Pregnant</t>
  </si>
  <si>
    <t>All Nonpregnant Women Aged 18-84 (N=13929)</t>
  </si>
  <si>
    <t>48.71 (20.09)</t>
  </si>
  <si>
    <r>
      <t>t</t>
    </r>
    <r>
      <rPr>
        <vertAlign val="subscript"/>
        <sz val="12"/>
        <color theme="1"/>
        <rFont val="Calibri (Body)"/>
      </rPr>
      <t>11244.681</t>
    </r>
    <r>
      <rPr>
        <sz val="12"/>
        <color theme="1"/>
        <rFont val="Calibri"/>
        <family val="2"/>
        <scheme val="minor"/>
      </rPr>
      <t xml:space="preserve"> = -0.621 </t>
    </r>
  </si>
  <si>
    <t>2.46 (1.60)</t>
  </si>
  <si>
    <t>2.41 (1.60)</t>
  </si>
  <si>
    <r>
      <t>t</t>
    </r>
    <r>
      <rPr>
        <vertAlign val="subscript"/>
        <sz val="12"/>
        <color theme="1"/>
        <rFont val="Calibri (Body)"/>
      </rPr>
      <t>18009</t>
    </r>
    <r>
      <rPr>
        <sz val="12"/>
        <color theme="1"/>
        <rFont val="Calibri"/>
        <family val="2"/>
        <scheme val="minor"/>
      </rPr>
      <t>= 1.782</t>
    </r>
  </si>
  <si>
    <t>p=0.075</t>
  </si>
  <si>
    <r>
      <t>𝟀</t>
    </r>
    <r>
      <rPr>
        <vertAlign val="subscript"/>
        <sz val="12"/>
        <color theme="1"/>
        <rFont val="Calibri (Body)"/>
      </rPr>
      <t>11</t>
    </r>
    <r>
      <rPr>
        <sz val="12"/>
        <color theme="1"/>
        <rFont val="Calibri"/>
        <family val="2"/>
        <scheme val="minor"/>
      </rPr>
      <t xml:space="preserve"> = 0.547</t>
    </r>
  </si>
  <si>
    <r>
      <t>𝟀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= 3.339</t>
    </r>
  </si>
  <si>
    <r>
      <t>𝟀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= 1.644</t>
    </r>
  </si>
  <si>
    <r>
      <t>𝟀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= 0.030</t>
    </r>
  </si>
  <si>
    <r>
      <t>𝟀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= 0.786</t>
    </r>
  </si>
  <si>
    <r>
      <t>𝟀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= 4.793</t>
    </r>
  </si>
  <si>
    <t>Test Statistic</t>
  </si>
  <si>
    <t>Proportion Other Race/Ethnicity</t>
  </si>
  <si>
    <t>Mean Live Births (SD)</t>
  </si>
  <si>
    <t>2.36 (2.07)</t>
  </si>
  <si>
    <t>2.34 (2.11)</t>
  </si>
  <si>
    <r>
      <t>t</t>
    </r>
    <r>
      <rPr>
        <vertAlign val="subscript"/>
        <sz val="12"/>
        <color theme="1"/>
        <rFont val="Calibri (Body)"/>
      </rPr>
      <t>17480</t>
    </r>
    <r>
      <rPr>
        <sz val="12"/>
        <color theme="1"/>
        <rFont val="Calibri"/>
        <family val="2"/>
        <scheme val="minor"/>
      </rPr>
      <t>= 0.624</t>
    </r>
  </si>
  <si>
    <t>Premenopausal (n=2,166)</t>
  </si>
  <si>
    <t>Postmenopausal (n=2,252)</t>
  </si>
  <si>
    <t>p-value</t>
  </si>
  <si>
    <t>Mean age (SE, range)</t>
  </si>
  <si>
    <t>34.34 (0.19, 20-61)</t>
  </si>
  <si>
    <t>65.66 (0.22, 41-84)</t>
  </si>
  <si>
    <t>Mean BMI (SE, range)</t>
  </si>
  <si>
    <t>28.97 (0.16, 15.6-71.3)</t>
  </si>
  <si>
    <t>29.33 (0.14, 14.7-57.6)</t>
  </si>
  <si>
    <t>Mean FIPR (SE, range)</t>
  </si>
  <si>
    <t>2.50 (0.03, 0-5)</t>
  </si>
  <si>
    <t>2.66 (0.03, 0-5)</t>
  </si>
  <si>
    <t>Smoking (n, %)</t>
  </si>
  <si>
    <t>Never</t>
  </si>
  <si>
    <t>Past</t>
  </si>
  <si>
    <t>Current</t>
  </si>
  <si>
    <t>Education (n, %)</t>
  </si>
  <si>
    <t>Less than high school</t>
  </si>
  <si>
    <t>High school or equivalent</t>
  </si>
  <si>
    <t>Some college or AA degree</t>
  </si>
  <si>
    <t>College graduate or above</t>
  </si>
  <si>
    <t>Race/ethnicity (n, %)</t>
  </si>
  <si>
    <t>Non-Hispanic white</t>
  </si>
  <si>
    <t>Non-Hispanic black</t>
  </si>
  <si>
    <t>Hispanic</t>
  </si>
  <si>
    <t>Other</t>
  </si>
  <si>
    <t>Mean number of live births (SE, range)</t>
  </si>
  <si>
    <t>1.77 (0.03, 0-7)</t>
  </si>
  <si>
    <t>2.81 (0.04, 0-7)</t>
  </si>
  <si>
    <t>Ever-parity (n, %)</t>
  </si>
  <si>
    <t>Nulliparous</t>
  </si>
  <si>
    <t>Parous</t>
  </si>
  <si>
    <t>LM Biological Age</t>
  </si>
  <si>
    <t>30.32 (0.23, 4.7-81.3)</t>
  </si>
  <si>
    <t>61.92 (0.27, 26.0-103.6)</t>
  </si>
  <si>
    <t>Homeostatic Dysregulation</t>
  </si>
  <si>
    <t>3.10 (0.01, 1.5-4.8)</t>
  </si>
  <si>
    <t>3.29 (0.01, 1.5-5.3)</t>
  </si>
  <si>
    <t>KDM Biological Age</t>
  </si>
  <si>
    <t>31.49 (0.26, 0.6-111.6)</t>
  </si>
  <si>
    <t>60.59 (0.35, 17.1-147.3)</t>
  </si>
  <si>
    <t>Allostatic Load</t>
  </si>
  <si>
    <t>0.23 (0.00, 0.0-0.8)</t>
  </si>
  <si>
    <t>0.32 (0.00, 0.0-0.9)</t>
  </si>
  <si>
    <t>&lt;0.001</t>
  </si>
  <si>
    <r>
      <t>0.002</t>
    </r>
    <r>
      <rPr>
        <vertAlign val="superscript"/>
        <sz val="11"/>
        <color rgb="FF000000"/>
        <rFont val="Arial"/>
        <family val="2"/>
      </rPr>
      <t>†</t>
    </r>
  </si>
  <si>
    <r>
      <t>†</t>
    </r>
    <r>
      <rPr>
        <sz val="10"/>
        <color rgb="FF000000"/>
        <rFont val="Arial"/>
        <family val="2"/>
      </rPr>
      <t xml:space="preserve"> p-values from linear regression models adjusted for the following variables: chronological age, body mass index, federal income-to-poverty ratio, smoking, education, and self-identified race/ethnicity.</t>
    </r>
  </si>
  <si>
    <r>
      <t>0.696</t>
    </r>
    <r>
      <rPr>
        <vertAlign val="superscript"/>
        <sz val="11"/>
        <color rgb="FF000000"/>
        <rFont val="Arial"/>
        <family val="2"/>
      </rPr>
      <t>†</t>
    </r>
  </si>
  <si>
    <r>
      <t>&lt;0.001</t>
    </r>
    <r>
      <rPr>
        <vertAlign val="superscript"/>
        <sz val="11"/>
        <color rgb="FF000000"/>
        <rFont val="Arial"/>
        <family val="2"/>
      </rPr>
      <t>†</t>
    </r>
  </si>
  <si>
    <r>
      <t>0.307</t>
    </r>
    <r>
      <rPr>
        <vertAlign val="superscript"/>
        <sz val="11"/>
        <color rgb="FF000000"/>
        <rFont val="Arial"/>
        <family val="2"/>
      </rPr>
      <t>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</si>
</sst>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1"/>
      <color theme="1"/>
      <name val="Arial"/>
      <family val="2"/>
    </font>
    <font>
      <vertAlign val="superscript"/>
      <sz val="11"/>
      <color rgb="FF000000"/>
      <name val="Arial"/>
      <family val="2"/>
    </font>
    <font>
      <b/>
      <sz val="11"/>
      <color theme="1"/>
      <name val="Arial"/>
      <family val="2"/>
    </font>
    <font>
      <vertAlign val="superscript"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0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/>
    <xf numFmtId="10" fontId="0" fillId="0" borderId="1" xfId="1" applyNumberFormat="1" applyFont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7" xfId="0" applyBorder="1" applyAlignment="1">
      <alignment horizontal="center"/>
    </xf>
    <xf numFmtId="0" fontId="2" fillId="0" borderId="4" xfId="0" applyFont="1" applyBorder="1"/>
    <xf numFmtId="10" fontId="0" fillId="0" borderId="0" xfId="1" applyNumberFormat="1" applyFont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8" fontId="4" fillId="0" borderId="0" xfId="1" applyNumberFormat="1" applyFont="1" applyAlignment="1">
      <alignment horizontal="center" vertical="center" wrapText="1"/>
    </xf>
    <xf numFmtId="168" fontId="4" fillId="0" borderId="1" xfId="1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168" fontId="4" fillId="0" borderId="0" xfId="1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4C0B-1FD2-2449-AA61-C5D1E90FAC66}">
  <dimension ref="A1:E28"/>
  <sheetViews>
    <sheetView workbookViewId="0">
      <selection activeCell="C14" sqref="C14"/>
    </sheetView>
  </sheetViews>
  <sheetFormatPr baseColWidth="10" defaultRowHeight="16"/>
  <cols>
    <col min="1" max="1" width="31.83203125" customWidth="1"/>
    <col min="2" max="2" width="31.33203125" bestFit="1" customWidth="1"/>
    <col min="3" max="3" width="30.5" customWidth="1"/>
    <col min="4" max="4" width="18.6640625" customWidth="1"/>
  </cols>
  <sheetData>
    <row r="1" spans="1:5" ht="35" thickBot="1">
      <c r="A1" s="2" t="s">
        <v>0</v>
      </c>
      <c r="B1" s="3" t="s">
        <v>1</v>
      </c>
      <c r="C1" s="4" t="s">
        <v>29</v>
      </c>
      <c r="D1" s="4" t="s">
        <v>42</v>
      </c>
      <c r="E1" s="14" t="s">
        <v>20</v>
      </c>
    </row>
    <row r="2" spans="1:5" ht="19" thickBot="1">
      <c r="A2" s="5" t="s">
        <v>2</v>
      </c>
      <c r="B2" s="6" t="s">
        <v>19</v>
      </c>
      <c r="C2" s="7" t="s">
        <v>30</v>
      </c>
      <c r="D2" s="7" t="s">
        <v>31</v>
      </c>
      <c r="E2" s="13">
        <v>0.53500000000000003</v>
      </c>
    </row>
    <row r="3" spans="1:5" ht="18" customHeight="1">
      <c r="A3" t="s">
        <v>3</v>
      </c>
      <c r="B3" s="17">
        <f>1121/5321</f>
        <v>0.21067468520954707</v>
      </c>
      <c r="C3" s="19">
        <f>2719/12161</f>
        <v>0.22358358687607927</v>
      </c>
      <c r="D3" s="21" t="s">
        <v>36</v>
      </c>
      <c r="E3" s="23">
        <v>0.54700000000000004</v>
      </c>
    </row>
    <row r="4" spans="1:5">
      <c r="A4" t="s">
        <v>4</v>
      </c>
      <c r="B4" s="17">
        <f>764/5321</f>
        <v>0.14358203345235859</v>
      </c>
      <c r="C4" s="19">
        <f>1752/12161</f>
        <v>0.14406709974508675</v>
      </c>
      <c r="D4" s="21"/>
      <c r="E4" s="23"/>
    </row>
    <row r="5" spans="1:5">
      <c r="A5" t="s">
        <v>5</v>
      </c>
      <c r="B5" s="17">
        <f>1274/5321</f>
        <v>0.23942867881977073</v>
      </c>
      <c r="C5" s="19">
        <f>2807/12161</f>
        <v>0.23081983389523889</v>
      </c>
      <c r="D5" s="21"/>
      <c r="E5" s="23"/>
    </row>
    <row r="6" spans="1:5">
      <c r="A6" t="s">
        <v>6</v>
      </c>
      <c r="B6" s="17">
        <f>993/5321</f>
        <v>0.18661905656831423</v>
      </c>
      <c r="C6" s="19">
        <f>2217/12161</f>
        <v>0.18230408683496424</v>
      </c>
      <c r="D6" s="21"/>
      <c r="E6" s="23"/>
    </row>
    <row r="7" spans="1:5">
      <c r="A7" t="s">
        <v>7</v>
      </c>
      <c r="B7" s="17">
        <f>520/5321</f>
        <v>9.7725991355008451E-2</v>
      </c>
      <c r="C7" s="19">
        <f>1156/12161</f>
        <v>9.5057972206233035E-2</v>
      </c>
      <c r="D7" s="21"/>
      <c r="E7" s="23"/>
    </row>
    <row r="8" spans="1:5">
      <c r="A8" t="s">
        <v>8</v>
      </c>
      <c r="B8" s="17">
        <f>262/5321</f>
        <v>4.9238864875023491E-2</v>
      </c>
      <c r="C8" s="19">
        <f>604/12161</f>
        <v>4.9666968176959134E-2</v>
      </c>
      <c r="D8" s="21"/>
      <c r="E8" s="23"/>
    </row>
    <row r="9" spans="1:5">
      <c r="A9" t="s">
        <v>9</v>
      </c>
      <c r="B9" s="17">
        <f>145/5321</f>
        <v>2.7250516820146588E-2</v>
      </c>
      <c r="C9" s="19">
        <f>353/12161</f>
        <v>2.9027218156401611E-2</v>
      </c>
      <c r="D9" s="21"/>
      <c r="E9" s="23"/>
    </row>
    <row r="10" spans="1:5">
      <c r="A10" t="s">
        <v>10</v>
      </c>
      <c r="B10" s="17">
        <f>105/5321</f>
        <v>1.9733132869761322E-2</v>
      </c>
      <c r="C10" s="19">
        <f>198/12161</f>
        <v>1.628155579310912E-2</v>
      </c>
      <c r="D10" s="21"/>
      <c r="E10" s="23"/>
    </row>
    <row r="11" spans="1:5" ht="17" thickBot="1">
      <c r="A11" s="8" t="s">
        <v>11</v>
      </c>
      <c r="B11" s="18">
        <f>(46+23+29+39)/5321</f>
        <v>2.5747040030069536E-2</v>
      </c>
      <c r="C11" s="20">
        <f>(127+66+67+95)/12161</f>
        <v>2.9191678315927966E-2</v>
      </c>
      <c r="D11" s="22"/>
      <c r="E11" s="24"/>
    </row>
    <row r="12" spans="1:5" ht="19" thickBot="1">
      <c r="A12" s="5" t="s">
        <v>44</v>
      </c>
      <c r="B12" s="7" t="s">
        <v>45</v>
      </c>
      <c r="C12" s="7" t="s">
        <v>46</v>
      </c>
      <c r="D12" s="7" t="s">
        <v>47</v>
      </c>
      <c r="E12" s="13">
        <v>0.53200000000000003</v>
      </c>
    </row>
    <row r="13" spans="1:5" ht="18" customHeight="1">
      <c r="A13" t="s">
        <v>13</v>
      </c>
      <c r="B13" s="15">
        <f>2779/5870</f>
        <v>0.47342419080068143</v>
      </c>
      <c r="C13" s="1">
        <f>6591/13929</f>
        <v>0.47318544044798622</v>
      </c>
      <c r="D13" s="21" t="s">
        <v>37</v>
      </c>
      <c r="E13" s="23">
        <v>0.34200000000000003</v>
      </c>
    </row>
    <row r="14" spans="1:5">
      <c r="A14" t="s">
        <v>12</v>
      </c>
      <c r="B14" s="15">
        <f>1685/5870</f>
        <v>0.28705281090289608</v>
      </c>
      <c r="C14" s="1">
        <f>3873/13929</f>
        <v>0.27805298298513892</v>
      </c>
      <c r="D14" s="21"/>
      <c r="E14" s="23"/>
    </row>
    <row r="15" spans="1:5">
      <c r="A15" t="s">
        <v>14</v>
      </c>
      <c r="B15" s="15">
        <f>1193/5870</f>
        <v>0.20323679727427599</v>
      </c>
      <c r="C15" s="1">
        <f>2906/13929</f>
        <v>0.20862947806734153</v>
      </c>
      <c r="D15" s="21"/>
      <c r="E15" s="23"/>
    </row>
    <row r="16" spans="1:5" ht="17" thickBot="1">
      <c r="A16" s="8" t="s">
        <v>43</v>
      </c>
      <c r="B16" s="16">
        <f>213/5870</f>
        <v>3.6286201022146511E-2</v>
      </c>
      <c r="C16" s="9">
        <f>559/13929</f>
        <v>4.013209849953335E-2</v>
      </c>
      <c r="D16" s="22"/>
      <c r="E16" s="24"/>
    </row>
    <row r="17" spans="1:5">
      <c r="A17" t="s">
        <v>15</v>
      </c>
      <c r="B17" s="15">
        <f>1628/5481</f>
        <v>0.2970260901295384</v>
      </c>
      <c r="C17" s="1">
        <f>3924/12951</f>
        <v>0.30298818624044477</v>
      </c>
      <c r="D17" s="21" t="s">
        <v>38</v>
      </c>
      <c r="E17" s="23">
        <v>0.64900000000000002</v>
      </c>
    </row>
    <row r="18" spans="1:5">
      <c r="A18" t="s">
        <v>16</v>
      </c>
      <c r="B18" s="15">
        <f>1295/5481</f>
        <v>0.23627075351213284</v>
      </c>
      <c r="C18" s="1">
        <f>3115/12951</f>
        <v>0.24052196741564358</v>
      </c>
      <c r="D18" s="21"/>
      <c r="E18" s="23"/>
    </row>
    <row r="19" spans="1:5">
      <c r="A19" t="s">
        <v>17</v>
      </c>
      <c r="B19" s="15">
        <f>1583/5481</f>
        <v>0.28881590950556468</v>
      </c>
      <c r="C19" s="1">
        <f>3648/12951</f>
        <v>0.28167709057215656</v>
      </c>
      <c r="D19" s="21"/>
      <c r="E19" s="23"/>
    </row>
    <row r="20" spans="1:5" ht="17" thickBot="1">
      <c r="A20" s="8" t="s">
        <v>18</v>
      </c>
      <c r="B20" s="16">
        <f>975/5481</f>
        <v>0.17788724685276408</v>
      </c>
      <c r="C20" s="9">
        <f>2264/12951</f>
        <v>0.17481275577175509</v>
      </c>
      <c r="D20" s="22"/>
      <c r="E20" s="24"/>
    </row>
    <row r="21" spans="1:5" ht="19" thickBot="1">
      <c r="A21" s="11" t="s">
        <v>21</v>
      </c>
      <c r="B21" s="7" t="s">
        <v>32</v>
      </c>
      <c r="C21" s="7" t="s">
        <v>33</v>
      </c>
      <c r="D21" s="7" t="s">
        <v>34</v>
      </c>
      <c r="E21" s="13" t="s">
        <v>35</v>
      </c>
    </row>
    <row r="22" spans="1:5" ht="18" customHeight="1">
      <c r="A22" s="10" t="s">
        <v>22</v>
      </c>
      <c r="B22" s="1">
        <f>3088/5870</f>
        <v>0.52606473594548553</v>
      </c>
      <c r="C22" s="1">
        <f>7331/13900</f>
        <v>0.52741007194244605</v>
      </c>
      <c r="D22" s="21" t="s">
        <v>39</v>
      </c>
      <c r="E22" s="23">
        <v>0.86299999999999999</v>
      </c>
    </row>
    <row r="23" spans="1:5" ht="17" thickBot="1">
      <c r="A23" s="12" t="s">
        <v>23</v>
      </c>
      <c r="B23" s="9">
        <f>2782/5870</f>
        <v>0.47393526405451447</v>
      </c>
      <c r="C23" s="9">
        <f>6569/13900</f>
        <v>0.47258992805755395</v>
      </c>
      <c r="D23" s="22"/>
      <c r="E23" s="24"/>
    </row>
    <row r="24" spans="1:5" ht="16" customHeight="1">
      <c r="A24" s="10" t="s">
        <v>24</v>
      </c>
      <c r="B24" s="1">
        <f>3331/5590</f>
        <v>0.59588550983899824</v>
      </c>
      <c r="C24" s="1">
        <f>7939/13227</f>
        <v>0.60021168821350268</v>
      </c>
      <c r="D24" s="25" t="s">
        <v>40</v>
      </c>
      <c r="E24" s="26">
        <v>0.67500000000000004</v>
      </c>
    </row>
    <row r="25" spans="1:5">
      <c r="A25" s="10" t="s">
        <v>26</v>
      </c>
      <c r="B25" s="1">
        <f>1144/5590</f>
        <v>0.20465116279069767</v>
      </c>
      <c r="C25" s="1">
        <f>2632/13227</f>
        <v>0.19898692069252286</v>
      </c>
      <c r="D25" s="21"/>
      <c r="E25" s="23"/>
    </row>
    <row r="26" spans="1:5" ht="17" thickBot="1">
      <c r="A26" s="12" t="s">
        <v>25</v>
      </c>
      <c r="B26" s="9">
        <f>1115/5590</f>
        <v>0.19946332737030412</v>
      </c>
      <c r="C26" s="9">
        <f>2656/13227</f>
        <v>0.20080139109397444</v>
      </c>
      <c r="D26" s="22"/>
      <c r="E26" s="24"/>
    </row>
    <row r="27" spans="1:5">
      <c r="A27" s="10" t="s">
        <v>27</v>
      </c>
      <c r="B27" s="1">
        <f>969/5406</f>
        <v>0.17924528301886791</v>
      </c>
      <c r="C27" s="1">
        <f>2384/12338</f>
        <v>0.19322418544334577</v>
      </c>
      <c r="D27" s="21" t="s">
        <v>41</v>
      </c>
      <c r="E27" s="23">
        <v>2.9000000000000001E-2</v>
      </c>
    </row>
    <row r="28" spans="1:5" ht="17" thickBot="1">
      <c r="A28" s="12" t="s">
        <v>28</v>
      </c>
      <c r="B28" s="9">
        <f>4437/5406</f>
        <v>0.82075471698113212</v>
      </c>
      <c r="C28" s="9">
        <f>9954/12338</f>
        <v>0.80677581455665426</v>
      </c>
      <c r="D28" s="22"/>
      <c r="E28" s="24"/>
    </row>
  </sheetData>
  <mergeCells count="12">
    <mergeCell ref="D3:D11"/>
    <mergeCell ref="E3:E11"/>
    <mergeCell ref="D13:D16"/>
    <mergeCell ref="E13:E16"/>
    <mergeCell ref="E17:E20"/>
    <mergeCell ref="D17:D20"/>
    <mergeCell ref="D22:D23"/>
    <mergeCell ref="E22:E23"/>
    <mergeCell ref="D24:D26"/>
    <mergeCell ref="E24:E26"/>
    <mergeCell ref="D27:D28"/>
    <mergeCell ref="E27:E2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E427-7A3B-AD45-A047-765BF5E55B2C}">
  <dimension ref="A1:D29"/>
  <sheetViews>
    <sheetView tabSelected="1" workbookViewId="0">
      <selection activeCell="D21" sqref="D21"/>
    </sheetView>
  </sheetViews>
  <sheetFormatPr baseColWidth="10" defaultRowHeight="16"/>
  <cols>
    <col min="1" max="1" width="19.83203125" customWidth="1"/>
    <col min="2" max="2" width="22.5" customWidth="1"/>
    <col min="3" max="3" width="23.33203125" bestFit="1" customWidth="1"/>
  </cols>
  <sheetData>
    <row r="1" spans="1:4" ht="17" thickBot="1">
      <c r="A1" s="27"/>
      <c r="B1" s="28" t="s">
        <v>48</v>
      </c>
      <c r="C1" s="28" t="s">
        <v>49</v>
      </c>
      <c r="D1" s="28" t="s">
        <v>50</v>
      </c>
    </row>
    <row r="2" spans="1:4" ht="17" thickBot="1">
      <c r="A2" s="38" t="s">
        <v>51</v>
      </c>
      <c r="B2" s="39" t="s">
        <v>52</v>
      </c>
      <c r="C2" s="39" t="s">
        <v>53</v>
      </c>
      <c r="D2" s="28" t="s">
        <v>92</v>
      </c>
    </row>
    <row r="3" spans="1:4" ht="17" thickBot="1">
      <c r="A3" s="32" t="s">
        <v>54</v>
      </c>
      <c r="B3" s="31" t="s">
        <v>55</v>
      </c>
      <c r="C3" s="31" t="s">
        <v>56</v>
      </c>
      <c r="D3" s="30">
        <v>8.5999999999999993E-2</v>
      </c>
    </row>
    <row r="4" spans="1:4" ht="31" thickBot="1">
      <c r="A4" s="32" t="s">
        <v>57</v>
      </c>
      <c r="B4" s="31" t="s">
        <v>58</v>
      </c>
      <c r="C4" s="31" t="s">
        <v>59</v>
      </c>
      <c r="D4" s="30" t="s">
        <v>92</v>
      </c>
    </row>
    <row r="5" spans="1:4">
      <c r="A5" s="29" t="s">
        <v>60</v>
      </c>
      <c r="B5" s="30"/>
      <c r="C5" s="30"/>
      <c r="D5" s="30" t="s">
        <v>92</v>
      </c>
    </row>
    <row r="6" spans="1:4">
      <c r="A6" s="29" t="s">
        <v>61</v>
      </c>
      <c r="B6" s="36">
        <f>1367/2166</f>
        <v>0.63111726685133884</v>
      </c>
      <c r="C6" s="36">
        <f>1278/2252</f>
        <v>0.56749555950266428</v>
      </c>
      <c r="D6" s="37"/>
    </row>
    <row r="7" spans="1:4">
      <c r="A7" s="29" t="s">
        <v>62</v>
      </c>
      <c r="B7" s="36">
        <f>290/2166</f>
        <v>0.13388734995383195</v>
      </c>
      <c r="C7" s="36">
        <f>659/2252</f>
        <v>0.29262877442273533</v>
      </c>
      <c r="D7" s="37"/>
    </row>
    <row r="8" spans="1:4" ht="17" thickBot="1">
      <c r="A8" s="32" t="s">
        <v>63</v>
      </c>
      <c r="B8" s="34">
        <f>509/2166</f>
        <v>0.23499538319482918</v>
      </c>
      <c r="C8" s="34">
        <f>315/2252</f>
        <v>0.13987566607460036</v>
      </c>
      <c r="D8" s="37"/>
    </row>
    <row r="9" spans="1:4">
      <c r="A9" s="35" t="s">
        <v>64</v>
      </c>
      <c r="B9" s="37"/>
      <c r="C9" s="37"/>
      <c r="D9" s="37" t="s">
        <v>92</v>
      </c>
    </row>
    <row r="10" spans="1:4">
      <c r="A10" s="35" t="s">
        <v>65</v>
      </c>
      <c r="B10" s="36">
        <f>489/2166</f>
        <v>0.2257617728531856</v>
      </c>
      <c r="C10" s="36">
        <f>682/2252</f>
        <v>0.30284191829484902</v>
      </c>
      <c r="D10" s="37"/>
    </row>
    <row r="11" spans="1:4" ht="30">
      <c r="A11" s="35" t="s">
        <v>66</v>
      </c>
      <c r="B11" s="36">
        <f>465/2166</f>
        <v>0.2146814404432133</v>
      </c>
      <c r="C11" s="36">
        <f>617/2252</f>
        <v>0.27397868561278865</v>
      </c>
      <c r="D11" s="37"/>
    </row>
    <row r="12" spans="1:4" ht="30">
      <c r="A12" s="35" t="s">
        <v>67</v>
      </c>
      <c r="B12" s="36">
        <f>744/2166</f>
        <v>0.34349030470914127</v>
      </c>
      <c r="C12" s="36">
        <f>593/2252</f>
        <v>0.26332149200710481</v>
      </c>
      <c r="D12" s="37"/>
    </row>
    <row r="13" spans="1:4" ht="31" thickBot="1">
      <c r="A13" s="32" t="s">
        <v>68</v>
      </c>
      <c r="B13" s="34">
        <f>468/2166</f>
        <v>0.21606648199445982</v>
      </c>
      <c r="C13" s="34">
        <f>360/2252</f>
        <v>0.15985790408525755</v>
      </c>
      <c r="D13" s="37"/>
    </row>
    <row r="14" spans="1:4">
      <c r="A14" s="35" t="s">
        <v>69</v>
      </c>
      <c r="B14" s="37"/>
      <c r="C14" s="37"/>
      <c r="D14" s="37" t="s">
        <v>92</v>
      </c>
    </row>
    <row r="15" spans="1:4">
      <c r="A15" s="35" t="s">
        <v>70</v>
      </c>
      <c r="B15" s="36">
        <f>1007/2166</f>
        <v>0.46491228070175439</v>
      </c>
      <c r="C15" s="36">
        <f>1309/2252</f>
        <v>0.5812611012433393</v>
      </c>
      <c r="D15" s="37"/>
    </row>
    <row r="16" spans="1:4">
      <c r="A16" s="35" t="s">
        <v>71</v>
      </c>
      <c r="B16" s="36">
        <f>445/2166</f>
        <v>0.20544783010156972</v>
      </c>
      <c r="C16" s="36">
        <f>396/2252</f>
        <v>0.17584369449378331</v>
      </c>
      <c r="D16" s="37"/>
    </row>
    <row r="17" spans="1:4">
      <c r="A17" s="29" t="s">
        <v>72</v>
      </c>
      <c r="B17" s="33">
        <f>626/2166</f>
        <v>0.28901200369344415</v>
      </c>
      <c r="C17" s="33">
        <f>488/2252</f>
        <v>0.21669626998223801</v>
      </c>
      <c r="D17" s="30"/>
    </row>
    <row r="18" spans="1:4" ht="17" thickBot="1">
      <c r="A18" s="32" t="s">
        <v>73</v>
      </c>
      <c r="B18" s="34">
        <f>88/2166</f>
        <v>4.0627885503231764E-2</v>
      </c>
      <c r="C18" s="34">
        <f>59/2252</f>
        <v>2.6198934280639432E-2</v>
      </c>
      <c r="D18" s="30"/>
    </row>
    <row r="19" spans="1:4" ht="31" thickBot="1">
      <c r="A19" s="38" t="s">
        <v>74</v>
      </c>
      <c r="B19" s="39" t="s">
        <v>75</v>
      </c>
      <c r="C19" s="39" t="s">
        <v>76</v>
      </c>
      <c r="D19" s="30" t="s">
        <v>92</v>
      </c>
    </row>
    <row r="20" spans="1:4">
      <c r="A20" s="29" t="s">
        <v>77</v>
      </c>
      <c r="B20" s="30"/>
      <c r="C20" s="30"/>
      <c r="D20" s="30" t="s">
        <v>92</v>
      </c>
    </row>
    <row r="21" spans="1:4">
      <c r="A21" s="29" t="s">
        <v>78</v>
      </c>
      <c r="B21" s="33">
        <f>534/2166</f>
        <v>0.24653739612188366</v>
      </c>
      <c r="C21" s="33">
        <f>237/2252</f>
        <v>0.10523978685612789</v>
      </c>
      <c r="D21" s="30"/>
    </row>
    <row r="22" spans="1:4" ht="17" thickBot="1">
      <c r="A22" s="32" t="s">
        <v>79</v>
      </c>
      <c r="B22" s="34">
        <f>1632/2166</f>
        <v>0.75346260387811637</v>
      </c>
      <c r="C22" s="34">
        <f>2015/2252</f>
        <v>0.89476021314387211</v>
      </c>
      <c r="D22" s="30"/>
    </row>
    <row r="23" spans="1:4">
      <c r="A23" s="29" t="s">
        <v>80</v>
      </c>
      <c r="B23" s="30" t="s">
        <v>81</v>
      </c>
      <c r="C23" s="30" t="s">
        <v>82</v>
      </c>
      <c r="D23" s="30" t="s">
        <v>93</v>
      </c>
    </row>
    <row r="24" spans="1:4" ht="30">
      <c r="A24" s="29" t="s">
        <v>83</v>
      </c>
      <c r="B24" s="30" t="s">
        <v>84</v>
      </c>
      <c r="C24" s="30" t="s">
        <v>85</v>
      </c>
      <c r="D24" s="30" t="s">
        <v>95</v>
      </c>
    </row>
    <row r="25" spans="1:4">
      <c r="A25" s="29" t="s">
        <v>86</v>
      </c>
      <c r="B25" s="30" t="s">
        <v>87</v>
      </c>
      <c r="C25" s="30" t="s">
        <v>88</v>
      </c>
      <c r="D25" s="30" t="s">
        <v>96</v>
      </c>
    </row>
    <row r="26" spans="1:4" ht="17" thickBot="1">
      <c r="A26" s="32" t="s">
        <v>89</v>
      </c>
      <c r="B26" s="31" t="s">
        <v>90</v>
      </c>
      <c r="C26" s="31" t="s">
        <v>91</v>
      </c>
      <c r="D26" s="31" t="s">
        <v>97</v>
      </c>
    </row>
    <row r="28" spans="1:4">
      <c r="A28" s="41" t="s">
        <v>94</v>
      </c>
    </row>
    <row r="29" spans="1:4">
      <c r="A29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Analytical vs. Full</vt:lpstr>
      <vt:lpstr>Pre vs. Post menopause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2020-10-01T21:00:36Z</dcterms:created>
  <dcterms:modified xsi:type="dcterms:W3CDTF">2020-10-13T15:16:17Z</dcterms:modified>
</cp:coreProperties>
</file>